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Last199RowsTrends" sheetId="12" r:id="rId15"/>
    <sheet state="hidden" name="Hidden Cases by ZCTA for DW" sheetId="13" r:id="rId16"/>
    <sheet state="hidden" name="Summary Transposed for GDS" sheetId="14" r:id="rId17"/>
    <sheet state="hidden" name="Hidden Muni Trends for Visuals" sheetId="15" r:id="rId18"/>
  </sheets>
  <definedNames/>
  <calcPr/>
</workbook>
</file>

<file path=xl/sharedStrings.xml><?xml version="1.0" encoding="utf-8"?>
<sst xmlns="http://schemas.openxmlformats.org/spreadsheetml/2006/main" count="2710" uniqueCount="406">
  <si>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</si>
  <si>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</si>
  <si>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</si>
  <si>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</si>
  <si>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</si>
  <si>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</si>
  <si>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</si>
  <si>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</si>
  <si>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</si>
  <si>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</si>
  <si>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</si>
  <si>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</si>
  <si>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</si>
  <si>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</si>
  <si>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</si>
  <si>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</si>
  <si>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</si>
  <si>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</si>
  <si>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</si>
  <si>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</si>
  <si>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</si>
  <si>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</si>
  <si>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</si>
  <si>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</si>
  <si>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</si>
  <si>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</si>
  <si>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</si>
  <si>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</si>
  <si>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</si>
  <si>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</si>
  <si>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</si>
  <si>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</si>
  <si>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</si>
  <si>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</si>
  <si>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</si>
  <si>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</si>
  <si>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N=293,763</t>
  </si>
  <si>
    <t>N=22,376</t>
  </si>
  <si>
    <t>N=2,647</t>
  </si>
  <si>
    <t>N=1,074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</si>
  <si>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</si>
  <si>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</si>
  <si>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</si>
  <si>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</si>
  <si>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</si>
  <si>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</si>
  <si>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</si>
  <si>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</si>
  <si>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</si>
  <si>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</si>
  <si>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</si>
  <si>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</si>
  <si>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</si>
  <si>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</si>
  <si>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</si>
  <si>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</si>
  <si>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</si>
  <si>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</si>
  <si>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</si>
  <si>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</si>
  <si>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</si>
  <si>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</si>
  <si>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</si>
  <si>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</si>
  <si>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</si>
  <si>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</si>
  <si>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</si>
  <si>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</si>
  <si>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</si>
  <si>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</si>
  <si>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</si>
  <si>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</si>
  <si>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</si>
  <si>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</si>
  <si>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</si>
  <si>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</si>
  <si>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</si>
  <si>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</si>
  <si>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</si>
  <si>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</si>
  <si>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</si>
  <si>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</si>
  <si>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</si>
  <si>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</si>
  <si>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</si>
  <si>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</si>
  <si>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</si>
  <si>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</si>
  <si>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</si>
  <si>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</si>
  <si>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</si>
  <si>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</si>
  <si>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</si>
  <si>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</si>
  <si>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</si>
  <si>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</si>
  <si>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</si>
  <si>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</si>
  <si>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</si>
  <si>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</si>
  <si>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</si>
  <si>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</si>
  <si>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</si>
  <si>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</si>
  <si>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</si>
  <si>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</si>
  <si>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</si>
  <si>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</si>
  <si>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</si>
  <si>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</si>
  <si>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</si>
  <si>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</si>
  <si>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</si>
  <si>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</si>
  <si>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</si>
  <si>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</si>
  <si>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</si>
  <si>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</si>
  <si>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</si>
  <si>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</si>
  <si>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</si>
  <si>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</si>
  <si>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</si>
  <si>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</si>
  <si>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</si>
  <si>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</si>
  <si>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</si>
  <si>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</si>
  <si>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</si>
  <si>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</si>
  <si>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</si>
  <si>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</si>
  <si>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</si>
  <si>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</si>
  <si>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</si>
  <si>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</si>
  <si>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</si>
  <si>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</si>
  <si>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</si>
  <si>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</si>
  <si>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</si>
  <si>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</si>
  <si>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</si>
  <si>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</si>
  <si>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</si>
  <si>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</si>
  <si>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</si>
  <si>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</si>
  <si>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</si>
  <si>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</si>
  <si>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</si>
  <si>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</si>
  <si>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</si>
  <si>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</si>
  <si>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</si>
  <si>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</si>
  <si>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</si>
  <si>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</si>
  <si>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</si>
  <si>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</si>
  <si>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</si>
  <si>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</si>
  <si>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</si>
  <si>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</si>
  <si>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</si>
  <si>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</si>
  <si>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</si>
  <si>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</si>
  <si>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</si>
  <si>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</si>
  <si>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</si>
  <si>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</si>
  <si>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</si>
  <si>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</si>
  <si>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</si>
  <si>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</si>
  <si>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</si>
  <si>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</si>
  <si>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</si>
  <si>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</si>
  <si>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</si>
  <si>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</si>
  <si>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</si>
  <si>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</si>
  <si>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</si>
  <si>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</si>
  <si>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</si>
  <si>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</si>
  <si>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</si>
  <si>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</si>
  <si>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</si>
  <si>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</si>
  <si>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</si>
  <si>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</si>
  <si>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</si>
  <si>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</si>
  <si>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</si>
  <si>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</si>
  <si>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</si>
  <si>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</si>
  <si>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</si>
  <si>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</si>
  <si>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</si>
  <si>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</si>
  <si>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</si>
  <si>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</si>
  <si>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</si>
  <si>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</si>
  <si>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</si>
  <si>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</si>
  <si>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</si>
  <si>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</si>
  <si>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</si>
  <si>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</si>
  <si>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</si>
  <si>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</si>
  <si>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</si>
  <si>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</si>
  <si>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</si>
  <si>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</si>
  <si>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</si>
  <si>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</si>
  <si>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</si>
  <si>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</si>
  <si>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</si>
  <si>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</si>
  <si>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</si>
  <si>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</si>
  <si>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</si>
  <si>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</si>
  <si>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</si>
  <si>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</si>
  <si>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</si>
  <si>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</si>
  <si>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</si>
  <si>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</si>
  <si>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</si>
  <si>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</si>
  <si>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</si>
  <si>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</si>
  <si>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</si>
  <si>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</si>
  <si>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</si>
  <si>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</si>
  <si>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</si>
  <si>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</si>
  <si>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</si>
  <si>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</si>
  <si>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</si>
  <si>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</si>
  <si>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</si>
  <si>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</si>
  <si>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</si>
  <si>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</si>
  <si>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</si>
  <si>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</si>
  <si>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</si>
  <si>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</si>
  <si>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</si>
  <si>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</si>
  <si>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</si>
  <si>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</si>
  <si>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</si>
  <si>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</si>
  <si>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</si>
  <si>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</si>
  <si>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</si>
  <si>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</si>
  <si>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</si>
  <si>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</si>
  <si>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</si>
  <si>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</si>
  <si>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</si>
  <si>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</si>
  <si>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</si>
  <si>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</si>
  <si>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</si>
  <si>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</si>
  <si>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</si>
  <si>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</si>
  <si>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</si>
  <si>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</si>
  <si>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</si>
  <si>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</si>
  <si>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</si>
  <si>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</si>
  <si>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</si>
  <si>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</si>
  <si>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</si>
  <si>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</si>
  <si>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</si>
  <si>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9/16/2020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</si>
  <si>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</si>
  <si>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</si>
  <si>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</si>
  <si>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</si>
  <si>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</si>
  <si>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</si>
  <si>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</si>
  <si>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</si>
  <si>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85 to 89</t>
  </si>
  <si>
    <t>20 to 24</t>
  </si>
  <si>
    <t>10 to 14</t>
  </si>
  <si>
    <t>Berkshire Place (Providence)</t>
  </si>
  <si>
    <t>165 to 169</t>
  </si>
  <si>
    <t>35 to 39</t>
  </si>
  <si>
    <t>Bethany Home (Providence)</t>
  </si>
  <si>
    <t>15 to 19</t>
  </si>
  <si>
    <t>Brentwood Nursing Home (Warwick)</t>
  </si>
  <si>
    <t>Briarcliffe Manor (Johnston)</t>
  </si>
  <si>
    <t>65 to 69</t>
  </si>
  <si>
    <t>Brookdale Sakonnet Bay (Tiverton)</t>
  </si>
  <si>
    <t>Fewer than five</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</si>
  <si>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</si>
  <si>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</si>
  <si>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</si>
  <si>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</si>
  <si>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</si>
  <si>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</si>
  <si>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</si>
  <si>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</si>
  <si>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</si>
  <si>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</si>
  <si>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</si>
  <si>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</si>
  <si>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</si>
  <si>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</si>
  <si>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</si>
  <si>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</si>
  <si>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</si>
  <si>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</si>
  <si>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</si>
  <si>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</si>
  <si>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</si>
  <si>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</si>
  <si>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</si>
  <si>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</si>
  <si>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</si>
  <si>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</si>
  <si>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</si>
  <si>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</si>
  <si>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</si>
  <si>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</si>
  <si>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</si>
  <si>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</si>
  <si>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</si>
  <si>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</si>
  <si>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</si>
  <si>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</si>
  <si>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</si>
  <si>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</si>
  <si>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</si>
  <si>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</si>
  <si>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</si>
  <si>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</si>
  <si>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</si>
  <si>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</si>
  <si>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</si>
  <si>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</si>
  <si>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90 to 94</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</si>
  <si>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</si>
  <si>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</si>
  <si>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</si>
  <si>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</si>
  <si>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</si>
  <si>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</si>
  <si>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</si>
  <si>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</si>
  <si>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</si>
  <si>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</si>
  <si>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</si>
  <si>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</si>
  <si>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</si>
  <si>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</si>
  <si>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</si>
  <si>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</si>
  <si>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</si>
  <si>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</si>
  <si>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</si>
  <si>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</si>
  <si>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</si>
  <si>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2915 to 2919</t>
  </si>
  <si>
    <t>785 to 789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</si>
  <si>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</si>
  <si>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</si>
  <si>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</si>
  <si>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</si>
  <si>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</si>
  <si>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</si>
  <si>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</si>
  <si>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</si>
  <si>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</si>
  <si>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</si>
  <si>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</si>
  <si>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</si>
  <si>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</si>
  <si>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</si>
  <si>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</si>
  <si>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</si>
  <si>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245 to 249</t>
  </si>
  <si>
    <t>Note: These data are updated weekly and represent cumulative number of cases and deaths, and number of new resident cases in the past 14 days at each facility. Because these data will change throughout the week, number ranges are being presented. Data last updated 9/16/2020.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</si>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</sst>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18">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4" numFmtId="0" xfId="0" applyAlignment="1" applyFont="1">
      <alignment shrinkToFit="0" vertical="bottom" wrapText="0"/>
    </xf>
    <xf borderId="0" fillId="0" fontId="9" numFmtId="0" xfId="0" applyAlignment="1" applyFont="1">
      <alignment vertical="bottom"/>
    </xf>
    <xf borderId="0" fillId="0" fontId="10"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11"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0"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2"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2" fontId="13" numFmtId="0" xfId="0" applyAlignment="1" applyFill="1" applyFont="1">
      <alignment shrinkToFit="0" vertical="bottom" wrapText="1"/>
    </xf>
    <xf borderId="1" fillId="12" fontId="13" numFmtId="0" xfId="0" applyAlignment="1" applyBorder="1" applyFont="1">
      <alignment readingOrder="0" shrinkToFit="0" vertical="bottom" wrapText="1"/>
    </xf>
    <xf borderId="1" fillId="12" fontId="13" numFmtId="0" xfId="0" applyAlignment="1" applyBorder="1" applyFont="1">
      <alignment shrinkToFit="0" vertical="bottom" wrapText="1"/>
    </xf>
    <xf borderId="1" fillId="9" fontId="13" numFmtId="0" xfId="0" applyAlignment="1" applyBorder="1" applyFont="1">
      <alignment shrinkToFit="0" vertical="bottom" wrapText="1"/>
    </xf>
    <xf borderId="1" fillId="13" fontId="13" numFmtId="0" xfId="0" applyAlignment="1" applyBorder="1" applyFill="1" applyFont="1">
      <alignment horizontal="center" shrinkToFit="0" vertical="bottom" wrapText="1"/>
    </xf>
    <xf borderId="1" fillId="14" fontId="13" numFmtId="0" xfId="0" applyAlignment="1" applyBorder="1" applyFill="1" applyFont="1">
      <alignment horizontal="center" shrinkToFit="0" vertical="bottom" wrapText="1"/>
    </xf>
    <xf borderId="6" fillId="15" fontId="14" numFmtId="0" xfId="0" applyAlignment="1" applyBorder="1" applyFill="1" applyFont="1">
      <alignment horizontal="left" readingOrder="0" shrinkToFit="0" wrapText="0"/>
    </xf>
    <xf borderId="2" fillId="0" fontId="15" numFmtId="0" xfId="0" applyAlignment="1" applyBorder="1" applyFont="1">
      <alignment horizontal="left" readingOrder="0" vertical="bottom"/>
    </xf>
    <xf borderId="5" fillId="0" fontId="15" numFmtId="0" xfId="0" applyAlignment="1" applyBorder="1" applyFont="1">
      <alignment horizontal="center" readingOrder="0" vertical="bottom"/>
    </xf>
    <xf borderId="8" fillId="0" fontId="15" numFmtId="0" xfId="0" applyAlignment="1" applyBorder="1" applyFont="1">
      <alignment horizontal="center" readingOrder="0" vertical="bottom"/>
    </xf>
    <xf borderId="2" fillId="0" fontId="15" numFmtId="0" xfId="0" applyAlignment="1" applyBorder="1" applyFont="1">
      <alignment horizontal="center" readingOrder="0" shrinkToFit="0" vertical="bottom" wrapText="0"/>
    </xf>
    <xf borderId="2" fillId="0" fontId="15" numFmtId="0" xfId="0" applyAlignment="1" applyBorder="1" applyFont="1">
      <alignment readingOrder="0" vertical="bottom"/>
    </xf>
    <xf borderId="5" fillId="0" fontId="15" numFmtId="0" xfId="0" applyAlignment="1" applyBorder="1" applyFont="1">
      <alignment horizontal="center" readingOrder="0" shrinkToFit="0" vertical="bottom" wrapText="0"/>
    </xf>
    <xf borderId="2" fillId="0" fontId="16" numFmtId="0" xfId="0" applyAlignment="1" applyBorder="1" applyFont="1">
      <alignment horizontal="left" readingOrder="0" vertical="bottom"/>
    </xf>
    <xf borderId="5" fillId="0" fontId="16" numFmtId="0" xfId="0" applyAlignment="1" applyBorder="1" applyFont="1">
      <alignment horizontal="center" readingOrder="0" vertical="bottom"/>
    </xf>
    <xf borderId="8" fillId="0" fontId="16" numFmtId="0" xfId="0" applyAlignment="1" applyBorder="1" applyFont="1">
      <alignment horizontal="center" readingOrder="0" vertical="bottom"/>
    </xf>
    <xf borderId="2" fillId="0" fontId="16" numFmtId="0" xfId="0" applyAlignment="1" applyBorder="1" applyFont="1">
      <alignment horizontal="center" readingOrder="0" shrinkToFit="0" vertical="bottom" wrapText="0"/>
    </xf>
    <xf borderId="2" fillId="0" fontId="15" numFmtId="0" xfId="0" applyAlignment="1" applyBorder="1" applyFont="1">
      <alignment horizontal="left" readingOrder="0"/>
    </xf>
    <xf borderId="5" fillId="0" fontId="15" numFmtId="0" xfId="0" applyAlignment="1" applyBorder="1" applyFont="1">
      <alignment horizontal="center" readingOrder="0"/>
    </xf>
    <xf borderId="8" fillId="0" fontId="15" numFmtId="0" xfId="0" applyAlignment="1" applyBorder="1" applyFont="1">
      <alignment horizontal="center" readingOrder="0"/>
    </xf>
    <xf borderId="2" fillId="0" fontId="15" numFmtId="0" xfId="0" applyAlignment="1" applyBorder="1" applyFont="1">
      <alignment horizontal="center" readingOrder="0"/>
    </xf>
    <xf borderId="2" fillId="0" fontId="15" numFmtId="0" xfId="0" applyAlignment="1" applyBorder="1" applyFont="1">
      <alignment horizontal="center" readingOrder="0" vertical="bottom"/>
    </xf>
    <xf borderId="2" fillId="0" fontId="15" numFmtId="0" xfId="0" applyAlignment="1" applyBorder="1" applyFont="1">
      <alignment horizontal="left" readingOrder="0" shrinkToFit="0" vertical="bottom" wrapText="1"/>
    </xf>
    <xf borderId="9" fillId="0" fontId="17" numFmtId="0" xfId="0" applyAlignment="1" applyBorder="1" applyFont="1">
      <alignment horizontal="left" readingOrder="0" shrinkToFit="0" vertical="bottom" wrapText="1"/>
    </xf>
    <xf borderId="9" fillId="0" fontId="6" numFmtId="0" xfId="0" applyBorder="1" applyFont="1"/>
    <xf borderId="0" fillId="0" fontId="12" numFmtId="14" xfId="0" applyFont="1" applyNumberFormat="1"/>
    <xf borderId="0" fillId="0" fontId="12" numFmtId="0" xfId="0"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44091.0</v>
      </c>
    </row>
    <row r="2" ht="14.25" customHeight="1">
      <c r="A2" s="3" t="s">
        <v>1</v>
      </c>
      <c r="B2" s="4">
        <v>130.0</v>
      </c>
    </row>
    <row r="3" ht="14.25" customHeight="1">
      <c r="A3" s="3" t="s">
        <v>2</v>
      </c>
      <c r="B3" s="4">
        <v>123.0</v>
      </c>
    </row>
    <row r="4" ht="14.25" customHeight="1">
      <c r="A4" s="3" t="s">
        <v>3</v>
      </c>
      <c r="B4" s="4">
        <v>33335.0</v>
      </c>
    </row>
    <row r="5" ht="14.25" customHeight="1">
      <c r="A5" s="3" t="s">
        <v>4</v>
      </c>
      <c r="B5" s="4">
        <v>8031.0</v>
      </c>
    </row>
    <row r="6" ht="14.25" customHeight="1">
      <c r="A6" s="5" t="s">
        <v>5</v>
      </c>
      <c r="B6" s="4">
        <v>632591.0</v>
      </c>
    </row>
    <row r="7" ht="14.25" customHeight="1">
      <c r="A7" s="6" t="s">
        <v>6</v>
      </c>
      <c r="B7" s="4">
        <v>8161.0</v>
      </c>
    </row>
    <row r="8" ht="14.25" customHeight="1">
      <c r="A8" s="6" t="s">
        <v>7</v>
      </c>
      <c r="B8" s="7">
        <v>665926.0</v>
      </c>
    </row>
    <row r="9" ht="14.25" customHeight="1">
      <c r="A9" s="8" t="s">
        <v>8</v>
      </c>
      <c r="B9" s="7">
        <v>101.0</v>
      </c>
    </row>
    <row r="10" ht="14.25" customHeight="1">
      <c r="A10" s="9" t="s">
        <v>9</v>
      </c>
      <c r="B10" s="7">
        <v>100.0</v>
      </c>
    </row>
    <row r="11" ht="14.25" customHeight="1">
      <c r="A11" s="8" t="s">
        <v>10</v>
      </c>
      <c r="B11" s="7">
        <v>23488.0</v>
      </c>
    </row>
    <row r="12" ht="14.25" customHeight="1">
      <c r="A12" s="8" t="s">
        <v>11</v>
      </c>
      <c r="B12" s="7">
        <v>1418.0</v>
      </c>
    </row>
    <row r="13" ht="14.25" customHeight="1">
      <c r="A13" s="8" t="s">
        <v>12</v>
      </c>
      <c r="B13" s="7">
        <v>289787.0</v>
      </c>
    </row>
    <row r="14" ht="15.0" customHeight="1">
      <c r="A14" s="8" t="s">
        <v>13</v>
      </c>
      <c r="B14" s="7">
        <v>313275.0</v>
      </c>
    </row>
    <row r="15" ht="14.25" customHeight="1">
      <c r="A15" s="10" t="s">
        <v>14</v>
      </c>
      <c r="B15" s="4">
        <v>4.0</v>
      </c>
    </row>
    <row r="16" ht="14.25" customHeight="1">
      <c r="A16" s="10" t="s">
        <v>15</v>
      </c>
      <c r="B16" s="4">
        <v>2668.0</v>
      </c>
    </row>
    <row r="17" ht="14.25" customHeight="1">
      <c r="A17" s="10" t="s">
        <v>16</v>
      </c>
      <c r="B17" s="4">
        <v>1.0</v>
      </c>
    </row>
    <row r="18" ht="14.25" customHeight="1">
      <c r="A18" s="10" t="s">
        <v>17</v>
      </c>
      <c r="B18" s="4">
        <v>2236.0</v>
      </c>
    </row>
    <row r="19" ht="14.25" customHeight="1">
      <c r="A19" s="10" t="s">
        <v>18</v>
      </c>
      <c r="B19" s="4">
        <v>1.0</v>
      </c>
    </row>
    <row r="20" ht="14.25" customHeight="1">
      <c r="A20" s="10" t="s">
        <v>19</v>
      </c>
      <c r="B20" s="4">
        <v>344.0</v>
      </c>
    </row>
    <row r="21" ht="14.25" customHeight="1">
      <c r="A21" s="10" t="s">
        <v>20</v>
      </c>
      <c r="B21" s="7">
        <v>88.0</v>
      </c>
    </row>
    <row r="22" ht="14.25" customHeight="1">
      <c r="A22" s="10" t="s">
        <v>21</v>
      </c>
      <c r="B22" s="7">
        <v>87.0</v>
      </c>
    </row>
    <row r="23" ht="14.25" customHeight="1">
      <c r="A23" s="10" t="s">
        <v>22</v>
      </c>
      <c r="B23" s="7">
        <v>9.0</v>
      </c>
    </row>
    <row r="24" ht="14.25" customHeight="1">
      <c r="A24" s="10" t="s">
        <v>23</v>
      </c>
      <c r="B24" s="7">
        <v>5.0</v>
      </c>
    </row>
    <row r="25" ht="14.25" customHeight="1">
      <c r="A25" s="11" t="s">
        <v>24</v>
      </c>
      <c r="B25" s="7">
        <v>4.0</v>
      </c>
    </row>
    <row r="26" ht="14.25" customHeight="1">
      <c r="A26" s="12" t="s">
        <v>25</v>
      </c>
      <c r="B26" s="7">
        <v>1085.0</v>
      </c>
    </row>
    <row r="27" ht="14.25" customHeight="1">
      <c r="A27" s="13" t="s">
        <v>26</v>
      </c>
      <c r="B27" s="7">
        <v>656079.0</v>
      </c>
    </row>
    <row r="28" ht="14.25" customHeight="1">
      <c r="A28" s="13" t="s">
        <v>27</v>
      </c>
      <c r="B28" s="7">
        <v>8132.0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208</v>
      </c>
      <c r="B1" s="151" t="s">
        <v>209</v>
      </c>
      <c r="C1" s="76" t="s">
        <v>75</v>
      </c>
    </row>
    <row r="2" ht="14.25" customHeight="1">
      <c r="A2" s="152" t="s">
        <v>210</v>
      </c>
      <c r="B2" s="153">
        <v>9.0</v>
      </c>
      <c r="C2" s="154">
        <v>1341.0</v>
      </c>
    </row>
    <row r="3" ht="14.25" customHeight="1">
      <c r="A3" s="155" t="s">
        <v>211</v>
      </c>
      <c r="B3" s="156">
        <v>0.0</v>
      </c>
      <c r="C3" s="157">
        <v>0.0</v>
      </c>
    </row>
    <row r="4" ht="14.25" customHeight="1">
      <c r="A4" s="155" t="s">
        <v>212</v>
      </c>
      <c r="B4" s="156">
        <v>79.0</v>
      </c>
      <c r="C4" s="157">
        <v>488.0</v>
      </c>
    </row>
    <row r="5" ht="14.25" customHeight="1">
      <c r="A5" s="155" t="s">
        <v>213</v>
      </c>
      <c r="B5" s="156">
        <v>6.0</v>
      </c>
      <c r="C5" s="157">
        <v>726.0</v>
      </c>
    </row>
    <row r="6" ht="14.25" customHeight="1">
      <c r="A6" s="155" t="s">
        <v>214</v>
      </c>
      <c r="B6" s="156">
        <v>16.0</v>
      </c>
      <c r="C6" s="157">
        <v>624.0</v>
      </c>
    </row>
    <row r="7" ht="14.25" customHeight="1">
      <c r="A7" s="155" t="s">
        <v>215</v>
      </c>
      <c r="B7" s="156">
        <v>202.0</v>
      </c>
      <c r="C7" s="157">
        <v>908.0</v>
      </c>
    </row>
    <row r="8" ht="14.25" customHeight="1">
      <c r="A8" s="155" t="s">
        <v>216</v>
      </c>
      <c r="B8" s="156">
        <v>10.0</v>
      </c>
      <c r="C8" s="157">
        <v>828.0</v>
      </c>
    </row>
    <row r="9" ht="14.25" customHeight="1">
      <c r="A9" s="155" t="s">
        <v>217</v>
      </c>
      <c r="B9" s="156">
        <v>36.0</v>
      </c>
      <c r="C9" s="157">
        <v>463.0</v>
      </c>
    </row>
    <row r="10" ht="14.25" customHeight="1">
      <c r="A10" s="155" t="s">
        <v>218</v>
      </c>
      <c r="B10" s="156">
        <v>55.0</v>
      </c>
      <c r="C10" s="157">
        <v>717.0</v>
      </c>
    </row>
    <row r="11" ht="14.25" customHeight="1">
      <c r="A11" s="155" t="s">
        <v>219</v>
      </c>
      <c r="B11" s="156">
        <v>0.0</v>
      </c>
      <c r="C11" s="157">
        <v>0.0</v>
      </c>
    </row>
    <row r="12" ht="14.25" customHeight="1">
      <c r="A12" s="155" t="s">
        <v>220</v>
      </c>
      <c r="B12" s="156">
        <v>278.0</v>
      </c>
      <c r="C12" s="157">
        <v>847.0</v>
      </c>
    </row>
    <row r="13" ht="14.25" customHeight="1">
      <c r="A13" s="155" t="s">
        <v>221</v>
      </c>
      <c r="B13" s="156">
        <v>31.0</v>
      </c>
      <c r="C13" s="157">
        <v>514.0</v>
      </c>
    </row>
    <row r="14" ht="14.25" customHeight="1">
      <c r="A14" s="155" t="s">
        <v>222</v>
      </c>
      <c r="B14" s="156">
        <v>140.0</v>
      </c>
      <c r="C14" s="157">
        <v>770.0</v>
      </c>
    </row>
    <row r="15" ht="14.25" customHeight="1">
      <c r="A15" s="155" t="s">
        <v>223</v>
      </c>
      <c r="B15" s="156">
        <v>47.0</v>
      </c>
      <c r="C15" s="157">
        <v>714.0</v>
      </c>
    </row>
    <row r="16" ht="14.25" customHeight="1">
      <c r="A16" s="155" t="s">
        <v>224</v>
      </c>
      <c r="B16" s="156">
        <v>35.0</v>
      </c>
      <c r="C16" s="157">
        <v>636.0</v>
      </c>
    </row>
    <row r="17" ht="14.25" customHeight="1">
      <c r="A17" s="155" t="s">
        <v>225</v>
      </c>
      <c r="B17" s="156">
        <v>0.0</v>
      </c>
      <c r="C17" s="157">
        <v>0.0</v>
      </c>
    </row>
    <row r="18" ht="14.25" customHeight="1">
      <c r="A18" s="155" t="s">
        <v>226</v>
      </c>
      <c r="B18" s="156">
        <v>19.0</v>
      </c>
      <c r="C18" s="157">
        <v>922.0</v>
      </c>
    </row>
    <row r="19" ht="14.25" customHeight="1">
      <c r="A19" s="155" t="s">
        <v>227</v>
      </c>
      <c r="B19" s="156">
        <v>228.0</v>
      </c>
      <c r="C19" s="157">
        <v>2900.0</v>
      </c>
    </row>
    <row r="20" ht="14.25" customHeight="1">
      <c r="A20" s="155" t="s">
        <v>228</v>
      </c>
      <c r="B20" s="156">
        <v>32.0</v>
      </c>
      <c r="C20" s="157">
        <v>539.0</v>
      </c>
    </row>
    <row r="21" ht="14.25" customHeight="1">
      <c r="A21" s="155" t="s">
        <v>229</v>
      </c>
      <c r="B21" s="156">
        <v>39.0</v>
      </c>
      <c r="C21" s="157">
        <v>1114.0</v>
      </c>
    </row>
    <row r="22" ht="14.25" customHeight="1">
      <c r="A22" s="155" t="s">
        <v>230</v>
      </c>
      <c r="B22" s="156">
        <v>18.0</v>
      </c>
      <c r="C22" s="157">
        <v>417.0</v>
      </c>
    </row>
    <row r="23" ht="14.25" customHeight="1">
      <c r="A23" s="155" t="s">
        <v>231</v>
      </c>
      <c r="B23" s="156">
        <v>0.0</v>
      </c>
      <c r="C23" s="157">
        <v>0.0</v>
      </c>
    </row>
    <row r="24" ht="14.25" customHeight="1">
      <c r="A24" s="155" t="s">
        <v>232</v>
      </c>
      <c r="B24" s="156">
        <v>28.0</v>
      </c>
      <c r="C24" s="157">
        <v>509.0</v>
      </c>
    </row>
    <row r="25" ht="14.25" customHeight="1">
      <c r="A25" s="155" t="s">
        <v>233</v>
      </c>
      <c r="B25" s="158">
        <v>0.0</v>
      </c>
      <c r="C25" s="157">
        <v>0.0</v>
      </c>
    </row>
    <row r="26" ht="14.25" customHeight="1">
      <c r="A26" s="155" t="s">
        <v>234</v>
      </c>
      <c r="B26" s="156">
        <v>14.0</v>
      </c>
      <c r="C26" s="157">
        <v>399.0</v>
      </c>
    </row>
    <row r="27" ht="14.25" customHeight="1">
      <c r="A27" s="155" t="s">
        <v>235</v>
      </c>
      <c r="B27" s="156">
        <v>126.0</v>
      </c>
      <c r="C27" s="157">
        <v>3581.0</v>
      </c>
    </row>
    <row r="28" ht="14.25" customHeight="1">
      <c r="A28" s="155" t="s">
        <v>236</v>
      </c>
      <c r="B28" s="156">
        <v>14.0</v>
      </c>
      <c r="C28" s="157">
        <v>679.0</v>
      </c>
    </row>
    <row r="29" ht="14.25" customHeight="1">
      <c r="A29" s="155" t="s">
        <v>237</v>
      </c>
      <c r="B29" s="156">
        <v>152.0</v>
      </c>
      <c r="C29" s="157">
        <v>655.0</v>
      </c>
    </row>
    <row r="30" ht="14.25" customHeight="1">
      <c r="A30" s="155" t="s">
        <v>238</v>
      </c>
      <c r="B30" s="156">
        <v>10.0</v>
      </c>
      <c r="C30" s="157">
        <v>613.0</v>
      </c>
    </row>
    <row r="31" ht="14.25" customHeight="1">
      <c r="A31" s="155" t="s">
        <v>239</v>
      </c>
      <c r="B31" s="156">
        <v>90.0</v>
      </c>
      <c r="C31" s="157">
        <v>563.0</v>
      </c>
    </row>
    <row r="32" ht="14.25" customHeight="1">
      <c r="A32" s="155" t="s">
        <v>240</v>
      </c>
      <c r="B32" s="156">
        <v>284.0</v>
      </c>
      <c r="C32" s="157">
        <v>1289.0</v>
      </c>
    </row>
    <row r="33" ht="14.25" customHeight="1">
      <c r="A33" s="155" t="s">
        <v>241</v>
      </c>
      <c r="B33" s="156">
        <v>54.0</v>
      </c>
      <c r="C33" s="157">
        <v>618.0</v>
      </c>
    </row>
    <row r="34" ht="14.25" customHeight="1">
      <c r="A34" s="155" t="s">
        <v>242</v>
      </c>
      <c r="B34" s="158">
        <v>0.0</v>
      </c>
      <c r="C34" s="157">
        <v>0.0</v>
      </c>
    </row>
    <row r="35" ht="14.25" customHeight="1">
      <c r="A35" s="155" t="s">
        <v>243</v>
      </c>
      <c r="B35" s="156">
        <v>91.0</v>
      </c>
      <c r="C35" s="157">
        <v>1259.0</v>
      </c>
    </row>
    <row r="36" ht="14.25" customHeight="1">
      <c r="A36" s="155" t="s">
        <v>244</v>
      </c>
      <c r="B36" s="156">
        <v>1715.0</v>
      </c>
      <c r="C36" s="157">
        <v>3639.0</v>
      </c>
    </row>
    <row r="37" ht="14.25" customHeight="1">
      <c r="A37" s="155" t="s">
        <v>245</v>
      </c>
      <c r="B37" s="156">
        <v>558.0</v>
      </c>
      <c r="C37" s="157">
        <v>2228.0</v>
      </c>
    </row>
    <row r="38" ht="14.25" customHeight="1">
      <c r="A38" s="155" t="s">
        <v>246</v>
      </c>
      <c r="B38" s="156">
        <v>1220.0</v>
      </c>
      <c r="C38" s="157">
        <v>6306.0</v>
      </c>
    </row>
    <row r="39" ht="14.25" customHeight="1">
      <c r="A39" s="155" t="s">
        <v>247</v>
      </c>
      <c r="B39" s="156">
        <v>461.0</v>
      </c>
      <c r="C39" s="157">
        <v>1331.0</v>
      </c>
    </row>
    <row r="40" ht="14.25" customHeight="1">
      <c r="A40" s="155" t="s">
        <v>248</v>
      </c>
      <c r="B40" s="156">
        <v>213.0</v>
      </c>
      <c r="C40" s="157">
        <v>1221.0</v>
      </c>
    </row>
    <row r="41" ht="14.25" customHeight="1">
      <c r="A41" s="155" t="s">
        <v>249</v>
      </c>
      <c r="B41" s="156">
        <v>78.0</v>
      </c>
      <c r="C41" s="157">
        <v>455.0</v>
      </c>
    </row>
    <row r="42" ht="14.25" customHeight="1">
      <c r="A42" s="155" t="s">
        <v>250</v>
      </c>
      <c r="B42" s="156">
        <v>0.0</v>
      </c>
      <c r="C42" s="157">
        <v>0.0</v>
      </c>
    </row>
    <row r="43" ht="14.25" customHeight="1">
      <c r="A43" s="155" t="s">
        <v>251</v>
      </c>
      <c r="B43" s="156">
        <v>0.0</v>
      </c>
      <c r="C43" s="157">
        <v>0.0</v>
      </c>
    </row>
    <row r="44" ht="14.25" customHeight="1">
      <c r="A44" s="155" t="s">
        <v>252</v>
      </c>
      <c r="B44" s="156">
        <v>44.0</v>
      </c>
      <c r="C44" s="157">
        <v>738.0</v>
      </c>
    </row>
    <row r="45" ht="14.25" customHeight="1">
      <c r="A45" s="155" t="s">
        <v>253</v>
      </c>
      <c r="B45" s="156">
        <v>0.0</v>
      </c>
      <c r="C45" s="157">
        <v>0.0</v>
      </c>
    </row>
    <row r="46" ht="14.25" customHeight="1">
      <c r="A46" s="155" t="s">
        <v>254</v>
      </c>
      <c r="B46" s="156">
        <v>7.0</v>
      </c>
      <c r="C46" s="157">
        <v>2405.0</v>
      </c>
    </row>
    <row r="47" ht="14.25" customHeight="1">
      <c r="A47" s="155" t="s">
        <v>255</v>
      </c>
      <c r="B47" s="156">
        <v>120.0</v>
      </c>
      <c r="C47" s="157">
        <v>759.0</v>
      </c>
    </row>
    <row r="48" ht="14.25" customHeight="1">
      <c r="A48" s="155" t="s">
        <v>256</v>
      </c>
      <c r="B48" s="156">
        <v>140.0</v>
      </c>
      <c r="C48" s="157">
        <v>682.0</v>
      </c>
    </row>
    <row r="49" ht="14.25" customHeight="1">
      <c r="A49" s="155" t="s">
        <v>257</v>
      </c>
      <c r="B49" s="156">
        <v>12.0</v>
      </c>
      <c r="C49" s="157">
        <v>153.0</v>
      </c>
    </row>
    <row r="50" ht="14.25" customHeight="1">
      <c r="A50" s="155" t="s">
        <v>258</v>
      </c>
      <c r="B50" s="156">
        <v>87.0</v>
      </c>
      <c r="C50" s="157">
        <v>624.0</v>
      </c>
    </row>
    <row r="51" ht="14.25" customHeight="1">
      <c r="A51" s="155" t="s">
        <v>259</v>
      </c>
      <c r="B51" s="156">
        <v>96.0</v>
      </c>
      <c r="C51" s="157">
        <v>917.0</v>
      </c>
    </row>
    <row r="52" ht="14.25" customHeight="1">
      <c r="A52" s="155" t="s">
        <v>260</v>
      </c>
      <c r="B52" s="156">
        <v>280.0</v>
      </c>
      <c r="C52" s="157">
        <v>965.0</v>
      </c>
    </row>
    <row r="53" ht="14.25" customHeight="1">
      <c r="A53" s="155" t="s">
        <v>261</v>
      </c>
      <c r="B53" s="156">
        <v>205.0</v>
      </c>
      <c r="C53" s="157">
        <v>1070.0</v>
      </c>
    </row>
    <row r="54" ht="14.25" customHeight="1">
      <c r="A54" s="155" t="s">
        <v>262</v>
      </c>
      <c r="B54" s="156">
        <v>391.0</v>
      </c>
      <c r="C54" s="157">
        <v>1431.0</v>
      </c>
    </row>
    <row r="55" ht="14.25" customHeight="1">
      <c r="A55" s="155" t="s">
        <v>263</v>
      </c>
      <c r="B55" s="156">
        <v>81.0</v>
      </c>
      <c r="C55" s="157">
        <v>384.0</v>
      </c>
    </row>
    <row r="56" ht="14.25" customHeight="1">
      <c r="A56" s="155" t="s">
        <v>264</v>
      </c>
      <c r="B56" s="156">
        <v>40.0</v>
      </c>
      <c r="C56" s="157">
        <v>771.0</v>
      </c>
    </row>
    <row r="57" ht="14.25" customHeight="1">
      <c r="A57" s="155" t="s">
        <v>265</v>
      </c>
      <c r="B57" s="156">
        <v>420.0</v>
      </c>
      <c r="C57" s="157">
        <v>1441.0</v>
      </c>
    </row>
    <row r="58" ht="14.25" customHeight="1">
      <c r="A58" s="155" t="s">
        <v>266</v>
      </c>
      <c r="B58" s="156">
        <v>0.0</v>
      </c>
      <c r="C58" s="157">
        <v>0.0</v>
      </c>
    </row>
    <row r="59" ht="14.25" customHeight="1">
      <c r="A59" s="155" t="s">
        <v>267</v>
      </c>
      <c r="B59" s="156">
        <v>845.0</v>
      </c>
      <c r="C59" s="157">
        <v>2034.0</v>
      </c>
    </row>
    <row r="60" ht="14.25" customHeight="1">
      <c r="A60" s="155" t="s">
        <v>268</v>
      </c>
      <c r="B60" s="156">
        <v>150.0</v>
      </c>
      <c r="C60" s="157">
        <v>1244.0</v>
      </c>
    </row>
    <row r="61" ht="14.25" customHeight="1">
      <c r="A61" s="155" t="s">
        <v>269</v>
      </c>
      <c r="B61" s="156">
        <v>19.0</v>
      </c>
      <c r="C61" s="157">
        <v>1156.0</v>
      </c>
    </row>
    <row r="62" ht="14.25" customHeight="1">
      <c r="A62" s="155" t="s">
        <v>270</v>
      </c>
      <c r="B62" s="156">
        <v>243.0</v>
      </c>
      <c r="C62" s="157">
        <v>2305.0</v>
      </c>
    </row>
    <row r="63" ht="14.25" customHeight="1">
      <c r="A63" s="155" t="s">
        <v>271</v>
      </c>
      <c r="B63" s="156">
        <v>1158.0</v>
      </c>
      <c r="C63" s="157">
        <v>3794.0</v>
      </c>
    </row>
    <row r="64" ht="14.25" customHeight="1">
      <c r="A64" s="155" t="s">
        <v>272</v>
      </c>
      <c r="B64" s="156">
        <v>834.0</v>
      </c>
      <c r="C64" s="157">
        <v>3272.0</v>
      </c>
    </row>
    <row r="65" ht="14.25" customHeight="1">
      <c r="A65" s="155" t="s">
        <v>273</v>
      </c>
      <c r="B65" s="156">
        <v>403.0</v>
      </c>
      <c r="C65" s="157">
        <v>1429.0</v>
      </c>
    </row>
    <row r="66" ht="14.25" customHeight="1">
      <c r="A66" s="155" t="s">
        <v>274</v>
      </c>
      <c r="B66" s="156">
        <v>1772.0</v>
      </c>
      <c r="C66" s="157">
        <v>5757.0</v>
      </c>
    </row>
    <row r="67" ht="14.25" customHeight="1">
      <c r="A67" s="155" t="s">
        <v>275</v>
      </c>
      <c r="B67" s="156">
        <v>1780.0</v>
      </c>
      <c r="C67" s="157">
        <v>4740.0</v>
      </c>
    </row>
    <row r="68" ht="14.25" customHeight="1">
      <c r="A68" s="155" t="s">
        <v>276</v>
      </c>
      <c r="B68" s="156">
        <v>2464.0</v>
      </c>
      <c r="C68" s="157">
        <v>6073.0</v>
      </c>
    </row>
    <row r="69" ht="14.25" customHeight="1">
      <c r="A69" s="155" t="s">
        <v>277</v>
      </c>
      <c r="B69" s="156">
        <v>392.0</v>
      </c>
      <c r="C69" s="157">
        <v>1770.0</v>
      </c>
    </row>
    <row r="70" ht="14.25" customHeight="1">
      <c r="A70" s="155" t="s">
        <v>278</v>
      </c>
      <c r="B70" s="156">
        <v>295.0</v>
      </c>
      <c r="C70" s="157">
        <v>1860.0</v>
      </c>
    </row>
    <row r="71" ht="14.25" customHeight="1">
      <c r="A71" s="155" t="s">
        <v>279</v>
      </c>
      <c r="B71" s="156">
        <v>0.0</v>
      </c>
      <c r="C71" s="157">
        <v>0.0</v>
      </c>
    </row>
    <row r="72" ht="14.25" customHeight="1">
      <c r="A72" s="155" t="s">
        <v>280</v>
      </c>
      <c r="B72" s="156">
        <v>531.0</v>
      </c>
      <c r="C72" s="157">
        <v>2458.0</v>
      </c>
    </row>
    <row r="73" ht="14.25" customHeight="1">
      <c r="A73" s="155" t="s">
        <v>281</v>
      </c>
      <c r="B73" s="156">
        <v>261.0</v>
      </c>
      <c r="C73" s="157">
        <v>1568.0</v>
      </c>
    </row>
    <row r="74" ht="14.25" customHeight="1">
      <c r="A74" s="155" t="s">
        <v>282</v>
      </c>
      <c r="B74" s="156">
        <v>97.0</v>
      </c>
      <c r="C74" s="157">
        <v>1069.0</v>
      </c>
    </row>
    <row r="75" ht="14.25" customHeight="1">
      <c r="A75" s="155" t="s">
        <v>283</v>
      </c>
      <c r="B75" s="156">
        <v>131.0</v>
      </c>
      <c r="C75" s="157">
        <v>949.0</v>
      </c>
    </row>
    <row r="76" ht="14.25" customHeight="1">
      <c r="A76" s="155" t="s">
        <v>284</v>
      </c>
      <c r="B76" s="156">
        <v>618.0</v>
      </c>
      <c r="C76" s="157">
        <v>2113.0</v>
      </c>
    </row>
    <row r="77" ht="14.25" customHeight="1">
      <c r="A77" s="155" t="s">
        <v>285</v>
      </c>
      <c r="B77" s="156">
        <v>780.0</v>
      </c>
      <c r="C77" s="157">
        <v>2097.0</v>
      </c>
    </row>
    <row r="78" ht="14.25" customHeight="1">
      <c r="A78" s="155" t="s">
        <v>286</v>
      </c>
      <c r="B78" s="156">
        <v>134.0</v>
      </c>
      <c r="C78" s="157">
        <v>1079.0</v>
      </c>
    </row>
    <row r="79" ht="14.25" customHeight="1">
      <c r="A79" s="159" t="s">
        <v>287</v>
      </c>
      <c r="B79" s="156">
        <v>1139.0</v>
      </c>
      <c r="C79" s="157" t="s">
        <v>30</v>
      </c>
    </row>
    <row r="80" ht="14.25" customHeight="1">
      <c r="A80" s="159" t="s">
        <v>118</v>
      </c>
      <c r="B80" s="156">
        <v>22376.0</v>
      </c>
      <c r="C80" s="157">
        <v>2118.0</v>
      </c>
    </row>
    <row r="81" ht="14.25" customHeight="1">
      <c r="A81" s="160" t="s">
        <v>288</v>
      </c>
    </row>
    <row r="82" ht="14.25" customHeight="1">
      <c r="A82" s="84" t="s">
        <v>289</v>
      </c>
    </row>
    <row r="83" ht="14.25" customHeight="1"/>
    <row r="84" ht="14.25" customHeight="1"/>
    <row r="85" ht="14.25" customHeight="1"/>
    <row r="86" ht="14.25" customHeight="1">
      <c r="A86" s="71" t="s">
        <v>0</v>
      </c>
      <c r="B86" s="72">
        <v>44090.0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2" t="s">
        <v>290</v>
      </c>
    </row>
    <row r="2">
      <c r="A2" s="163" t="s">
        <v>291</v>
      </c>
      <c r="B2" s="164"/>
      <c r="C2" s="164"/>
      <c r="D2" s="164"/>
    </row>
    <row r="3">
      <c r="A3" s="165" t="s">
        <v>292</v>
      </c>
      <c r="B3" s="166" t="s">
        <v>293</v>
      </c>
      <c r="C3" s="166" t="s">
        <v>294</v>
      </c>
      <c r="D3" s="167" t="s">
        <v>295</v>
      </c>
    </row>
    <row r="4">
      <c r="A4" s="168" t="s">
        <v>296</v>
      </c>
      <c r="B4" s="97"/>
      <c r="C4" s="97"/>
      <c r="D4" s="35"/>
    </row>
    <row r="5">
      <c r="A5" s="169" t="s">
        <v>297</v>
      </c>
      <c r="B5" s="170" t="s">
        <v>298</v>
      </c>
      <c r="C5" s="171">
        <v>0.0</v>
      </c>
      <c r="D5" s="172">
        <v>0.0</v>
      </c>
    </row>
    <row r="6">
      <c r="A6" s="169" t="s">
        <v>299</v>
      </c>
      <c r="B6" s="170" t="s">
        <v>300</v>
      </c>
      <c r="C6" s="171" t="s">
        <v>301</v>
      </c>
      <c r="D6" s="172" t="s">
        <v>302</v>
      </c>
    </row>
    <row r="7">
      <c r="A7" s="169" t="s">
        <v>303</v>
      </c>
      <c r="B7" s="170" t="s">
        <v>304</v>
      </c>
      <c r="C7" s="171">
        <v>0.0</v>
      </c>
      <c r="D7" s="172" t="s">
        <v>305</v>
      </c>
    </row>
    <row r="8">
      <c r="A8" s="169" t="s">
        <v>306</v>
      </c>
      <c r="B8" s="170" t="s">
        <v>307</v>
      </c>
      <c r="C8" s="171">
        <v>0.0</v>
      </c>
      <c r="D8" s="172" t="s">
        <v>298</v>
      </c>
    </row>
    <row r="9">
      <c r="A9" s="169" t="s">
        <v>308</v>
      </c>
      <c r="B9" s="170" t="s">
        <v>305</v>
      </c>
      <c r="C9" s="171">
        <v>0.0</v>
      </c>
      <c r="D9" s="172" t="s">
        <v>302</v>
      </c>
    </row>
    <row r="10">
      <c r="A10" s="169" t="s">
        <v>309</v>
      </c>
      <c r="B10" s="170" t="s">
        <v>310</v>
      </c>
      <c r="C10" s="171">
        <v>0.0</v>
      </c>
      <c r="D10" s="172" t="s">
        <v>301</v>
      </c>
    </row>
    <row r="11">
      <c r="A11" s="169" t="s">
        <v>311</v>
      </c>
      <c r="B11" s="170" t="s">
        <v>302</v>
      </c>
      <c r="C11" s="171">
        <v>0.0</v>
      </c>
      <c r="D11" s="172" t="s">
        <v>312</v>
      </c>
    </row>
    <row r="12">
      <c r="A12" s="169" t="s">
        <v>313</v>
      </c>
      <c r="B12" s="170" t="s">
        <v>307</v>
      </c>
      <c r="C12" s="171" t="s">
        <v>312</v>
      </c>
      <c r="D12" s="172" t="s">
        <v>312</v>
      </c>
    </row>
    <row r="13">
      <c r="A13" s="169" t="s">
        <v>314</v>
      </c>
      <c r="B13" s="170" t="s">
        <v>298</v>
      </c>
      <c r="C13" s="171" t="s">
        <v>312</v>
      </c>
      <c r="D13" s="172">
        <v>0.0</v>
      </c>
    </row>
    <row r="14">
      <c r="A14" s="169" t="s">
        <v>315</v>
      </c>
      <c r="B14" s="170" t="s">
        <v>316</v>
      </c>
      <c r="C14" s="171">
        <v>0.0</v>
      </c>
      <c r="D14" s="172" t="s">
        <v>302</v>
      </c>
    </row>
    <row r="15">
      <c r="A15" s="169" t="s">
        <v>317</v>
      </c>
      <c r="B15" s="170" t="s">
        <v>316</v>
      </c>
      <c r="C15" s="171">
        <v>0.0</v>
      </c>
      <c r="D15" s="172" t="s">
        <v>318</v>
      </c>
    </row>
    <row r="16">
      <c r="A16" s="169" t="s">
        <v>319</v>
      </c>
      <c r="B16" s="170" t="s">
        <v>307</v>
      </c>
      <c r="C16" s="171">
        <v>0.0</v>
      </c>
      <c r="D16" s="172" t="s">
        <v>312</v>
      </c>
    </row>
    <row r="17">
      <c r="A17" s="169" t="s">
        <v>320</v>
      </c>
      <c r="B17" s="170" t="s">
        <v>321</v>
      </c>
      <c r="C17" s="171">
        <v>0.0</v>
      </c>
      <c r="D17" s="172" t="s">
        <v>307</v>
      </c>
    </row>
    <row r="18">
      <c r="A18" s="169" t="s">
        <v>322</v>
      </c>
      <c r="B18" s="170" t="s">
        <v>321</v>
      </c>
      <c r="C18" s="171">
        <v>0.0</v>
      </c>
      <c r="D18" s="172" t="s">
        <v>302</v>
      </c>
    </row>
    <row r="19">
      <c r="A19" s="169" t="s">
        <v>323</v>
      </c>
      <c r="B19" s="170" t="s">
        <v>324</v>
      </c>
      <c r="C19" s="171">
        <v>0.0</v>
      </c>
      <c r="D19" s="172" t="s">
        <v>318</v>
      </c>
    </row>
    <row r="20">
      <c r="A20" s="169" t="s">
        <v>325</v>
      </c>
      <c r="B20" s="170" t="s">
        <v>326</v>
      </c>
      <c r="C20" s="171">
        <v>0.0</v>
      </c>
      <c r="D20" s="172" t="s">
        <v>298</v>
      </c>
    </row>
    <row r="21">
      <c r="A21" s="169" t="s">
        <v>327</v>
      </c>
      <c r="B21" s="170" t="s">
        <v>328</v>
      </c>
      <c r="C21" s="171">
        <v>0.0</v>
      </c>
      <c r="D21" s="172" t="s">
        <v>301</v>
      </c>
    </row>
    <row r="22">
      <c r="A22" s="169" t="s">
        <v>329</v>
      </c>
      <c r="B22" s="170" t="s">
        <v>330</v>
      </c>
      <c r="C22" s="171">
        <v>0.0</v>
      </c>
      <c r="D22" s="172" t="s">
        <v>307</v>
      </c>
    </row>
    <row r="23">
      <c r="A23" s="169" t="s">
        <v>331</v>
      </c>
      <c r="B23" s="170" t="s">
        <v>332</v>
      </c>
      <c r="C23" s="171" t="s">
        <v>298</v>
      </c>
      <c r="D23" s="172" t="s">
        <v>305</v>
      </c>
    </row>
    <row r="24">
      <c r="A24" s="169" t="s">
        <v>333</v>
      </c>
      <c r="B24" s="170" t="s">
        <v>334</v>
      </c>
      <c r="C24" s="171">
        <v>0.0</v>
      </c>
      <c r="D24" s="172">
        <v>0.0</v>
      </c>
    </row>
    <row r="25">
      <c r="A25" s="169" t="s">
        <v>335</v>
      </c>
      <c r="B25" s="170" t="s">
        <v>334</v>
      </c>
      <c r="C25" s="171">
        <v>0.0</v>
      </c>
      <c r="D25" s="172" t="s">
        <v>312</v>
      </c>
    </row>
    <row r="26">
      <c r="A26" s="169" t="s">
        <v>336</v>
      </c>
      <c r="B26" s="170" t="s">
        <v>307</v>
      </c>
      <c r="C26" s="171" t="s">
        <v>307</v>
      </c>
      <c r="D26" s="172">
        <v>0.0</v>
      </c>
    </row>
    <row r="27">
      <c r="A27" s="169" t="s">
        <v>337</v>
      </c>
      <c r="B27" s="170" t="s">
        <v>316</v>
      </c>
      <c r="C27" s="171">
        <v>0.0</v>
      </c>
      <c r="D27" s="172" t="s">
        <v>301</v>
      </c>
    </row>
    <row r="28">
      <c r="A28" s="169" t="s">
        <v>338</v>
      </c>
      <c r="B28" s="170" t="s">
        <v>334</v>
      </c>
      <c r="C28" s="171">
        <v>0.0</v>
      </c>
      <c r="D28" s="172">
        <v>0.0</v>
      </c>
    </row>
    <row r="29">
      <c r="A29" s="169" t="s">
        <v>339</v>
      </c>
      <c r="B29" s="170" t="s">
        <v>318</v>
      </c>
      <c r="C29" s="171">
        <v>0.0</v>
      </c>
      <c r="D29" s="172" t="s">
        <v>302</v>
      </c>
    </row>
    <row r="30">
      <c r="A30" s="169" t="s">
        <v>340</v>
      </c>
      <c r="B30" s="170" t="s">
        <v>301</v>
      </c>
      <c r="C30" s="171">
        <v>0.0</v>
      </c>
      <c r="D30" s="172" t="s">
        <v>312</v>
      </c>
    </row>
    <row r="31">
      <c r="A31" s="169" t="s">
        <v>341</v>
      </c>
      <c r="B31" s="170" t="s">
        <v>334</v>
      </c>
      <c r="C31" s="171" t="s">
        <v>312</v>
      </c>
      <c r="D31" s="172">
        <v>0.0</v>
      </c>
    </row>
    <row r="32">
      <c r="A32" s="169" t="s">
        <v>342</v>
      </c>
      <c r="B32" s="170" t="s">
        <v>334</v>
      </c>
      <c r="C32" s="171">
        <v>0.0</v>
      </c>
      <c r="D32" s="172">
        <v>0.0</v>
      </c>
    </row>
    <row r="33">
      <c r="A33" s="169" t="s">
        <v>343</v>
      </c>
      <c r="B33" s="170" t="s">
        <v>298</v>
      </c>
      <c r="C33" s="171">
        <v>0.0</v>
      </c>
      <c r="D33" s="172">
        <v>0.0</v>
      </c>
    </row>
    <row r="34">
      <c r="A34" s="169" t="s">
        <v>344</v>
      </c>
      <c r="B34" s="170" t="s">
        <v>345</v>
      </c>
      <c r="C34" s="171">
        <v>0.0</v>
      </c>
      <c r="D34" s="172" t="s">
        <v>318</v>
      </c>
    </row>
    <row r="35">
      <c r="A35" s="169" t="s">
        <v>346</v>
      </c>
      <c r="B35" s="170" t="s">
        <v>347</v>
      </c>
      <c r="C35" s="171">
        <v>0.0</v>
      </c>
      <c r="D35" s="172" t="s">
        <v>301</v>
      </c>
    </row>
    <row r="36">
      <c r="A36" s="169" t="s">
        <v>348</v>
      </c>
      <c r="B36" s="170" t="s">
        <v>318</v>
      </c>
      <c r="C36" s="171">
        <v>0.0</v>
      </c>
      <c r="D36" s="172" t="s">
        <v>312</v>
      </c>
    </row>
    <row r="37">
      <c r="A37" s="169" t="s">
        <v>349</v>
      </c>
      <c r="B37" s="170" t="s">
        <v>305</v>
      </c>
      <c r="C37" s="171">
        <v>0.0</v>
      </c>
      <c r="D37" s="172" t="s">
        <v>302</v>
      </c>
    </row>
    <row r="38">
      <c r="A38" s="169" t="s">
        <v>350</v>
      </c>
      <c r="B38" s="170" t="s">
        <v>318</v>
      </c>
      <c r="C38" s="171">
        <v>0.0</v>
      </c>
      <c r="D38" s="172" t="s">
        <v>298</v>
      </c>
    </row>
    <row r="39">
      <c r="A39" s="169" t="s">
        <v>351</v>
      </c>
      <c r="B39" s="170" t="s">
        <v>316</v>
      </c>
      <c r="C39" s="171">
        <v>0.0</v>
      </c>
      <c r="D39" s="172" t="s">
        <v>301</v>
      </c>
    </row>
    <row r="40">
      <c r="A40" s="169" t="s">
        <v>352</v>
      </c>
      <c r="B40" s="170" t="s">
        <v>324</v>
      </c>
      <c r="C40" s="171">
        <v>0.0</v>
      </c>
      <c r="D40" s="172" t="s">
        <v>318</v>
      </c>
    </row>
    <row r="41">
      <c r="A41" s="169" t="s">
        <v>353</v>
      </c>
      <c r="B41" s="170" t="s">
        <v>316</v>
      </c>
      <c r="C41" s="171">
        <v>0.0</v>
      </c>
      <c r="D41" s="172" t="s">
        <v>301</v>
      </c>
    </row>
    <row r="42">
      <c r="A42" s="169" t="s">
        <v>354</v>
      </c>
      <c r="B42" s="170" t="s">
        <v>355</v>
      </c>
      <c r="C42" s="171">
        <v>0.0</v>
      </c>
      <c r="D42" s="172" t="s">
        <v>326</v>
      </c>
    </row>
    <row r="43">
      <c r="A43" s="169" t="s">
        <v>356</v>
      </c>
      <c r="B43" s="170" t="s">
        <v>326</v>
      </c>
      <c r="C43" s="171" t="s">
        <v>312</v>
      </c>
      <c r="D43" s="172" t="s">
        <v>312</v>
      </c>
    </row>
    <row r="44">
      <c r="A44" s="169" t="s">
        <v>357</v>
      </c>
      <c r="B44" s="170" t="s">
        <v>301</v>
      </c>
      <c r="C44" s="171" t="s">
        <v>312</v>
      </c>
      <c r="D44" s="172" t="s">
        <v>298</v>
      </c>
    </row>
    <row r="45">
      <c r="A45" s="169" t="s">
        <v>358</v>
      </c>
      <c r="B45" s="170" t="s">
        <v>359</v>
      </c>
      <c r="C45" s="171" t="s">
        <v>298</v>
      </c>
      <c r="D45" s="172" t="s">
        <v>302</v>
      </c>
    </row>
    <row r="46">
      <c r="A46" s="169" t="s">
        <v>360</v>
      </c>
      <c r="B46" s="170" t="s">
        <v>334</v>
      </c>
      <c r="C46" s="171" t="s">
        <v>312</v>
      </c>
      <c r="D46" s="172">
        <v>0.0</v>
      </c>
    </row>
    <row r="47">
      <c r="A47" s="169" t="s">
        <v>361</v>
      </c>
      <c r="B47" s="170" t="s">
        <v>310</v>
      </c>
      <c r="C47" s="171">
        <v>0.0</v>
      </c>
      <c r="D47" s="172" t="s">
        <v>301</v>
      </c>
    </row>
    <row r="48">
      <c r="A48" s="169" t="s">
        <v>362</v>
      </c>
      <c r="B48" s="170" t="s">
        <v>334</v>
      </c>
      <c r="C48" s="171" t="s">
        <v>312</v>
      </c>
      <c r="D48" s="172">
        <v>0.0</v>
      </c>
    </row>
    <row r="49">
      <c r="A49" s="169" t="s">
        <v>363</v>
      </c>
      <c r="B49" s="170" t="s">
        <v>302</v>
      </c>
      <c r="C49" s="171">
        <v>0.0</v>
      </c>
      <c r="D49" s="172" t="s">
        <v>312</v>
      </c>
    </row>
    <row r="50">
      <c r="A50" s="169" t="s">
        <v>364</v>
      </c>
      <c r="B50" s="170" t="s">
        <v>365</v>
      </c>
      <c r="C50" s="171">
        <v>0.0</v>
      </c>
      <c r="D50" s="172" t="s">
        <v>301</v>
      </c>
    </row>
    <row r="51">
      <c r="A51" s="173" t="s">
        <v>366</v>
      </c>
      <c r="B51" s="174" t="s">
        <v>302</v>
      </c>
      <c r="C51" s="174" t="s">
        <v>298</v>
      </c>
      <c r="D51" s="174">
        <v>0.0</v>
      </c>
    </row>
    <row r="52">
      <c r="A52" s="169" t="s">
        <v>367</v>
      </c>
      <c r="B52" s="170" t="s">
        <v>334</v>
      </c>
      <c r="C52" s="171">
        <v>0.0</v>
      </c>
      <c r="D52" s="172">
        <v>0.0</v>
      </c>
    </row>
    <row r="53">
      <c r="A53" s="169" t="s">
        <v>368</v>
      </c>
      <c r="B53" s="170" t="s">
        <v>324</v>
      </c>
      <c r="C53" s="171">
        <v>0.0</v>
      </c>
      <c r="D53" s="172" t="s">
        <v>318</v>
      </c>
    </row>
    <row r="54">
      <c r="A54" s="169" t="s">
        <v>369</v>
      </c>
      <c r="B54" s="170" t="s">
        <v>301</v>
      </c>
      <c r="C54" s="171">
        <v>0.0</v>
      </c>
      <c r="D54" s="172" t="s">
        <v>298</v>
      </c>
    </row>
    <row r="55">
      <c r="A55" s="169" t="s">
        <v>370</v>
      </c>
      <c r="B55" s="170" t="s">
        <v>316</v>
      </c>
      <c r="C55" s="171">
        <v>0.0</v>
      </c>
      <c r="D55" s="172" t="s">
        <v>318</v>
      </c>
    </row>
    <row r="56">
      <c r="A56" s="169" t="s">
        <v>371</v>
      </c>
      <c r="B56" s="170" t="s">
        <v>330</v>
      </c>
      <c r="C56" s="171">
        <v>0.0</v>
      </c>
      <c r="D56" s="172" t="s">
        <v>301</v>
      </c>
    </row>
    <row r="57">
      <c r="A57" s="169" t="s">
        <v>372</v>
      </c>
      <c r="B57" s="170" t="s">
        <v>347</v>
      </c>
      <c r="C57" s="171">
        <v>0.0</v>
      </c>
      <c r="D57" s="172" t="s">
        <v>373</v>
      </c>
    </row>
    <row r="58">
      <c r="A58" s="169" t="s">
        <v>374</v>
      </c>
      <c r="B58" s="170" t="s">
        <v>301</v>
      </c>
      <c r="C58" s="171">
        <v>0.0</v>
      </c>
      <c r="D58" s="172" t="s">
        <v>312</v>
      </c>
    </row>
    <row r="59">
      <c r="A59" s="169" t="s">
        <v>375</v>
      </c>
      <c r="B59" s="170" t="s">
        <v>334</v>
      </c>
      <c r="C59" s="171">
        <v>0.0</v>
      </c>
      <c r="D59" s="172">
        <v>0.0</v>
      </c>
    </row>
    <row r="60">
      <c r="A60" s="169" t="s">
        <v>376</v>
      </c>
      <c r="B60" s="170" t="s">
        <v>326</v>
      </c>
      <c r="C60" s="171">
        <v>0.0</v>
      </c>
      <c r="D60" s="172" t="s">
        <v>302</v>
      </c>
    </row>
    <row r="61">
      <c r="A61" s="169" t="s">
        <v>377</v>
      </c>
      <c r="B61" s="170" t="s">
        <v>328</v>
      </c>
      <c r="C61" s="171" t="s">
        <v>312</v>
      </c>
      <c r="D61" s="172" t="s">
        <v>326</v>
      </c>
    </row>
    <row r="62">
      <c r="A62" s="169" t="s">
        <v>378</v>
      </c>
      <c r="B62" s="170" t="s">
        <v>310</v>
      </c>
      <c r="C62" s="171">
        <v>0.0</v>
      </c>
      <c r="D62" s="172" t="s">
        <v>307</v>
      </c>
    </row>
    <row r="63">
      <c r="A63" s="169" t="s">
        <v>379</v>
      </c>
      <c r="B63" s="170" t="s">
        <v>359</v>
      </c>
      <c r="C63" s="171">
        <v>0.0</v>
      </c>
      <c r="D63" s="172" t="s">
        <v>301</v>
      </c>
    </row>
    <row r="64">
      <c r="A64" s="175" t="s">
        <v>380</v>
      </c>
      <c r="B64" s="176" t="s">
        <v>381</v>
      </c>
      <c r="C64" s="177" t="s">
        <v>365</v>
      </c>
      <c r="D64" s="178" t="s">
        <v>382</v>
      </c>
    </row>
    <row r="65">
      <c r="A65" s="168" t="s">
        <v>383</v>
      </c>
      <c r="B65" s="97"/>
      <c r="C65" s="97"/>
      <c r="D65" s="35"/>
    </row>
    <row r="66">
      <c r="A66" s="179" t="s">
        <v>384</v>
      </c>
      <c r="B66" s="180" t="s">
        <v>298</v>
      </c>
      <c r="C66" s="181">
        <v>0.0</v>
      </c>
      <c r="D66" s="182" t="s">
        <v>312</v>
      </c>
    </row>
    <row r="67">
      <c r="A67" s="169" t="s">
        <v>385</v>
      </c>
      <c r="B67" s="170" t="s">
        <v>334</v>
      </c>
      <c r="C67" s="171">
        <v>0.0</v>
      </c>
      <c r="D67" s="172">
        <v>0.0</v>
      </c>
    </row>
    <row r="68">
      <c r="A68" s="169" t="s">
        <v>386</v>
      </c>
      <c r="B68" s="170" t="s">
        <v>334</v>
      </c>
      <c r="C68" s="171" t="s">
        <v>312</v>
      </c>
      <c r="D68" s="172">
        <v>0.0</v>
      </c>
    </row>
    <row r="69">
      <c r="A69" s="169" t="s">
        <v>387</v>
      </c>
      <c r="B69" s="170" t="s">
        <v>334</v>
      </c>
      <c r="C69" s="171">
        <v>0.0</v>
      </c>
      <c r="D69" s="172" t="s">
        <v>312</v>
      </c>
    </row>
    <row r="70">
      <c r="A70" s="169" t="s">
        <v>388</v>
      </c>
      <c r="B70" s="170" t="s">
        <v>301</v>
      </c>
      <c r="C70" s="171">
        <v>0.0</v>
      </c>
      <c r="D70" s="183" t="s">
        <v>298</v>
      </c>
    </row>
    <row r="71">
      <c r="A71" s="184" t="s">
        <v>389</v>
      </c>
      <c r="B71" s="170" t="s">
        <v>390</v>
      </c>
      <c r="C71" s="171">
        <v>0.0</v>
      </c>
      <c r="D71" s="172" t="s">
        <v>302</v>
      </c>
    </row>
    <row r="72">
      <c r="A72" s="169" t="s">
        <v>391</v>
      </c>
      <c r="B72" s="170" t="s">
        <v>305</v>
      </c>
      <c r="C72" s="171" t="s">
        <v>312</v>
      </c>
      <c r="D72" s="172" t="s">
        <v>298</v>
      </c>
    </row>
    <row r="73">
      <c r="A73" s="169" t="s">
        <v>392</v>
      </c>
      <c r="B73" s="170" t="s">
        <v>307</v>
      </c>
      <c r="C73" s="171">
        <v>0.0</v>
      </c>
      <c r="D73" s="172" t="s">
        <v>312</v>
      </c>
    </row>
    <row r="74">
      <c r="A74" s="169" t="s">
        <v>393</v>
      </c>
      <c r="B74" s="170" t="s">
        <v>302</v>
      </c>
      <c r="C74" s="171">
        <v>0.0</v>
      </c>
      <c r="D74" s="172" t="s">
        <v>312</v>
      </c>
    </row>
    <row r="75">
      <c r="A75" s="169" t="s">
        <v>394</v>
      </c>
      <c r="B75" s="170" t="s">
        <v>307</v>
      </c>
      <c r="C75" s="171">
        <v>0.0</v>
      </c>
      <c r="D75" s="172" t="s">
        <v>312</v>
      </c>
    </row>
    <row r="76">
      <c r="A76" s="169" t="s">
        <v>395</v>
      </c>
      <c r="B76" s="170" t="s">
        <v>298</v>
      </c>
      <c r="C76" s="171">
        <v>0.0</v>
      </c>
      <c r="D76" s="172" t="s">
        <v>312</v>
      </c>
    </row>
    <row r="77">
      <c r="A77" s="184" t="s">
        <v>396</v>
      </c>
      <c r="B77" s="170" t="s">
        <v>373</v>
      </c>
      <c r="C77" s="171" t="s">
        <v>318</v>
      </c>
      <c r="D77" s="172" t="s">
        <v>312</v>
      </c>
    </row>
    <row r="78">
      <c r="A78" s="184" t="s">
        <v>397</v>
      </c>
      <c r="B78" s="170" t="s">
        <v>301</v>
      </c>
      <c r="C78" s="171">
        <v>0.0</v>
      </c>
      <c r="D78" s="172" t="s">
        <v>302</v>
      </c>
    </row>
    <row r="79">
      <c r="A79" s="184" t="s">
        <v>398</v>
      </c>
      <c r="B79" s="170" t="s">
        <v>307</v>
      </c>
      <c r="C79" s="171">
        <v>0.0</v>
      </c>
      <c r="D79" s="172" t="s">
        <v>312</v>
      </c>
    </row>
    <row r="80">
      <c r="A80" s="175" t="s">
        <v>380</v>
      </c>
      <c r="B80" s="176" t="s">
        <v>399</v>
      </c>
      <c r="C80" s="177" t="s">
        <v>373</v>
      </c>
      <c r="D80" s="178" t="s">
        <v>390</v>
      </c>
    </row>
    <row r="81">
      <c r="A81" s="185" t="s">
        <v>400</v>
      </c>
      <c r="B81" s="186"/>
      <c r="C81" s="186"/>
      <c r="D81" s="186"/>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7">
        <f>IFERROR(__xludf.DUMMYFUNCTION("filter( Trends!A1:AO1000, row(Trends!A1:A1000) &gt; counta(Trends!A1:A1000) - 199 )"),43892.0)</f>
        <v>43892</v>
      </c>
      <c r="B1" s="149">
        <f>IFERROR(__xludf.DUMMYFUNCTION("""COMPUTED_VALUE"""),0.0)</f>
        <v>0</v>
      </c>
      <c r="C1" s="149">
        <f>IFERROR(__xludf.DUMMYFUNCTION("""COMPUTED_VALUE"""),1.0)</f>
        <v>1</v>
      </c>
      <c r="D1" s="149">
        <f>IFERROR(__xludf.DUMMYFUNCTION("""COMPUTED_VALUE"""),2.0)</f>
        <v>2</v>
      </c>
      <c r="E1" s="149">
        <f>IFERROR(__xludf.DUMMYFUNCTION("""COMPUTED_VALUE"""),1.0)</f>
        <v>1</v>
      </c>
      <c r="F1" s="149">
        <f>IFERROR(__xludf.DUMMYFUNCTION("""COMPUTED_VALUE"""),4.0)</f>
        <v>4</v>
      </c>
      <c r="G1" s="149">
        <f>IFERROR(__xludf.DUMMYFUNCTION("""COMPUTED_VALUE"""),1.0)</f>
        <v>1</v>
      </c>
      <c r="H1" s="149">
        <f>IFERROR(__xludf.DUMMYFUNCTION("""COMPUTED_VALUE"""),6.0)</f>
        <v>6</v>
      </c>
      <c r="I1" s="149">
        <f>IFERROR(__xludf.DUMMYFUNCTION("""COMPUTED_VALUE"""),0.0)</f>
        <v>0</v>
      </c>
      <c r="J1" s="149">
        <f>IFERROR(__xludf.DUMMYFUNCTION("""COMPUTED_VALUE"""),1.0)</f>
        <v>1</v>
      </c>
      <c r="K1" s="149">
        <f>IFERROR(__xludf.DUMMYFUNCTION("""COMPUTED_VALUE"""),2.0)</f>
        <v>2</v>
      </c>
      <c r="L1" s="149">
        <f>IFERROR(__xludf.DUMMYFUNCTION("""COMPUTED_VALUE"""),1.0)</f>
        <v>1</v>
      </c>
      <c r="M1" s="149">
        <f>IFERROR(__xludf.DUMMYFUNCTION("""COMPUTED_VALUE"""),3.0)</f>
        <v>3</v>
      </c>
      <c r="N1" s="149">
        <f>IFERROR(__xludf.DUMMYFUNCTION("""COMPUTED_VALUE"""),5.0)</f>
        <v>5</v>
      </c>
      <c r="O1" s="149">
        <f>IFERROR(__xludf.DUMMYFUNCTION("""COMPUTED_VALUE"""),1.0)</f>
        <v>1</v>
      </c>
      <c r="P1" s="149">
        <f>IFERROR(__xludf.DUMMYFUNCTION("""COMPUTED_VALUE"""),2.0)</f>
        <v>2</v>
      </c>
      <c r="Q1" s="149">
        <f>IFERROR(__xludf.DUMMYFUNCTION("""COMPUTED_VALUE"""),0.0)</f>
        <v>0</v>
      </c>
      <c r="R1" s="149">
        <f>IFERROR(__xludf.DUMMYFUNCTION("""COMPUTED_VALUE"""),0.0)</f>
        <v>0</v>
      </c>
      <c r="S1" s="149">
        <f>IFERROR(__xludf.DUMMYFUNCTION("""COMPUTED_VALUE"""),0.0)</f>
        <v>0</v>
      </c>
      <c r="T1" s="149">
        <f>IFERROR(__xludf.DUMMYFUNCTION("""COMPUTED_VALUE"""),0.0)</f>
        <v>0</v>
      </c>
      <c r="U1" s="149">
        <f>IFERROR(__xludf.DUMMYFUNCTION("""COMPUTED_VALUE"""),2.0)</f>
        <v>2</v>
      </c>
      <c r="V1" s="149">
        <f>IFERROR(__xludf.DUMMYFUNCTION("""COMPUTED_VALUE"""),1.0)</f>
        <v>1</v>
      </c>
      <c r="W1" s="149">
        <f>IFERROR(__xludf.DUMMYFUNCTION("""COMPUTED_VALUE"""),2.0)</f>
        <v>2</v>
      </c>
      <c r="X1" s="149">
        <f>IFERROR(__xludf.DUMMYFUNCTION("""COMPUTED_VALUE"""),2.0)</f>
        <v>2</v>
      </c>
      <c r="Y1" s="149">
        <f>IFERROR(__xludf.DUMMYFUNCTION("""COMPUTED_VALUE"""),0.0)</f>
        <v>0</v>
      </c>
      <c r="Z1" s="149">
        <f>IFERROR(__xludf.DUMMYFUNCTION("""COMPUTED_VALUE"""),0.0)</f>
        <v>0</v>
      </c>
    </row>
    <row r="2">
      <c r="A2" s="187">
        <f>IFERROR(__xludf.DUMMYFUNCTION("""COMPUTED_VALUE"""),43893.0)</f>
        <v>43893</v>
      </c>
      <c r="B2" s="149">
        <f>IFERROR(__xludf.DUMMYFUNCTION("""COMPUTED_VALUE"""),0.0)</f>
        <v>0</v>
      </c>
      <c r="C2" s="149">
        <f>IFERROR(__xludf.DUMMYFUNCTION("""COMPUTED_VALUE"""),1.0)</f>
        <v>1</v>
      </c>
      <c r="D2" s="149">
        <f>IFERROR(__xludf.DUMMYFUNCTION("""COMPUTED_VALUE"""),2.0)</f>
        <v>2</v>
      </c>
      <c r="E2" s="149">
        <f>IFERROR(__xludf.DUMMYFUNCTION("""COMPUTED_VALUE"""),2.0)</f>
        <v>2</v>
      </c>
      <c r="F2" s="149">
        <f>IFERROR(__xludf.DUMMYFUNCTION("""COMPUTED_VALUE"""),6.0)</f>
        <v>6</v>
      </c>
      <c r="G2" s="149">
        <f>IFERROR(__xludf.DUMMYFUNCTION("""COMPUTED_VALUE"""),2.0)</f>
        <v>2</v>
      </c>
      <c r="H2" s="149">
        <f>IFERROR(__xludf.DUMMYFUNCTION("""COMPUTED_VALUE"""),8.0)</f>
        <v>8</v>
      </c>
      <c r="I2" s="149">
        <f>IFERROR(__xludf.DUMMYFUNCTION("""COMPUTED_VALUE"""),0.0)</f>
        <v>0</v>
      </c>
      <c r="J2" s="149">
        <f>IFERROR(__xludf.DUMMYFUNCTION("""COMPUTED_VALUE"""),1.0)</f>
        <v>1</v>
      </c>
      <c r="K2" s="149">
        <f>IFERROR(__xludf.DUMMYFUNCTION("""COMPUTED_VALUE"""),2.0)</f>
        <v>2</v>
      </c>
      <c r="L2" s="149">
        <f>IFERROR(__xludf.DUMMYFUNCTION("""COMPUTED_VALUE"""),2.0)</f>
        <v>2</v>
      </c>
      <c r="M2" s="149">
        <f>IFERROR(__xludf.DUMMYFUNCTION("""COMPUTED_VALUE"""),5.0)</f>
        <v>5</v>
      </c>
      <c r="N2" s="149">
        <f>IFERROR(__xludf.DUMMYFUNCTION("""COMPUTED_VALUE"""),7.0)</f>
        <v>7</v>
      </c>
      <c r="O2" s="149">
        <f>IFERROR(__xludf.DUMMYFUNCTION("""COMPUTED_VALUE"""),0.0)</f>
        <v>0</v>
      </c>
      <c r="P2" s="149">
        <f>IFERROR(__xludf.DUMMYFUNCTION("""COMPUTED_VALUE"""),2.0)</f>
        <v>2</v>
      </c>
      <c r="Q2" s="149">
        <f>IFERROR(__xludf.DUMMYFUNCTION("""COMPUTED_VALUE"""),0.0)</f>
        <v>0</v>
      </c>
      <c r="R2" s="149">
        <f>IFERROR(__xludf.DUMMYFUNCTION("""COMPUTED_VALUE"""),0.0)</f>
        <v>0</v>
      </c>
      <c r="S2" s="149">
        <f>IFERROR(__xludf.DUMMYFUNCTION("""COMPUTED_VALUE"""),0.0)</f>
        <v>0</v>
      </c>
      <c r="T2" s="149">
        <f>IFERROR(__xludf.DUMMYFUNCTION("""COMPUTED_VALUE"""),0.0)</f>
        <v>0</v>
      </c>
      <c r="U2" s="149">
        <f>IFERROR(__xludf.DUMMYFUNCTION("""COMPUTED_VALUE"""),2.0)</f>
        <v>2</v>
      </c>
      <c r="V2" s="149">
        <f>IFERROR(__xludf.DUMMYFUNCTION("""COMPUTED_VALUE"""),2.0)</f>
        <v>2</v>
      </c>
      <c r="W2" s="149">
        <f>IFERROR(__xludf.DUMMYFUNCTION("""COMPUTED_VALUE"""),2.0)</f>
        <v>2</v>
      </c>
      <c r="X2" s="149">
        <f>IFERROR(__xludf.DUMMYFUNCTION("""COMPUTED_VALUE"""),2.0)</f>
        <v>2</v>
      </c>
      <c r="Y2" s="149">
        <f>IFERROR(__xludf.DUMMYFUNCTION("""COMPUTED_VALUE"""),0.0)</f>
        <v>0</v>
      </c>
      <c r="Z2" s="149">
        <f>IFERROR(__xludf.DUMMYFUNCTION("""COMPUTED_VALUE"""),0.0)</f>
        <v>0</v>
      </c>
    </row>
    <row r="3">
      <c r="A3" s="187">
        <f>IFERROR(__xludf.DUMMYFUNCTION("""COMPUTED_VALUE"""),43894.0)</f>
        <v>43894</v>
      </c>
      <c r="B3" s="149">
        <f>IFERROR(__xludf.DUMMYFUNCTION("""COMPUTED_VALUE"""),0.0)</f>
        <v>0</v>
      </c>
      <c r="C3" s="149">
        <f>IFERROR(__xludf.DUMMYFUNCTION("""COMPUTED_VALUE"""),0.0)</f>
        <v>0</v>
      </c>
      <c r="D3" s="149">
        <f>IFERROR(__xludf.DUMMYFUNCTION("""COMPUTED_VALUE"""),2.0)</f>
        <v>2</v>
      </c>
      <c r="E3" s="149">
        <f>IFERROR(__xludf.DUMMYFUNCTION("""COMPUTED_VALUE"""),12.0)</f>
        <v>12</v>
      </c>
      <c r="F3" s="149">
        <f>IFERROR(__xludf.DUMMYFUNCTION("""COMPUTED_VALUE"""),18.0)</f>
        <v>18</v>
      </c>
      <c r="G3" s="149">
        <f>IFERROR(__xludf.DUMMYFUNCTION("""COMPUTED_VALUE"""),12.0)</f>
        <v>12</v>
      </c>
      <c r="H3" s="149">
        <f>IFERROR(__xludf.DUMMYFUNCTION("""COMPUTED_VALUE"""),20.0)</f>
        <v>20</v>
      </c>
      <c r="I3" s="149">
        <f>IFERROR(__xludf.DUMMYFUNCTION("""COMPUTED_VALUE"""),0.0)</f>
        <v>0</v>
      </c>
      <c r="J3" s="149">
        <f>IFERROR(__xludf.DUMMYFUNCTION("""COMPUTED_VALUE"""),0.0)</f>
        <v>0</v>
      </c>
      <c r="K3" s="149">
        <f>IFERROR(__xludf.DUMMYFUNCTION("""COMPUTED_VALUE"""),2.0)</f>
        <v>2</v>
      </c>
      <c r="L3" s="149">
        <f>IFERROR(__xludf.DUMMYFUNCTION("""COMPUTED_VALUE"""),10.0)</f>
        <v>10</v>
      </c>
      <c r="M3" s="149">
        <f>IFERROR(__xludf.DUMMYFUNCTION("""COMPUTED_VALUE"""),15.0)</f>
        <v>15</v>
      </c>
      <c r="N3" s="149">
        <f>IFERROR(__xludf.DUMMYFUNCTION("""COMPUTED_VALUE"""),17.0)</f>
        <v>17</v>
      </c>
      <c r="O3" s="149">
        <f>IFERROR(__xludf.DUMMYFUNCTION("""COMPUTED_VALUE"""),1.0)</f>
        <v>1</v>
      </c>
      <c r="P3" s="149">
        <f>IFERROR(__xludf.DUMMYFUNCTION("""COMPUTED_VALUE"""),3.0)</f>
        <v>3</v>
      </c>
      <c r="Q3" s="149">
        <f>IFERROR(__xludf.DUMMYFUNCTION("""COMPUTED_VALUE"""),0.0)</f>
        <v>0</v>
      </c>
      <c r="R3" s="149">
        <f>IFERROR(__xludf.DUMMYFUNCTION("""COMPUTED_VALUE"""),0.0)</f>
        <v>0</v>
      </c>
      <c r="S3" s="149">
        <f>IFERROR(__xludf.DUMMYFUNCTION("""COMPUTED_VALUE"""),0.0)</f>
        <v>0</v>
      </c>
      <c r="T3" s="149">
        <f>IFERROR(__xludf.DUMMYFUNCTION("""COMPUTED_VALUE"""),0.0)</f>
        <v>0</v>
      </c>
      <c r="U3" s="149">
        <f>IFERROR(__xludf.DUMMYFUNCTION("""COMPUTED_VALUE"""),3.0)</f>
        <v>3</v>
      </c>
      <c r="V3" s="149">
        <f>IFERROR(__xludf.DUMMYFUNCTION("""COMPUTED_VALUE"""),2.0)</f>
        <v>2</v>
      </c>
      <c r="W3" s="149">
        <f>IFERROR(__xludf.DUMMYFUNCTION("""COMPUTED_VALUE"""),2.0)</f>
        <v>2</v>
      </c>
      <c r="X3" s="149">
        <f>IFERROR(__xludf.DUMMYFUNCTION("""COMPUTED_VALUE"""),2.0)</f>
        <v>2</v>
      </c>
      <c r="Y3" s="149">
        <f>IFERROR(__xludf.DUMMYFUNCTION("""COMPUTED_VALUE"""),0.0)</f>
        <v>0</v>
      </c>
      <c r="Z3" s="149">
        <f>IFERROR(__xludf.DUMMYFUNCTION("""COMPUTED_VALUE"""),0.0)</f>
        <v>0</v>
      </c>
    </row>
    <row r="4">
      <c r="A4" s="187">
        <f>IFERROR(__xludf.DUMMYFUNCTION("""COMPUTED_VALUE"""),43895.0)</f>
        <v>43895</v>
      </c>
      <c r="B4" s="149">
        <f>IFERROR(__xludf.DUMMYFUNCTION("""COMPUTED_VALUE"""),0.0)</f>
        <v>0</v>
      </c>
      <c r="C4" s="149">
        <f>IFERROR(__xludf.DUMMYFUNCTION("""COMPUTED_VALUE"""),0.0)</f>
        <v>0</v>
      </c>
      <c r="D4" s="149">
        <f>IFERROR(__xludf.DUMMYFUNCTION("""COMPUTED_VALUE"""),2.0)</f>
        <v>2</v>
      </c>
      <c r="E4" s="149">
        <f>IFERROR(__xludf.DUMMYFUNCTION("""COMPUTED_VALUE"""),5.0)</f>
        <v>5</v>
      </c>
      <c r="F4" s="149">
        <f>IFERROR(__xludf.DUMMYFUNCTION("""COMPUTED_VALUE"""),23.0)</f>
        <v>23</v>
      </c>
      <c r="G4" s="149">
        <f>IFERROR(__xludf.DUMMYFUNCTION("""COMPUTED_VALUE"""),5.0)</f>
        <v>5</v>
      </c>
      <c r="H4" s="149">
        <f>IFERROR(__xludf.DUMMYFUNCTION("""COMPUTED_VALUE"""),25.0)</f>
        <v>25</v>
      </c>
      <c r="I4" s="149">
        <f>IFERROR(__xludf.DUMMYFUNCTION("""COMPUTED_VALUE"""),1.0)</f>
        <v>1</v>
      </c>
      <c r="J4" s="149">
        <f>IFERROR(__xludf.DUMMYFUNCTION("""COMPUTED_VALUE"""),0.0)</f>
        <v>0</v>
      </c>
      <c r="K4" s="149">
        <f>IFERROR(__xludf.DUMMYFUNCTION("""COMPUTED_VALUE"""),3.0)</f>
        <v>3</v>
      </c>
      <c r="L4" s="149">
        <f>IFERROR(__xludf.DUMMYFUNCTION("""COMPUTED_VALUE"""),4.0)</f>
        <v>4</v>
      </c>
      <c r="M4" s="149">
        <f>IFERROR(__xludf.DUMMYFUNCTION("""COMPUTED_VALUE"""),19.0)</f>
        <v>19</v>
      </c>
      <c r="N4" s="149">
        <f>IFERROR(__xludf.DUMMYFUNCTION("""COMPUTED_VALUE"""),22.0)</f>
        <v>22</v>
      </c>
      <c r="O4" s="149">
        <f>IFERROR(__xludf.DUMMYFUNCTION("""COMPUTED_VALUE"""),0.0)</f>
        <v>0</v>
      </c>
      <c r="P4" s="149">
        <f>IFERROR(__xludf.DUMMYFUNCTION("""COMPUTED_VALUE"""),3.0)</f>
        <v>3</v>
      </c>
      <c r="Q4" s="149">
        <f>IFERROR(__xludf.DUMMYFUNCTION("""COMPUTED_VALUE"""),0.0)</f>
        <v>0</v>
      </c>
      <c r="R4" s="149">
        <f>IFERROR(__xludf.DUMMYFUNCTION("""COMPUTED_VALUE"""),0.0)</f>
        <v>0</v>
      </c>
      <c r="S4" s="149">
        <f>IFERROR(__xludf.DUMMYFUNCTION("""COMPUTED_VALUE"""),0.0)</f>
        <v>0</v>
      </c>
      <c r="T4" s="149">
        <f>IFERROR(__xludf.DUMMYFUNCTION("""COMPUTED_VALUE"""),0.0)</f>
        <v>0</v>
      </c>
      <c r="U4" s="149">
        <f>IFERROR(__xludf.DUMMYFUNCTION("""COMPUTED_VALUE"""),3.0)</f>
        <v>3</v>
      </c>
      <c r="V4" s="149">
        <f>IFERROR(__xludf.DUMMYFUNCTION("""COMPUTED_VALUE"""),3.0)</f>
        <v>3</v>
      </c>
      <c r="W4" s="149">
        <f>IFERROR(__xludf.DUMMYFUNCTION("""COMPUTED_VALUE"""),2.0)</f>
        <v>2</v>
      </c>
      <c r="X4" s="149">
        <f>IFERROR(__xludf.DUMMYFUNCTION("""COMPUTED_VALUE"""),2.0)</f>
        <v>2</v>
      </c>
      <c r="Y4" s="149">
        <f>IFERROR(__xludf.DUMMYFUNCTION("""COMPUTED_VALUE"""),0.0)</f>
        <v>0</v>
      </c>
      <c r="Z4" s="149">
        <f>IFERROR(__xludf.DUMMYFUNCTION("""COMPUTED_VALUE"""),0.0)</f>
        <v>0</v>
      </c>
    </row>
    <row r="5">
      <c r="A5" s="187">
        <f>IFERROR(__xludf.DUMMYFUNCTION("""COMPUTED_VALUE"""),43896.0)</f>
        <v>43896</v>
      </c>
      <c r="B5" s="149">
        <f>IFERROR(__xludf.DUMMYFUNCTION("""COMPUTED_VALUE"""),1.0)</f>
        <v>1</v>
      </c>
      <c r="C5" s="149">
        <f>IFERROR(__xludf.DUMMYFUNCTION("""COMPUTED_VALUE"""),0.0)</f>
        <v>0</v>
      </c>
      <c r="D5" s="149">
        <f>IFERROR(__xludf.DUMMYFUNCTION("""COMPUTED_VALUE"""),3.0)</f>
        <v>3</v>
      </c>
      <c r="E5" s="149">
        <f>IFERROR(__xludf.DUMMYFUNCTION("""COMPUTED_VALUE"""),12.0)</f>
        <v>12</v>
      </c>
      <c r="F5" s="149">
        <f>IFERROR(__xludf.DUMMYFUNCTION("""COMPUTED_VALUE"""),35.0)</f>
        <v>35</v>
      </c>
      <c r="G5" s="149">
        <f>IFERROR(__xludf.DUMMYFUNCTION("""COMPUTED_VALUE"""),13.0)</f>
        <v>13</v>
      </c>
      <c r="H5" s="149">
        <f>IFERROR(__xludf.DUMMYFUNCTION("""COMPUTED_VALUE"""),38.0)</f>
        <v>38</v>
      </c>
      <c r="I5" s="149">
        <f>IFERROR(__xludf.DUMMYFUNCTION("""COMPUTED_VALUE"""),0.0)</f>
        <v>0</v>
      </c>
      <c r="J5" s="149">
        <f>IFERROR(__xludf.DUMMYFUNCTION("""COMPUTED_VALUE"""),0.0)</f>
        <v>0</v>
      </c>
      <c r="K5" s="149">
        <f>IFERROR(__xludf.DUMMYFUNCTION("""COMPUTED_VALUE"""),3.0)</f>
        <v>3</v>
      </c>
      <c r="L5" s="149">
        <f>IFERROR(__xludf.DUMMYFUNCTION("""COMPUTED_VALUE"""),11.0)</f>
        <v>11</v>
      </c>
      <c r="M5" s="149">
        <f>IFERROR(__xludf.DUMMYFUNCTION("""COMPUTED_VALUE"""),30.0)</f>
        <v>30</v>
      </c>
      <c r="N5" s="149">
        <f>IFERROR(__xludf.DUMMYFUNCTION("""COMPUTED_VALUE"""),33.0)</f>
        <v>33</v>
      </c>
      <c r="O5" s="149">
        <f>IFERROR(__xludf.DUMMYFUNCTION("""COMPUTED_VALUE"""),0.0)</f>
        <v>0</v>
      </c>
      <c r="P5" s="149">
        <f>IFERROR(__xludf.DUMMYFUNCTION("""COMPUTED_VALUE"""),3.0)</f>
        <v>3</v>
      </c>
      <c r="Q5" s="149">
        <f>IFERROR(__xludf.DUMMYFUNCTION("""COMPUTED_VALUE"""),0.0)</f>
        <v>0</v>
      </c>
      <c r="R5" s="149">
        <f>IFERROR(__xludf.DUMMYFUNCTION("""COMPUTED_VALUE"""),0.0)</f>
        <v>0</v>
      </c>
      <c r="S5" s="149">
        <f>IFERROR(__xludf.DUMMYFUNCTION("""COMPUTED_VALUE"""),0.0)</f>
        <v>0</v>
      </c>
      <c r="T5" s="149">
        <f>IFERROR(__xludf.DUMMYFUNCTION("""COMPUTED_VALUE"""),0.0)</f>
        <v>0</v>
      </c>
      <c r="U5" s="149">
        <f>IFERROR(__xludf.DUMMYFUNCTION("""COMPUTED_VALUE"""),3.0)</f>
        <v>3</v>
      </c>
      <c r="V5" s="149">
        <f>IFERROR(__xludf.DUMMYFUNCTION("""COMPUTED_VALUE"""),3.0)</f>
        <v>3</v>
      </c>
      <c r="W5" s="149">
        <f>IFERROR(__xludf.DUMMYFUNCTION("""COMPUTED_VALUE"""),2.0)</f>
        <v>2</v>
      </c>
      <c r="X5" s="149">
        <f>IFERROR(__xludf.DUMMYFUNCTION("""COMPUTED_VALUE"""),2.0)</f>
        <v>2</v>
      </c>
      <c r="Y5" s="149">
        <f>IFERROR(__xludf.DUMMYFUNCTION("""COMPUTED_VALUE"""),0.0)</f>
        <v>0</v>
      </c>
      <c r="Z5" s="149">
        <f>IFERROR(__xludf.DUMMYFUNCTION("""COMPUTED_VALUE"""),0.0)</f>
        <v>0</v>
      </c>
    </row>
    <row r="6">
      <c r="A6" s="187">
        <f>IFERROR(__xludf.DUMMYFUNCTION("""COMPUTED_VALUE"""),43897.0)</f>
        <v>43897</v>
      </c>
      <c r="B6" s="149">
        <f>IFERROR(__xludf.DUMMYFUNCTION("""COMPUTED_VALUE"""),0.0)</f>
        <v>0</v>
      </c>
      <c r="C6" s="149">
        <f>IFERROR(__xludf.DUMMYFUNCTION("""COMPUTED_VALUE"""),0.0)</f>
        <v>0</v>
      </c>
      <c r="D6" s="149">
        <f>IFERROR(__xludf.DUMMYFUNCTION("""COMPUTED_VALUE"""),3.0)</f>
        <v>3</v>
      </c>
      <c r="E6" s="149">
        <f>IFERROR(__xludf.DUMMYFUNCTION("""COMPUTED_VALUE"""),19.0)</f>
        <v>19</v>
      </c>
      <c r="F6" s="149">
        <f>IFERROR(__xludf.DUMMYFUNCTION("""COMPUTED_VALUE"""),54.0)</f>
        <v>54</v>
      </c>
      <c r="G6" s="149">
        <f>IFERROR(__xludf.DUMMYFUNCTION("""COMPUTED_VALUE"""),19.0)</f>
        <v>19</v>
      </c>
      <c r="H6" s="149">
        <f>IFERROR(__xludf.DUMMYFUNCTION("""COMPUTED_VALUE"""),57.0)</f>
        <v>57</v>
      </c>
      <c r="I6" s="149">
        <f>IFERROR(__xludf.DUMMYFUNCTION("""COMPUTED_VALUE"""),0.0)</f>
        <v>0</v>
      </c>
      <c r="J6" s="149">
        <f>IFERROR(__xludf.DUMMYFUNCTION("""COMPUTED_VALUE"""),0.0)</f>
        <v>0</v>
      </c>
      <c r="K6" s="149">
        <f>IFERROR(__xludf.DUMMYFUNCTION("""COMPUTED_VALUE"""),3.0)</f>
        <v>3</v>
      </c>
      <c r="L6" s="149">
        <f>IFERROR(__xludf.DUMMYFUNCTION("""COMPUTED_VALUE"""),19.0)</f>
        <v>19</v>
      </c>
      <c r="M6" s="149">
        <f>IFERROR(__xludf.DUMMYFUNCTION("""COMPUTED_VALUE"""),49.0)</f>
        <v>49</v>
      </c>
      <c r="N6" s="149">
        <f>IFERROR(__xludf.DUMMYFUNCTION("""COMPUTED_VALUE"""),52.0)</f>
        <v>52</v>
      </c>
      <c r="O6" s="149">
        <f>IFERROR(__xludf.DUMMYFUNCTION("""COMPUTED_VALUE"""),0.0)</f>
        <v>0</v>
      </c>
      <c r="P6" s="149">
        <f>IFERROR(__xludf.DUMMYFUNCTION("""COMPUTED_VALUE"""),3.0)</f>
        <v>3</v>
      </c>
      <c r="Q6" s="149">
        <f>IFERROR(__xludf.DUMMYFUNCTION("""COMPUTED_VALUE"""),0.0)</f>
        <v>0</v>
      </c>
      <c r="R6" s="149">
        <f>IFERROR(__xludf.DUMMYFUNCTION("""COMPUTED_VALUE"""),0.0)</f>
        <v>0</v>
      </c>
      <c r="S6" s="149">
        <f>IFERROR(__xludf.DUMMYFUNCTION("""COMPUTED_VALUE"""),0.0)</f>
        <v>0</v>
      </c>
      <c r="T6" s="149">
        <f>IFERROR(__xludf.DUMMYFUNCTION("""COMPUTED_VALUE"""),0.0)</f>
        <v>0</v>
      </c>
      <c r="U6" s="149">
        <f>IFERROR(__xludf.DUMMYFUNCTION("""COMPUTED_VALUE"""),3.0)</f>
        <v>3</v>
      </c>
      <c r="V6" s="149">
        <f>IFERROR(__xludf.DUMMYFUNCTION("""COMPUTED_VALUE"""),3.0)</f>
        <v>3</v>
      </c>
      <c r="W6" s="149">
        <f>IFERROR(__xludf.DUMMYFUNCTION("""COMPUTED_VALUE"""),2.0)</f>
        <v>2</v>
      </c>
      <c r="X6" s="149">
        <f>IFERROR(__xludf.DUMMYFUNCTION("""COMPUTED_VALUE"""),1.0)</f>
        <v>1</v>
      </c>
      <c r="Y6" s="149">
        <f>IFERROR(__xludf.DUMMYFUNCTION("""COMPUTED_VALUE"""),0.0)</f>
        <v>0</v>
      </c>
      <c r="Z6" s="149">
        <f>IFERROR(__xludf.DUMMYFUNCTION("""COMPUTED_VALUE"""),0.0)</f>
        <v>0</v>
      </c>
    </row>
    <row r="7">
      <c r="A7" s="187">
        <f>IFERROR(__xludf.DUMMYFUNCTION("""COMPUTED_VALUE"""),43898.0)</f>
        <v>43898</v>
      </c>
      <c r="B7" s="149">
        <f>IFERROR(__xludf.DUMMYFUNCTION("""COMPUTED_VALUE"""),0.0)</f>
        <v>0</v>
      </c>
      <c r="C7" s="149">
        <f>IFERROR(__xludf.DUMMYFUNCTION("""COMPUTED_VALUE"""),0.0)</f>
        <v>0</v>
      </c>
      <c r="D7" s="149">
        <f>IFERROR(__xludf.DUMMYFUNCTION("""COMPUTED_VALUE"""),3.0)</f>
        <v>3</v>
      </c>
      <c r="E7" s="149">
        <f>IFERROR(__xludf.DUMMYFUNCTION("""COMPUTED_VALUE"""),19.0)</f>
        <v>19</v>
      </c>
      <c r="F7" s="149">
        <f>IFERROR(__xludf.DUMMYFUNCTION("""COMPUTED_VALUE"""),73.0)</f>
        <v>73</v>
      </c>
      <c r="G7" s="149">
        <f>IFERROR(__xludf.DUMMYFUNCTION("""COMPUTED_VALUE"""),19.0)</f>
        <v>19</v>
      </c>
      <c r="H7" s="149">
        <f>IFERROR(__xludf.DUMMYFUNCTION("""COMPUTED_VALUE"""),76.0)</f>
        <v>76</v>
      </c>
      <c r="I7" s="149">
        <f>IFERROR(__xludf.DUMMYFUNCTION("""COMPUTED_VALUE"""),0.0)</f>
        <v>0</v>
      </c>
      <c r="J7" s="149">
        <f>IFERROR(__xludf.DUMMYFUNCTION("""COMPUTED_VALUE"""),0.0)</f>
        <v>0</v>
      </c>
      <c r="K7" s="149">
        <f>IFERROR(__xludf.DUMMYFUNCTION("""COMPUTED_VALUE"""),3.0)</f>
        <v>3</v>
      </c>
      <c r="L7" s="149">
        <f>IFERROR(__xludf.DUMMYFUNCTION("""COMPUTED_VALUE"""),18.0)</f>
        <v>18</v>
      </c>
      <c r="M7" s="149">
        <f>IFERROR(__xludf.DUMMYFUNCTION("""COMPUTED_VALUE"""),67.0)</f>
        <v>67</v>
      </c>
      <c r="N7" s="149">
        <f>IFERROR(__xludf.DUMMYFUNCTION("""COMPUTED_VALUE"""),70.0)</f>
        <v>70</v>
      </c>
      <c r="O7" s="149">
        <f>IFERROR(__xludf.DUMMYFUNCTION("""COMPUTED_VALUE"""),0.0)</f>
        <v>0</v>
      </c>
      <c r="P7" s="149">
        <f>IFERROR(__xludf.DUMMYFUNCTION("""COMPUTED_VALUE"""),3.0)</f>
        <v>3</v>
      </c>
      <c r="Q7" s="149">
        <f>IFERROR(__xludf.DUMMYFUNCTION("""COMPUTED_VALUE"""),0.0)</f>
        <v>0</v>
      </c>
      <c r="R7" s="149">
        <f>IFERROR(__xludf.DUMMYFUNCTION("""COMPUTED_VALUE"""),0.0)</f>
        <v>0</v>
      </c>
      <c r="S7" s="149">
        <f>IFERROR(__xludf.DUMMYFUNCTION("""COMPUTED_VALUE"""),0.0)</f>
        <v>0</v>
      </c>
      <c r="T7" s="149">
        <f>IFERROR(__xludf.DUMMYFUNCTION("""COMPUTED_VALUE"""),0.0)</f>
        <v>0</v>
      </c>
      <c r="U7" s="149">
        <f>IFERROR(__xludf.DUMMYFUNCTION("""COMPUTED_VALUE"""),3.0)</f>
        <v>3</v>
      </c>
      <c r="V7" s="149">
        <f>IFERROR(__xludf.DUMMYFUNCTION("""COMPUTED_VALUE"""),3.0)</f>
        <v>3</v>
      </c>
      <c r="W7" s="149">
        <f>IFERROR(__xludf.DUMMYFUNCTION("""COMPUTED_VALUE"""),2.0)</f>
        <v>2</v>
      </c>
      <c r="X7" s="149">
        <f>IFERROR(__xludf.DUMMYFUNCTION("""COMPUTED_VALUE"""),1.0)</f>
        <v>1</v>
      </c>
      <c r="Y7" s="149">
        <f>IFERROR(__xludf.DUMMYFUNCTION("""COMPUTED_VALUE"""),0.0)</f>
        <v>0</v>
      </c>
      <c r="Z7" s="149">
        <f>IFERROR(__xludf.DUMMYFUNCTION("""COMPUTED_VALUE"""),0.0)</f>
        <v>0</v>
      </c>
    </row>
    <row r="8">
      <c r="A8" s="187">
        <f>IFERROR(__xludf.DUMMYFUNCTION("""COMPUTED_VALUE"""),43899.0)</f>
        <v>43899</v>
      </c>
      <c r="B8" s="149">
        <f>IFERROR(__xludf.DUMMYFUNCTION("""COMPUTED_VALUE"""),1.0)</f>
        <v>1</v>
      </c>
      <c r="C8" s="149">
        <f>IFERROR(__xludf.DUMMYFUNCTION("""COMPUTED_VALUE"""),0.0)</f>
        <v>0</v>
      </c>
      <c r="D8" s="149">
        <f>IFERROR(__xludf.DUMMYFUNCTION("""COMPUTED_VALUE"""),4.0)</f>
        <v>4</v>
      </c>
      <c r="E8" s="149">
        <f>IFERROR(__xludf.DUMMYFUNCTION("""COMPUTED_VALUE"""),27.0)</f>
        <v>27</v>
      </c>
      <c r="F8" s="149">
        <f>IFERROR(__xludf.DUMMYFUNCTION("""COMPUTED_VALUE"""),100.0)</f>
        <v>100</v>
      </c>
      <c r="G8" s="149">
        <f>IFERROR(__xludf.DUMMYFUNCTION("""COMPUTED_VALUE"""),28.0)</f>
        <v>28</v>
      </c>
      <c r="H8" s="149">
        <f>IFERROR(__xludf.DUMMYFUNCTION("""COMPUTED_VALUE"""),104.0)</f>
        <v>104</v>
      </c>
      <c r="I8" s="149">
        <f>IFERROR(__xludf.DUMMYFUNCTION("""COMPUTED_VALUE"""),1.0)</f>
        <v>1</v>
      </c>
      <c r="J8" s="149">
        <f>IFERROR(__xludf.DUMMYFUNCTION("""COMPUTED_VALUE"""),0.0)</f>
        <v>0</v>
      </c>
      <c r="K8" s="149">
        <f>IFERROR(__xludf.DUMMYFUNCTION("""COMPUTED_VALUE"""),4.0)</f>
        <v>4</v>
      </c>
      <c r="L8" s="149">
        <f>IFERROR(__xludf.DUMMYFUNCTION("""COMPUTED_VALUE"""),15.0)</f>
        <v>15</v>
      </c>
      <c r="M8" s="149">
        <f>IFERROR(__xludf.DUMMYFUNCTION("""COMPUTED_VALUE"""),82.0)</f>
        <v>82</v>
      </c>
      <c r="N8" s="149">
        <f>IFERROR(__xludf.DUMMYFUNCTION("""COMPUTED_VALUE"""),86.0)</f>
        <v>86</v>
      </c>
      <c r="O8" s="149">
        <f>IFERROR(__xludf.DUMMYFUNCTION("""COMPUTED_VALUE"""),0.0)</f>
        <v>0</v>
      </c>
      <c r="P8" s="149">
        <f>IFERROR(__xludf.DUMMYFUNCTION("""COMPUTED_VALUE"""),3.0)</f>
        <v>3</v>
      </c>
      <c r="Q8" s="149">
        <f>IFERROR(__xludf.DUMMYFUNCTION("""COMPUTED_VALUE"""),0.0)</f>
        <v>0</v>
      </c>
      <c r="R8" s="149">
        <f>IFERROR(__xludf.DUMMYFUNCTION("""COMPUTED_VALUE"""),0.0)</f>
        <v>0</v>
      </c>
      <c r="S8" s="149">
        <f>IFERROR(__xludf.DUMMYFUNCTION("""COMPUTED_VALUE"""),0.0)</f>
        <v>0</v>
      </c>
      <c r="T8" s="149">
        <f>IFERROR(__xludf.DUMMYFUNCTION("""COMPUTED_VALUE"""),0.0)</f>
        <v>0</v>
      </c>
      <c r="U8" s="149">
        <f>IFERROR(__xludf.DUMMYFUNCTION("""COMPUTED_VALUE"""),3.0)</f>
        <v>3</v>
      </c>
      <c r="V8" s="149">
        <f>IFERROR(__xludf.DUMMYFUNCTION("""COMPUTED_VALUE"""),3.0)</f>
        <v>3</v>
      </c>
      <c r="W8" s="149">
        <f>IFERROR(__xludf.DUMMYFUNCTION("""COMPUTED_VALUE"""),2.0)</f>
        <v>2</v>
      </c>
      <c r="X8" s="149">
        <f>IFERROR(__xludf.DUMMYFUNCTION("""COMPUTED_VALUE"""),1.0)</f>
        <v>1</v>
      </c>
      <c r="Y8" s="149">
        <f>IFERROR(__xludf.DUMMYFUNCTION("""COMPUTED_VALUE"""),0.0)</f>
        <v>0</v>
      </c>
      <c r="Z8" s="149">
        <f>IFERROR(__xludf.DUMMYFUNCTION("""COMPUTED_VALUE"""),0.0)</f>
        <v>0</v>
      </c>
    </row>
    <row r="9">
      <c r="A9" s="187">
        <f>IFERROR(__xludf.DUMMYFUNCTION("""COMPUTED_VALUE"""),43900.0)</f>
        <v>43900</v>
      </c>
      <c r="B9" s="149">
        <f>IFERROR(__xludf.DUMMYFUNCTION("""COMPUTED_VALUE"""),2.0)</f>
        <v>2</v>
      </c>
      <c r="C9" s="149">
        <f>IFERROR(__xludf.DUMMYFUNCTION("""COMPUTED_VALUE"""),1.0)</f>
        <v>1</v>
      </c>
      <c r="D9" s="149">
        <f>IFERROR(__xludf.DUMMYFUNCTION("""COMPUTED_VALUE"""),6.0)</f>
        <v>6</v>
      </c>
      <c r="E9" s="149">
        <f>IFERROR(__xludf.DUMMYFUNCTION("""COMPUTED_VALUE"""),25.0)</f>
        <v>25</v>
      </c>
      <c r="F9" s="149">
        <f>IFERROR(__xludf.DUMMYFUNCTION("""COMPUTED_VALUE"""),125.0)</f>
        <v>125</v>
      </c>
      <c r="G9" s="149">
        <f>IFERROR(__xludf.DUMMYFUNCTION("""COMPUTED_VALUE"""),27.0)</f>
        <v>27</v>
      </c>
      <c r="H9" s="149">
        <f>IFERROR(__xludf.DUMMYFUNCTION("""COMPUTED_VALUE"""),131.0)</f>
        <v>131</v>
      </c>
      <c r="I9" s="149">
        <f>IFERROR(__xludf.DUMMYFUNCTION("""COMPUTED_VALUE"""),1.0)</f>
        <v>1</v>
      </c>
      <c r="J9" s="149">
        <f>IFERROR(__xludf.DUMMYFUNCTION("""COMPUTED_VALUE"""),1.0)</f>
        <v>1</v>
      </c>
      <c r="K9" s="149">
        <f>IFERROR(__xludf.DUMMYFUNCTION("""COMPUTED_VALUE"""),5.0)</f>
        <v>5</v>
      </c>
      <c r="L9" s="149">
        <f>IFERROR(__xludf.DUMMYFUNCTION("""COMPUTED_VALUE"""),23.0)</f>
        <v>23</v>
      </c>
      <c r="M9" s="149">
        <f>IFERROR(__xludf.DUMMYFUNCTION("""COMPUTED_VALUE"""),105.0)</f>
        <v>105</v>
      </c>
      <c r="N9" s="149">
        <f>IFERROR(__xludf.DUMMYFUNCTION("""COMPUTED_VALUE"""),110.0)</f>
        <v>110</v>
      </c>
      <c r="O9" s="149">
        <f>IFERROR(__xludf.DUMMYFUNCTION("""COMPUTED_VALUE"""),0.0)</f>
        <v>0</v>
      </c>
      <c r="P9" s="149">
        <f>IFERROR(__xludf.DUMMYFUNCTION("""COMPUTED_VALUE"""),3.0)</f>
        <v>3</v>
      </c>
      <c r="Q9" s="149">
        <f>IFERROR(__xludf.DUMMYFUNCTION("""COMPUTED_VALUE"""),0.0)</f>
        <v>0</v>
      </c>
      <c r="R9" s="149">
        <f>IFERROR(__xludf.DUMMYFUNCTION("""COMPUTED_VALUE"""),0.0)</f>
        <v>0</v>
      </c>
      <c r="S9" s="149">
        <f>IFERROR(__xludf.DUMMYFUNCTION("""COMPUTED_VALUE"""),0.0)</f>
        <v>0</v>
      </c>
      <c r="T9" s="149">
        <f>IFERROR(__xludf.DUMMYFUNCTION("""COMPUTED_VALUE"""),0.0)</f>
        <v>0</v>
      </c>
      <c r="U9" s="149">
        <f>IFERROR(__xludf.DUMMYFUNCTION("""COMPUTED_VALUE"""),3.0)</f>
        <v>3</v>
      </c>
      <c r="V9" s="149">
        <f>IFERROR(__xludf.DUMMYFUNCTION("""COMPUTED_VALUE"""),3.0)</f>
        <v>3</v>
      </c>
      <c r="W9" s="149">
        <f>IFERROR(__xludf.DUMMYFUNCTION("""COMPUTED_VALUE"""),2.0)</f>
        <v>2</v>
      </c>
      <c r="X9" s="149">
        <f>IFERROR(__xludf.DUMMYFUNCTION("""COMPUTED_VALUE"""),1.0)</f>
        <v>1</v>
      </c>
      <c r="Y9" s="149">
        <f>IFERROR(__xludf.DUMMYFUNCTION("""COMPUTED_VALUE"""),0.0)</f>
        <v>0</v>
      </c>
      <c r="Z9" s="149">
        <f>IFERROR(__xludf.DUMMYFUNCTION("""COMPUTED_VALUE"""),0.0)</f>
        <v>0</v>
      </c>
    </row>
    <row r="10">
      <c r="A10" s="187">
        <f>IFERROR(__xludf.DUMMYFUNCTION("""COMPUTED_VALUE"""),43901.0)</f>
        <v>43901</v>
      </c>
      <c r="B10" s="149">
        <f>IFERROR(__xludf.DUMMYFUNCTION("""COMPUTED_VALUE"""),0.0)</f>
        <v>0</v>
      </c>
      <c r="C10" s="149">
        <f>IFERROR(__xludf.DUMMYFUNCTION("""COMPUTED_VALUE"""),1.0)</f>
        <v>1</v>
      </c>
      <c r="D10" s="149">
        <f>IFERROR(__xludf.DUMMYFUNCTION("""COMPUTED_VALUE"""),6.0)</f>
        <v>6</v>
      </c>
      <c r="E10" s="149">
        <f>IFERROR(__xludf.DUMMYFUNCTION("""COMPUTED_VALUE"""),34.0)</f>
        <v>34</v>
      </c>
      <c r="F10" s="149">
        <f>IFERROR(__xludf.DUMMYFUNCTION("""COMPUTED_VALUE"""),159.0)</f>
        <v>159</v>
      </c>
      <c r="G10" s="149">
        <f>IFERROR(__xludf.DUMMYFUNCTION("""COMPUTED_VALUE"""),34.0)</f>
        <v>34</v>
      </c>
      <c r="H10" s="149">
        <f>IFERROR(__xludf.DUMMYFUNCTION("""COMPUTED_VALUE"""),165.0)</f>
        <v>165</v>
      </c>
      <c r="I10" s="149">
        <f>IFERROR(__xludf.DUMMYFUNCTION("""COMPUTED_VALUE"""),0.0)</f>
        <v>0</v>
      </c>
      <c r="J10" s="149">
        <f>IFERROR(__xludf.DUMMYFUNCTION("""COMPUTED_VALUE"""),1.0)</f>
        <v>1</v>
      </c>
      <c r="K10" s="149">
        <f>IFERROR(__xludf.DUMMYFUNCTION("""COMPUTED_VALUE"""),5.0)</f>
        <v>5</v>
      </c>
      <c r="L10" s="149">
        <f>IFERROR(__xludf.DUMMYFUNCTION("""COMPUTED_VALUE"""),34.0)</f>
        <v>34</v>
      </c>
      <c r="M10" s="149">
        <f>IFERROR(__xludf.DUMMYFUNCTION("""COMPUTED_VALUE"""),139.0)</f>
        <v>139</v>
      </c>
      <c r="N10" s="149">
        <f>IFERROR(__xludf.DUMMYFUNCTION("""COMPUTED_VALUE"""),144.0)</f>
        <v>144</v>
      </c>
      <c r="O10" s="149">
        <f>IFERROR(__xludf.DUMMYFUNCTION("""COMPUTED_VALUE"""),1.0)</f>
        <v>1</v>
      </c>
      <c r="P10" s="149">
        <f>IFERROR(__xludf.DUMMYFUNCTION("""COMPUTED_VALUE"""),4.0)</f>
        <v>4</v>
      </c>
      <c r="Q10" s="149">
        <f>IFERROR(__xludf.DUMMYFUNCTION("""COMPUTED_VALUE"""),0.0)</f>
        <v>0</v>
      </c>
      <c r="R10" s="149">
        <f>IFERROR(__xludf.DUMMYFUNCTION("""COMPUTED_VALUE"""),0.0)</f>
        <v>0</v>
      </c>
      <c r="S10" s="149">
        <f>IFERROR(__xludf.DUMMYFUNCTION("""COMPUTED_VALUE"""),0.0)</f>
        <v>0</v>
      </c>
      <c r="T10" s="149">
        <f>IFERROR(__xludf.DUMMYFUNCTION("""COMPUTED_VALUE"""),0.0)</f>
        <v>0</v>
      </c>
      <c r="U10" s="149">
        <f>IFERROR(__xludf.DUMMYFUNCTION("""COMPUTED_VALUE"""),4.0)</f>
        <v>4</v>
      </c>
      <c r="V10" s="149">
        <f>IFERROR(__xludf.DUMMYFUNCTION("""COMPUTED_VALUE"""),3.0)</f>
        <v>3</v>
      </c>
      <c r="W10" s="149">
        <f>IFERROR(__xludf.DUMMYFUNCTION("""COMPUTED_VALUE"""),1.0)</f>
        <v>1</v>
      </c>
      <c r="X10" s="149">
        <f>IFERROR(__xludf.DUMMYFUNCTION("""COMPUTED_VALUE"""),1.0)</f>
        <v>1</v>
      </c>
      <c r="Y10" s="149">
        <f>IFERROR(__xludf.DUMMYFUNCTION("""COMPUTED_VALUE"""),0.0)</f>
        <v>0</v>
      </c>
      <c r="Z10" s="149">
        <f>IFERROR(__xludf.DUMMYFUNCTION("""COMPUTED_VALUE"""),0.0)</f>
        <v>0</v>
      </c>
    </row>
    <row r="11">
      <c r="A11" s="187">
        <f>IFERROR(__xludf.DUMMYFUNCTION("""COMPUTED_VALUE"""),43902.0)</f>
        <v>43902</v>
      </c>
      <c r="B11" s="149">
        <f>IFERROR(__xludf.DUMMYFUNCTION("""COMPUTED_VALUE"""),9.0)</f>
        <v>9</v>
      </c>
      <c r="C11" s="149">
        <f>IFERROR(__xludf.DUMMYFUNCTION("""COMPUTED_VALUE"""),4.0)</f>
        <v>4</v>
      </c>
      <c r="D11" s="149">
        <f>IFERROR(__xludf.DUMMYFUNCTION("""COMPUTED_VALUE"""),15.0)</f>
        <v>15</v>
      </c>
      <c r="E11" s="149">
        <f>IFERROR(__xludf.DUMMYFUNCTION("""COMPUTED_VALUE"""),41.0)</f>
        <v>41</v>
      </c>
      <c r="F11" s="149">
        <f>IFERROR(__xludf.DUMMYFUNCTION("""COMPUTED_VALUE"""),200.0)</f>
        <v>200</v>
      </c>
      <c r="G11" s="149">
        <f>IFERROR(__xludf.DUMMYFUNCTION("""COMPUTED_VALUE"""),50.0)</f>
        <v>50</v>
      </c>
      <c r="H11" s="149">
        <f>IFERROR(__xludf.DUMMYFUNCTION("""COMPUTED_VALUE"""),215.0)</f>
        <v>215</v>
      </c>
      <c r="I11" s="149">
        <f>IFERROR(__xludf.DUMMYFUNCTION("""COMPUTED_VALUE"""),8.0)</f>
        <v>8</v>
      </c>
      <c r="J11" s="149">
        <f>IFERROR(__xludf.DUMMYFUNCTION("""COMPUTED_VALUE"""),3.0)</f>
        <v>3</v>
      </c>
      <c r="K11" s="149">
        <f>IFERROR(__xludf.DUMMYFUNCTION("""COMPUTED_VALUE"""),13.0)</f>
        <v>13</v>
      </c>
      <c r="L11" s="149">
        <f>IFERROR(__xludf.DUMMYFUNCTION("""COMPUTED_VALUE"""),38.0)</f>
        <v>38</v>
      </c>
      <c r="M11" s="149">
        <f>IFERROR(__xludf.DUMMYFUNCTION("""COMPUTED_VALUE"""),177.0)</f>
        <v>177</v>
      </c>
      <c r="N11" s="149">
        <f>IFERROR(__xludf.DUMMYFUNCTION("""COMPUTED_VALUE"""),190.0)</f>
        <v>190</v>
      </c>
      <c r="O11" s="149">
        <f>IFERROR(__xludf.DUMMYFUNCTION("""COMPUTED_VALUE"""),1.0)</f>
        <v>1</v>
      </c>
      <c r="P11" s="149">
        <f>IFERROR(__xludf.DUMMYFUNCTION("""COMPUTED_VALUE"""),5.0)</f>
        <v>5</v>
      </c>
      <c r="Q11" s="149">
        <f>IFERROR(__xludf.DUMMYFUNCTION("""COMPUTED_VALUE"""),0.0)</f>
        <v>0</v>
      </c>
      <c r="R11" s="149">
        <f>IFERROR(__xludf.DUMMYFUNCTION("""COMPUTED_VALUE"""),0.0)</f>
        <v>0</v>
      </c>
      <c r="S11" s="149">
        <f>IFERROR(__xludf.DUMMYFUNCTION("""COMPUTED_VALUE"""),0.0)</f>
        <v>0</v>
      </c>
      <c r="T11" s="149">
        <f>IFERROR(__xludf.DUMMYFUNCTION("""COMPUTED_VALUE"""),0.0)</f>
        <v>0</v>
      </c>
      <c r="U11" s="149">
        <f>IFERROR(__xludf.DUMMYFUNCTION("""COMPUTED_VALUE"""),5.0)</f>
        <v>5</v>
      </c>
      <c r="V11" s="149">
        <f>IFERROR(__xludf.DUMMYFUNCTION("""COMPUTED_VALUE"""),4.0)</f>
        <v>4</v>
      </c>
      <c r="W11" s="149">
        <f>IFERROR(__xludf.DUMMYFUNCTION("""COMPUTED_VALUE"""),1.0)</f>
        <v>1</v>
      </c>
      <c r="X11" s="149">
        <f>IFERROR(__xludf.DUMMYFUNCTION("""COMPUTED_VALUE"""),1.0)</f>
        <v>1</v>
      </c>
      <c r="Y11" s="149">
        <f>IFERROR(__xludf.DUMMYFUNCTION("""COMPUTED_VALUE"""),0.0)</f>
        <v>0</v>
      </c>
      <c r="Z11" s="149">
        <f>IFERROR(__xludf.DUMMYFUNCTION("""COMPUTED_VALUE"""),0.0)</f>
        <v>0</v>
      </c>
    </row>
    <row r="12">
      <c r="A12" s="187">
        <f>IFERROR(__xludf.DUMMYFUNCTION("""COMPUTED_VALUE"""),43903.0)</f>
        <v>43903</v>
      </c>
      <c r="B12" s="149">
        <f>IFERROR(__xludf.DUMMYFUNCTION("""COMPUTED_VALUE"""),6.0)</f>
        <v>6</v>
      </c>
      <c r="C12" s="149">
        <f>IFERROR(__xludf.DUMMYFUNCTION("""COMPUTED_VALUE"""),5.0)</f>
        <v>5</v>
      </c>
      <c r="D12" s="149">
        <f>IFERROR(__xludf.DUMMYFUNCTION("""COMPUTED_VALUE"""),21.0)</f>
        <v>21</v>
      </c>
      <c r="E12" s="149">
        <f>IFERROR(__xludf.DUMMYFUNCTION("""COMPUTED_VALUE"""),50.0)</f>
        <v>50</v>
      </c>
      <c r="F12" s="149">
        <f>IFERROR(__xludf.DUMMYFUNCTION("""COMPUTED_VALUE"""),250.0)</f>
        <v>250</v>
      </c>
      <c r="G12" s="149">
        <f>IFERROR(__xludf.DUMMYFUNCTION("""COMPUTED_VALUE"""),56.0)</f>
        <v>56</v>
      </c>
      <c r="H12" s="149">
        <f>IFERROR(__xludf.DUMMYFUNCTION("""COMPUTED_VALUE"""),271.0)</f>
        <v>271</v>
      </c>
      <c r="I12" s="149">
        <f>IFERROR(__xludf.DUMMYFUNCTION("""COMPUTED_VALUE"""),6.0)</f>
        <v>6</v>
      </c>
      <c r="J12" s="149">
        <f>IFERROR(__xludf.DUMMYFUNCTION("""COMPUTED_VALUE"""),5.0)</f>
        <v>5</v>
      </c>
      <c r="K12" s="149">
        <f>IFERROR(__xludf.DUMMYFUNCTION("""COMPUTED_VALUE"""),19.0)</f>
        <v>19</v>
      </c>
      <c r="L12" s="149">
        <f>IFERROR(__xludf.DUMMYFUNCTION("""COMPUTED_VALUE"""),48.0)</f>
        <v>48</v>
      </c>
      <c r="M12" s="149">
        <f>IFERROR(__xludf.DUMMYFUNCTION("""COMPUTED_VALUE"""),225.0)</f>
        <v>225</v>
      </c>
      <c r="N12" s="149">
        <f>IFERROR(__xludf.DUMMYFUNCTION("""COMPUTED_VALUE"""),244.0)</f>
        <v>244</v>
      </c>
      <c r="O12" s="149">
        <f>IFERROR(__xludf.DUMMYFUNCTION("""COMPUTED_VALUE"""),4.0)</f>
        <v>4</v>
      </c>
      <c r="P12" s="149">
        <f>IFERROR(__xludf.DUMMYFUNCTION("""COMPUTED_VALUE"""),9.0)</f>
        <v>9</v>
      </c>
      <c r="Q12" s="149">
        <f>IFERROR(__xludf.DUMMYFUNCTION("""COMPUTED_VALUE"""),1.0)</f>
        <v>1</v>
      </c>
      <c r="R12" s="149">
        <f>IFERROR(__xludf.DUMMYFUNCTION("""COMPUTED_VALUE"""),1.0)</f>
        <v>1</v>
      </c>
      <c r="S12" s="149">
        <f>IFERROR(__xludf.DUMMYFUNCTION("""COMPUTED_VALUE"""),0.0)</f>
        <v>0</v>
      </c>
      <c r="T12" s="149">
        <f>IFERROR(__xludf.DUMMYFUNCTION("""COMPUTED_VALUE"""),0.0)</f>
        <v>0</v>
      </c>
      <c r="U12" s="149">
        <f>IFERROR(__xludf.DUMMYFUNCTION("""COMPUTED_VALUE"""),8.0)</f>
        <v>8</v>
      </c>
      <c r="V12" s="149">
        <f>IFERROR(__xludf.DUMMYFUNCTION("""COMPUTED_VALUE"""),6.0)</f>
        <v>6</v>
      </c>
      <c r="W12" s="149">
        <f>IFERROR(__xludf.DUMMYFUNCTION("""COMPUTED_VALUE"""),1.0)</f>
        <v>1</v>
      </c>
      <c r="X12" s="149">
        <f>IFERROR(__xludf.DUMMYFUNCTION("""COMPUTED_VALUE"""),1.0)</f>
        <v>1</v>
      </c>
      <c r="Y12" s="149">
        <f>IFERROR(__xludf.DUMMYFUNCTION("""COMPUTED_VALUE"""),0.0)</f>
        <v>0</v>
      </c>
      <c r="Z12" s="149">
        <f>IFERROR(__xludf.DUMMYFUNCTION("""COMPUTED_VALUE"""),0.0)</f>
        <v>0</v>
      </c>
    </row>
    <row r="13">
      <c r="A13" s="187">
        <f>IFERROR(__xludf.DUMMYFUNCTION("""COMPUTED_VALUE"""),43904.0)</f>
        <v>43904</v>
      </c>
      <c r="B13" s="149">
        <f>IFERROR(__xludf.DUMMYFUNCTION("""COMPUTED_VALUE"""),0.0)</f>
        <v>0</v>
      </c>
      <c r="C13" s="149">
        <f>IFERROR(__xludf.DUMMYFUNCTION("""COMPUTED_VALUE"""),5.0)</f>
        <v>5</v>
      </c>
      <c r="D13" s="149">
        <f>IFERROR(__xludf.DUMMYFUNCTION("""COMPUTED_VALUE"""),21.0)</f>
        <v>21</v>
      </c>
      <c r="E13" s="149">
        <f>IFERROR(__xludf.DUMMYFUNCTION("""COMPUTED_VALUE"""),90.0)</f>
        <v>90</v>
      </c>
      <c r="F13" s="149">
        <f>IFERROR(__xludf.DUMMYFUNCTION("""COMPUTED_VALUE"""),340.0)</f>
        <v>340</v>
      </c>
      <c r="G13" s="149">
        <f>IFERROR(__xludf.DUMMYFUNCTION("""COMPUTED_VALUE"""),90.0)</f>
        <v>90</v>
      </c>
      <c r="H13" s="149">
        <f>IFERROR(__xludf.DUMMYFUNCTION("""COMPUTED_VALUE"""),361.0)</f>
        <v>361</v>
      </c>
      <c r="I13" s="149">
        <f>IFERROR(__xludf.DUMMYFUNCTION("""COMPUTED_VALUE"""),0.0)</f>
        <v>0</v>
      </c>
      <c r="J13" s="149">
        <f>IFERROR(__xludf.DUMMYFUNCTION("""COMPUTED_VALUE"""),5.0)</f>
        <v>5</v>
      </c>
      <c r="K13" s="149">
        <f>IFERROR(__xludf.DUMMYFUNCTION("""COMPUTED_VALUE"""),19.0)</f>
        <v>19</v>
      </c>
      <c r="L13" s="149">
        <f>IFERROR(__xludf.DUMMYFUNCTION("""COMPUTED_VALUE"""),86.0)</f>
        <v>86</v>
      </c>
      <c r="M13" s="149">
        <f>IFERROR(__xludf.DUMMYFUNCTION("""COMPUTED_VALUE"""),311.0)</f>
        <v>311</v>
      </c>
      <c r="N13" s="149">
        <f>IFERROR(__xludf.DUMMYFUNCTION("""COMPUTED_VALUE"""),330.0)</f>
        <v>330</v>
      </c>
      <c r="O13" s="149">
        <f>IFERROR(__xludf.DUMMYFUNCTION("""COMPUTED_VALUE"""),0.0)</f>
        <v>0</v>
      </c>
      <c r="P13" s="149">
        <f>IFERROR(__xludf.DUMMYFUNCTION("""COMPUTED_VALUE"""),9.0)</f>
        <v>9</v>
      </c>
      <c r="Q13" s="149">
        <f>IFERROR(__xludf.DUMMYFUNCTION("""COMPUTED_VALUE"""),0.0)</f>
        <v>0</v>
      </c>
      <c r="R13" s="149">
        <f>IFERROR(__xludf.DUMMYFUNCTION("""COMPUTED_VALUE"""),1.0)</f>
        <v>1</v>
      </c>
      <c r="S13" s="149">
        <f>IFERROR(__xludf.DUMMYFUNCTION("""COMPUTED_VALUE"""),0.0)</f>
        <v>0</v>
      </c>
      <c r="T13" s="149">
        <f>IFERROR(__xludf.DUMMYFUNCTION("""COMPUTED_VALUE"""),0.0)</f>
        <v>0</v>
      </c>
      <c r="U13" s="149">
        <f>IFERROR(__xludf.DUMMYFUNCTION("""COMPUTED_VALUE"""),8.0)</f>
        <v>8</v>
      </c>
      <c r="V13" s="149">
        <f>IFERROR(__xludf.DUMMYFUNCTION("""COMPUTED_VALUE"""),7.0)</f>
        <v>7</v>
      </c>
      <c r="W13" s="149">
        <f>IFERROR(__xludf.DUMMYFUNCTION("""COMPUTED_VALUE"""),1.0)</f>
        <v>1</v>
      </c>
      <c r="X13" s="149">
        <f>IFERROR(__xludf.DUMMYFUNCTION("""COMPUTED_VALUE"""),1.0)</f>
        <v>1</v>
      </c>
      <c r="Y13" s="149">
        <f>IFERROR(__xludf.DUMMYFUNCTION("""COMPUTED_VALUE"""),0.0)</f>
        <v>0</v>
      </c>
      <c r="Z13" s="149">
        <f>IFERROR(__xludf.DUMMYFUNCTION("""COMPUTED_VALUE"""),0.0)</f>
        <v>0</v>
      </c>
    </row>
    <row r="14">
      <c r="A14" s="187">
        <f>IFERROR(__xludf.DUMMYFUNCTION("""COMPUTED_VALUE"""),43905.0)</f>
        <v>43905</v>
      </c>
      <c r="B14" s="149">
        <f>IFERROR(__xludf.DUMMYFUNCTION("""COMPUTED_VALUE"""),1.0)</f>
        <v>1</v>
      </c>
      <c r="C14" s="149">
        <f>IFERROR(__xludf.DUMMYFUNCTION("""COMPUTED_VALUE"""),2.0)</f>
        <v>2</v>
      </c>
      <c r="D14" s="149">
        <f>IFERROR(__xludf.DUMMYFUNCTION("""COMPUTED_VALUE"""),22.0)</f>
        <v>22</v>
      </c>
      <c r="E14" s="149">
        <f>IFERROR(__xludf.DUMMYFUNCTION("""COMPUTED_VALUE"""),54.0)</f>
        <v>54</v>
      </c>
      <c r="F14" s="149">
        <f>IFERROR(__xludf.DUMMYFUNCTION("""COMPUTED_VALUE"""),394.0)</f>
        <v>394</v>
      </c>
      <c r="G14" s="149">
        <f>IFERROR(__xludf.DUMMYFUNCTION("""COMPUTED_VALUE"""),55.0)</f>
        <v>55</v>
      </c>
      <c r="H14" s="149">
        <f>IFERROR(__xludf.DUMMYFUNCTION("""COMPUTED_VALUE"""),416.0)</f>
        <v>416</v>
      </c>
      <c r="I14" s="149">
        <f>IFERROR(__xludf.DUMMYFUNCTION("""COMPUTED_VALUE"""),1.0)</f>
        <v>1</v>
      </c>
      <c r="J14" s="149">
        <f>IFERROR(__xludf.DUMMYFUNCTION("""COMPUTED_VALUE"""),2.0)</f>
        <v>2</v>
      </c>
      <c r="K14" s="149">
        <f>IFERROR(__xludf.DUMMYFUNCTION("""COMPUTED_VALUE"""),20.0)</f>
        <v>20</v>
      </c>
      <c r="L14" s="149">
        <f>IFERROR(__xludf.DUMMYFUNCTION("""COMPUTED_VALUE"""),54.0)</f>
        <v>54</v>
      </c>
      <c r="M14" s="149">
        <f>IFERROR(__xludf.DUMMYFUNCTION("""COMPUTED_VALUE"""),365.0)</f>
        <v>365</v>
      </c>
      <c r="N14" s="149">
        <f>IFERROR(__xludf.DUMMYFUNCTION("""COMPUTED_VALUE"""),385.0)</f>
        <v>385</v>
      </c>
      <c r="O14" s="149">
        <f>IFERROR(__xludf.DUMMYFUNCTION("""COMPUTED_VALUE"""),1.0)</f>
        <v>1</v>
      </c>
      <c r="P14" s="149">
        <f>IFERROR(__xludf.DUMMYFUNCTION("""COMPUTED_VALUE"""),10.0)</f>
        <v>10</v>
      </c>
      <c r="Q14" s="149">
        <f>IFERROR(__xludf.DUMMYFUNCTION("""COMPUTED_VALUE"""),0.0)</f>
        <v>0</v>
      </c>
      <c r="R14" s="149">
        <f>IFERROR(__xludf.DUMMYFUNCTION("""COMPUTED_VALUE"""),1.0)</f>
        <v>1</v>
      </c>
      <c r="S14" s="149">
        <f>IFERROR(__xludf.DUMMYFUNCTION("""COMPUTED_VALUE"""),0.0)</f>
        <v>0</v>
      </c>
      <c r="T14" s="149">
        <f>IFERROR(__xludf.DUMMYFUNCTION("""COMPUTED_VALUE"""),0.0)</f>
        <v>0</v>
      </c>
      <c r="U14" s="149">
        <f>IFERROR(__xludf.DUMMYFUNCTION("""COMPUTED_VALUE"""),9.0)</f>
        <v>9</v>
      </c>
      <c r="V14" s="149">
        <f>IFERROR(__xludf.DUMMYFUNCTION("""COMPUTED_VALUE"""),8.0)</f>
        <v>8</v>
      </c>
      <c r="W14" s="149">
        <f>IFERROR(__xludf.DUMMYFUNCTION("""COMPUTED_VALUE"""),2.0)</f>
        <v>2</v>
      </c>
      <c r="X14" s="149">
        <f>IFERROR(__xludf.DUMMYFUNCTION("""COMPUTED_VALUE"""),1.0)</f>
        <v>1</v>
      </c>
      <c r="Y14" s="149">
        <f>IFERROR(__xludf.DUMMYFUNCTION("""COMPUTED_VALUE"""),0.0)</f>
        <v>0</v>
      </c>
      <c r="Z14" s="149">
        <f>IFERROR(__xludf.DUMMYFUNCTION("""COMPUTED_VALUE"""),0.0)</f>
        <v>0</v>
      </c>
    </row>
    <row r="15">
      <c r="A15" s="187">
        <f>IFERROR(__xludf.DUMMYFUNCTION("""COMPUTED_VALUE"""),43906.0)</f>
        <v>43906</v>
      </c>
      <c r="B15" s="149">
        <f>IFERROR(__xludf.DUMMYFUNCTION("""COMPUTED_VALUE"""),2.0)</f>
        <v>2</v>
      </c>
      <c r="C15" s="149">
        <f>IFERROR(__xludf.DUMMYFUNCTION("""COMPUTED_VALUE"""),1.0)</f>
        <v>1</v>
      </c>
      <c r="D15" s="149">
        <f>IFERROR(__xludf.DUMMYFUNCTION("""COMPUTED_VALUE"""),24.0)</f>
        <v>24</v>
      </c>
      <c r="E15" s="149">
        <f>IFERROR(__xludf.DUMMYFUNCTION("""COMPUTED_VALUE"""),95.0)</f>
        <v>95</v>
      </c>
      <c r="F15" s="149">
        <f>IFERROR(__xludf.DUMMYFUNCTION("""COMPUTED_VALUE"""),489.0)</f>
        <v>489</v>
      </c>
      <c r="G15" s="149">
        <f>IFERROR(__xludf.DUMMYFUNCTION("""COMPUTED_VALUE"""),97.0)</f>
        <v>97</v>
      </c>
      <c r="H15" s="149">
        <f>IFERROR(__xludf.DUMMYFUNCTION("""COMPUTED_VALUE"""),513.0)</f>
        <v>513</v>
      </c>
      <c r="I15" s="149">
        <f>IFERROR(__xludf.DUMMYFUNCTION("""COMPUTED_VALUE"""),2.0)</f>
        <v>2</v>
      </c>
      <c r="J15" s="149">
        <f>IFERROR(__xludf.DUMMYFUNCTION("""COMPUTED_VALUE"""),1.0)</f>
        <v>1</v>
      </c>
      <c r="K15" s="149">
        <f>IFERROR(__xludf.DUMMYFUNCTION("""COMPUTED_VALUE"""),22.0)</f>
        <v>22</v>
      </c>
      <c r="L15" s="149">
        <f>IFERROR(__xludf.DUMMYFUNCTION("""COMPUTED_VALUE"""),92.0)</f>
        <v>92</v>
      </c>
      <c r="M15" s="149">
        <f>IFERROR(__xludf.DUMMYFUNCTION("""COMPUTED_VALUE"""),457.0)</f>
        <v>457</v>
      </c>
      <c r="N15" s="149">
        <f>IFERROR(__xludf.DUMMYFUNCTION("""COMPUTED_VALUE"""),479.0)</f>
        <v>479</v>
      </c>
      <c r="O15" s="149">
        <f>IFERROR(__xludf.DUMMYFUNCTION("""COMPUTED_VALUE"""),2.0)</f>
        <v>2</v>
      </c>
      <c r="P15" s="149">
        <f>IFERROR(__xludf.DUMMYFUNCTION("""COMPUTED_VALUE"""),12.0)</f>
        <v>12</v>
      </c>
      <c r="Q15" s="149">
        <f>IFERROR(__xludf.DUMMYFUNCTION("""COMPUTED_VALUE"""),0.0)</f>
        <v>0</v>
      </c>
      <c r="R15" s="149">
        <f>IFERROR(__xludf.DUMMYFUNCTION("""COMPUTED_VALUE"""),1.0)</f>
        <v>1</v>
      </c>
      <c r="S15" s="149">
        <f>IFERROR(__xludf.DUMMYFUNCTION("""COMPUTED_VALUE"""),0.0)</f>
        <v>0</v>
      </c>
      <c r="T15" s="149">
        <f>IFERROR(__xludf.DUMMYFUNCTION("""COMPUTED_VALUE"""),0.0)</f>
        <v>0</v>
      </c>
      <c r="U15" s="149">
        <f>IFERROR(__xludf.DUMMYFUNCTION("""COMPUTED_VALUE"""),11.0)</f>
        <v>11</v>
      </c>
      <c r="V15" s="149">
        <f>IFERROR(__xludf.DUMMYFUNCTION("""COMPUTED_VALUE"""),9.0)</f>
        <v>9</v>
      </c>
      <c r="W15" s="149">
        <f>IFERROR(__xludf.DUMMYFUNCTION("""COMPUTED_VALUE"""),2.0)</f>
        <v>2</v>
      </c>
      <c r="X15" s="149">
        <f>IFERROR(__xludf.DUMMYFUNCTION("""COMPUTED_VALUE"""),0.0)</f>
        <v>0</v>
      </c>
      <c r="Y15" s="149">
        <f>IFERROR(__xludf.DUMMYFUNCTION("""COMPUTED_VALUE"""),0.0)</f>
        <v>0</v>
      </c>
      <c r="Z15" s="149">
        <f>IFERROR(__xludf.DUMMYFUNCTION("""COMPUTED_VALUE"""),0.0)</f>
        <v>0</v>
      </c>
    </row>
    <row r="16">
      <c r="A16" s="187">
        <f>IFERROR(__xludf.DUMMYFUNCTION("""COMPUTED_VALUE"""),43907.0)</f>
        <v>43907</v>
      </c>
      <c r="B16" s="149">
        <f>IFERROR(__xludf.DUMMYFUNCTION("""COMPUTED_VALUE"""),16.0)</f>
        <v>16</v>
      </c>
      <c r="C16" s="149">
        <f>IFERROR(__xludf.DUMMYFUNCTION("""COMPUTED_VALUE"""),6.0)</f>
        <v>6</v>
      </c>
      <c r="D16" s="149">
        <f>IFERROR(__xludf.DUMMYFUNCTION("""COMPUTED_VALUE"""),40.0)</f>
        <v>40</v>
      </c>
      <c r="E16" s="149">
        <f>IFERROR(__xludf.DUMMYFUNCTION("""COMPUTED_VALUE"""),162.0)</f>
        <v>162</v>
      </c>
      <c r="F16" s="149">
        <f>IFERROR(__xludf.DUMMYFUNCTION("""COMPUTED_VALUE"""),651.0)</f>
        <v>651</v>
      </c>
      <c r="G16" s="149">
        <f>IFERROR(__xludf.DUMMYFUNCTION("""COMPUTED_VALUE"""),178.0)</f>
        <v>178</v>
      </c>
      <c r="H16" s="149">
        <f>IFERROR(__xludf.DUMMYFUNCTION("""COMPUTED_VALUE"""),691.0)</f>
        <v>691</v>
      </c>
      <c r="I16" s="149">
        <f>IFERROR(__xludf.DUMMYFUNCTION("""COMPUTED_VALUE"""),11.0)</f>
        <v>11</v>
      </c>
      <c r="J16" s="149">
        <f>IFERROR(__xludf.DUMMYFUNCTION("""COMPUTED_VALUE"""),5.0)</f>
        <v>5</v>
      </c>
      <c r="K16" s="149">
        <f>IFERROR(__xludf.DUMMYFUNCTION("""COMPUTED_VALUE"""),33.0)</f>
        <v>33</v>
      </c>
      <c r="L16" s="149">
        <f>IFERROR(__xludf.DUMMYFUNCTION("""COMPUTED_VALUE"""),151.0)</f>
        <v>151</v>
      </c>
      <c r="M16" s="149">
        <f>IFERROR(__xludf.DUMMYFUNCTION("""COMPUTED_VALUE"""),608.0)</f>
        <v>608</v>
      </c>
      <c r="N16" s="149">
        <f>IFERROR(__xludf.DUMMYFUNCTION("""COMPUTED_VALUE"""),641.0)</f>
        <v>641</v>
      </c>
      <c r="O16" s="149">
        <f>IFERROR(__xludf.DUMMYFUNCTION("""COMPUTED_VALUE"""),6.0)</f>
        <v>6</v>
      </c>
      <c r="P16" s="149">
        <f>IFERROR(__xludf.DUMMYFUNCTION("""COMPUTED_VALUE"""),18.0)</f>
        <v>18</v>
      </c>
      <c r="Q16" s="149">
        <f>IFERROR(__xludf.DUMMYFUNCTION("""COMPUTED_VALUE"""),0.0)</f>
        <v>0</v>
      </c>
      <c r="R16" s="149">
        <f>IFERROR(__xludf.DUMMYFUNCTION("""COMPUTED_VALUE"""),1.0)</f>
        <v>1</v>
      </c>
      <c r="S16" s="149">
        <f>IFERROR(__xludf.DUMMYFUNCTION("""COMPUTED_VALUE"""),0.0)</f>
        <v>0</v>
      </c>
      <c r="T16" s="149">
        <f>IFERROR(__xludf.DUMMYFUNCTION("""COMPUTED_VALUE"""),0.0)</f>
        <v>0</v>
      </c>
      <c r="U16" s="149">
        <f>IFERROR(__xludf.DUMMYFUNCTION("""COMPUTED_VALUE"""),17.0)</f>
        <v>17</v>
      </c>
      <c r="V16" s="149">
        <f>IFERROR(__xludf.DUMMYFUNCTION("""COMPUTED_VALUE"""),12.0)</f>
        <v>12</v>
      </c>
      <c r="W16" s="149">
        <f>IFERROR(__xludf.DUMMYFUNCTION("""COMPUTED_VALUE"""),2.0)</f>
        <v>2</v>
      </c>
      <c r="X16" s="149">
        <f>IFERROR(__xludf.DUMMYFUNCTION("""COMPUTED_VALUE"""),0.0)</f>
        <v>0</v>
      </c>
      <c r="Y16" s="149">
        <f>IFERROR(__xludf.DUMMYFUNCTION("""COMPUTED_VALUE"""),0.0)</f>
        <v>0</v>
      </c>
      <c r="Z16" s="149">
        <f>IFERROR(__xludf.DUMMYFUNCTION("""COMPUTED_VALUE"""),0.0)</f>
        <v>0</v>
      </c>
    </row>
    <row r="17">
      <c r="A17" s="187">
        <f>IFERROR(__xludf.DUMMYFUNCTION("""COMPUTED_VALUE"""),43908.0)</f>
        <v>43908</v>
      </c>
      <c r="B17" s="149">
        <f>IFERROR(__xludf.DUMMYFUNCTION("""COMPUTED_VALUE"""),12.0)</f>
        <v>12</v>
      </c>
      <c r="C17" s="149">
        <f>IFERROR(__xludf.DUMMYFUNCTION("""COMPUTED_VALUE"""),10.0)</f>
        <v>10</v>
      </c>
      <c r="D17" s="149">
        <f>IFERROR(__xludf.DUMMYFUNCTION("""COMPUTED_VALUE"""),52.0)</f>
        <v>52</v>
      </c>
      <c r="E17" s="149">
        <f>IFERROR(__xludf.DUMMYFUNCTION("""COMPUTED_VALUE"""),116.0)</f>
        <v>116</v>
      </c>
      <c r="F17" s="149">
        <f>IFERROR(__xludf.DUMMYFUNCTION("""COMPUTED_VALUE"""),767.0)</f>
        <v>767</v>
      </c>
      <c r="G17" s="149">
        <f>IFERROR(__xludf.DUMMYFUNCTION("""COMPUTED_VALUE"""),128.0)</f>
        <v>128</v>
      </c>
      <c r="H17" s="149">
        <f>IFERROR(__xludf.DUMMYFUNCTION("""COMPUTED_VALUE"""),819.0)</f>
        <v>819</v>
      </c>
      <c r="I17" s="149">
        <f>IFERROR(__xludf.DUMMYFUNCTION("""COMPUTED_VALUE"""),11.0)</f>
        <v>11</v>
      </c>
      <c r="J17" s="149">
        <f>IFERROR(__xludf.DUMMYFUNCTION("""COMPUTED_VALUE"""),8.0)</f>
        <v>8</v>
      </c>
      <c r="K17" s="149">
        <f>IFERROR(__xludf.DUMMYFUNCTION("""COMPUTED_VALUE"""),44.0)</f>
        <v>44</v>
      </c>
      <c r="L17" s="149">
        <f>IFERROR(__xludf.DUMMYFUNCTION("""COMPUTED_VALUE"""),110.0)</f>
        <v>110</v>
      </c>
      <c r="M17" s="149">
        <f>IFERROR(__xludf.DUMMYFUNCTION("""COMPUTED_VALUE"""),718.0)</f>
        <v>718</v>
      </c>
      <c r="N17" s="149">
        <f>IFERROR(__xludf.DUMMYFUNCTION("""COMPUTED_VALUE"""),762.0)</f>
        <v>762</v>
      </c>
      <c r="O17" s="149">
        <f>IFERROR(__xludf.DUMMYFUNCTION("""COMPUTED_VALUE"""),3.0)</f>
        <v>3</v>
      </c>
      <c r="P17" s="149">
        <f>IFERROR(__xludf.DUMMYFUNCTION("""COMPUTED_VALUE"""),21.0)</f>
        <v>21</v>
      </c>
      <c r="Q17" s="149">
        <f>IFERROR(__xludf.DUMMYFUNCTION("""COMPUTED_VALUE"""),0.0)</f>
        <v>0</v>
      </c>
      <c r="R17" s="149">
        <f>IFERROR(__xludf.DUMMYFUNCTION("""COMPUTED_VALUE"""),1.0)</f>
        <v>1</v>
      </c>
      <c r="S17" s="149">
        <f>IFERROR(__xludf.DUMMYFUNCTION("""COMPUTED_VALUE"""),0.0)</f>
        <v>0</v>
      </c>
      <c r="T17" s="149">
        <f>IFERROR(__xludf.DUMMYFUNCTION("""COMPUTED_VALUE"""),0.0)</f>
        <v>0</v>
      </c>
      <c r="U17" s="149">
        <f>IFERROR(__xludf.DUMMYFUNCTION("""COMPUTED_VALUE"""),20.0)</f>
        <v>20</v>
      </c>
      <c r="V17" s="149">
        <f>IFERROR(__xludf.DUMMYFUNCTION("""COMPUTED_VALUE"""),16.0)</f>
        <v>16</v>
      </c>
      <c r="W17" s="149">
        <f>IFERROR(__xludf.DUMMYFUNCTION("""COMPUTED_VALUE"""),2.0)</f>
        <v>2</v>
      </c>
      <c r="X17" s="149">
        <f>IFERROR(__xludf.DUMMYFUNCTION("""COMPUTED_VALUE"""),0.0)</f>
        <v>0</v>
      </c>
      <c r="Y17" s="149">
        <f>IFERROR(__xludf.DUMMYFUNCTION("""COMPUTED_VALUE"""),0.0)</f>
        <v>0</v>
      </c>
      <c r="Z17" s="149">
        <f>IFERROR(__xludf.DUMMYFUNCTION("""COMPUTED_VALUE"""),0.0)</f>
        <v>0</v>
      </c>
    </row>
    <row r="18">
      <c r="A18" s="187">
        <f>IFERROR(__xludf.DUMMYFUNCTION("""COMPUTED_VALUE"""),43909.0)</f>
        <v>43909</v>
      </c>
      <c r="B18" s="149">
        <f>IFERROR(__xludf.DUMMYFUNCTION("""COMPUTED_VALUE"""),17.0)</f>
        <v>17</v>
      </c>
      <c r="C18" s="149">
        <f>IFERROR(__xludf.DUMMYFUNCTION("""COMPUTED_VALUE"""),15.0)</f>
        <v>15</v>
      </c>
      <c r="D18" s="149">
        <f>IFERROR(__xludf.DUMMYFUNCTION("""COMPUTED_VALUE"""),69.0)</f>
        <v>69</v>
      </c>
      <c r="E18" s="149">
        <f>IFERROR(__xludf.DUMMYFUNCTION("""COMPUTED_VALUE"""),262.0)</f>
        <v>262</v>
      </c>
      <c r="F18" s="149">
        <f>IFERROR(__xludf.DUMMYFUNCTION("""COMPUTED_VALUE"""),1029.0)</f>
        <v>1029</v>
      </c>
      <c r="G18" s="149">
        <f>IFERROR(__xludf.DUMMYFUNCTION("""COMPUTED_VALUE"""),279.0)</f>
        <v>279</v>
      </c>
      <c r="H18" s="149">
        <f>IFERROR(__xludf.DUMMYFUNCTION("""COMPUTED_VALUE"""),1098.0)</f>
        <v>1098</v>
      </c>
      <c r="I18" s="149">
        <f>IFERROR(__xludf.DUMMYFUNCTION("""COMPUTED_VALUE"""),17.0)</f>
        <v>17</v>
      </c>
      <c r="J18" s="149">
        <f>IFERROR(__xludf.DUMMYFUNCTION("""COMPUTED_VALUE"""),13.0)</f>
        <v>13</v>
      </c>
      <c r="K18" s="149">
        <f>IFERROR(__xludf.DUMMYFUNCTION("""COMPUTED_VALUE"""),61.0)</f>
        <v>61</v>
      </c>
      <c r="L18" s="149">
        <f>IFERROR(__xludf.DUMMYFUNCTION("""COMPUTED_VALUE"""),251.0)</f>
        <v>251</v>
      </c>
      <c r="M18" s="149">
        <f>IFERROR(__xludf.DUMMYFUNCTION("""COMPUTED_VALUE"""),969.0)</f>
        <v>969</v>
      </c>
      <c r="N18" s="149">
        <f>IFERROR(__xludf.DUMMYFUNCTION("""COMPUTED_VALUE"""),1030.0)</f>
        <v>1030</v>
      </c>
      <c r="O18" s="149">
        <f>IFERROR(__xludf.DUMMYFUNCTION("""COMPUTED_VALUE"""),2.0)</f>
        <v>2</v>
      </c>
      <c r="P18" s="149">
        <f>IFERROR(__xludf.DUMMYFUNCTION("""COMPUTED_VALUE"""),23.0)</f>
        <v>23</v>
      </c>
      <c r="Q18" s="149">
        <f>IFERROR(__xludf.DUMMYFUNCTION("""COMPUTED_VALUE"""),1.0)</f>
        <v>1</v>
      </c>
      <c r="R18" s="149">
        <f>IFERROR(__xludf.DUMMYFUNCTION("""COMPUTED_VALUE"""),2.0)</f>
        <v>2</v>
      </c>
      <c r="S18" s="149">
        <f>IFERROR(__xludf.DUMMYFUNCTION("""COMPUTED_VALUE"""),0.0)</f>
        <v>0</v>
      </c>
      <c r="T18" s="149">
        <f>IFERROR(__xludf.DUMMYFUNCTION("""COMPUTED_VALUE"""),0.0)</f>
        <v>0</v>
      </c>
      <c r="U18" s="149">
        <f>IFERROR(__xludf.DUMMYFUNCTION("""COMPUTED_VALUE"""),21.0)</f>
        <v>21</v>
      </c>
      <c r="V18" s="149">
        <f>IFERROR(__xludf.DUMMYFUNCTION("""COMPUTED_VALUE"""),19.0)</f>
        <v>19</v>
      </c>
      <c r="W18" s="149">
        <f>IFERROR(__xludf.DUMMYFUNCTION("""COMPUTED_VALUE"""),3.0)</f>
        <v>3</v>
      </c>
      <c r="X18" s="149">
        <f>IFERROR(__xludf.DUMMYFUNCTION("""COMPUTED_VALUE"""),0.0)</f>
        <v>0</v>
      </c>
      <c r="Y18" s="149">
        <f>IFERROR(__xludf.DUMMYFUNCTION("""COMPUTED_VALUE"""),1.0)</f>
        <v>1</v>
      </c>
      <c r="Z18" s="149">
        <f>IFERROR(__xludf.DUMMYFUNCTION("""COMPUTED_VALUE"""),1.0)</f>
        <v>1</v>
      </c>
    </row>
    <row r="19">
      <c r="A19" s="187">
        <f>IFERROR(__xludf.DUMMYFUNCTION("""COMPUTED_VALUE"""),43910.0)</f>
        <v>43910</v>
      </c>
      <c r="B19" s="149">
        <f>IFERROR(__xludf.DUMMYFUNCTION("""COMPUTED_VALUE"""),14.0)</f>
        <v>14</v>
      </c>
      <c r="C19" s="149">
        <f>IFERROR(__xludf.DUMMYFUNCTION("""COMPUTED_VALUE"""),14.0)</f>
        <v>14</v>
      </c>
      <c r="D19" s="149">
        <f>IFERROR(__xludf.DUMMYFUNCTION("""COMPUTED_VALUE"""),83.0)</f>
        <v>83</v>
      </c>
      <c r="E19" s="149">
        <f>IFERROR(__xludf.DUMMYFUNCTION("""COMPUTED_VALUE"""),197.0)</f>
        <v>197</v>
      </c>
      <c r="F19" s="149">
        <f>IFERROR(__xludf.DUMMYFUNCTION("""COMPUTED_VALUE"""),1226.0)</f>
        <v>1226</v>
      </c>
      <c r="G19" s="149">
        <f>IFERROR(__xludf.DUMMYFUNCTION("""COMPUTED_VALUE"""),211.0)</f>
        <v>211</v>
      </c>
      <c r="H19" s="149">
        <f>IFERROR(__xludf.DUMMYFUNCTION("""COMPUTED_VALUE"""),1309.0)</f>
        <v>1309</v>
      </c>
      <c r="I19" s="149">
        <f>IFERROR(__xludf.DUMMYFUNCTION("""COMPUTED_VALUE"""),13.0)</f>
        <v>13</v>
      </c>
      <c r="J19" s="149">
        <f>IFERROR(__xludf.DUMMYFUNCTION("""COMPUTED_VALUE"""),14.0)</f>
        <v>14</v>
      </c>
      <c r="K19" s="149">
        <f>IFERROR(__xludf.DUMMYFUNCTION("""COMPUTED_VALUE"""),74.0)</f>
        <v>74</v>
      </c>
      <c r="L19" s="149">
        <f>IFERROR(__xludf.DUMMYFUNCTION("""COMPUTED_VALUE"""),191.0)</f>
        <v>191</v>
      </c>
      <c r="M19" s="149">
        <f>IFERROR(__xludf.DUMMYFUNCTION("""COMPUTED_VALUE"""),1160.0)</f>
        <v>1160</v>
      </c>
      <c r="N19" s="149">
        <f>IFERROR(__xludf.DUMMYFUNCTION("""COMPUTED_VALUE"""),1234.0)</f>
        <v>1234</v>
      </c>
      <c r="O19" s="149">
        <f>IFERROR(__xludf.DUMMYFUNCTION("""COMPUTED_VALUE"""),5.0)</f>
        <v>5</v>
      </c>
      <c r="P19" s="149">
        <f>IFERROR(__xludf.DUMMYFUNCTION("""COMPUTED_VALUE"""),28.0)</f>
        <v>28</v>
      </c>
      <c r="Q19" s="149">
        <f>IFERROR(__xludf.DUMMYFUNCTION("""COMPUTED_VALUE"""),0.0)</f>
        <v>0</v>
      </c>
      <c r="R19" s="149">
        <f>IFERROR(__xludf.DUMMYFUNCTION("""COMPUTED_VALUE"""),2.0)</f>
        <v>2</v>
      </c>
      <c r="S19" s="149">
        <f>IFERROR(__xludf.DUMMYFUNCTION("""COMPUTED_VALUE"""),0.0)</f>
        <v>0</v>
      </c>
      <c r="T19" s="149">
        <f>IFERROR(__xludf.DUMMYFUNCTION("""COMPUTED_VALUE"""),0.0)</f>
        <v>0</v>
      </c>
      <c r="U19" s="149">
        <f>IFERROR(__xludf.DUMMYFUNCTION("""COMPUTED_VALUE"""),26.0)</f>
        <v>26</v>
      </c>
      <c r="V19" s="149">
        <f>IFERROR(__xludf.DUMMYFUNCTION("""COMPUTED_VALUE"""),22.0)</f>
        <v>22</v>
      </c>
      <c r="W19" s="149">
        <f>IFERROR(__xludf.DUMMYFUNCTION("""COMPUTED_VALUE"""),4.0)</f>
        <v>4</v>
      </c>
      <c r="X19" s="149">
        <f>IFERROR(__xludf.DUMMYFUNCTION("""COMPUTED_VALUE"""),0.0)</f>
        <v>0</v>
      </c>
      <c r="Y19" s="149">
        <f>IFERROR(__xludf.DUMMYFUNCTION("""COMPUTED_VALUE"""),0.0)</f>
        <v>0</v>
      </c>
      <c r="Z19" s="149">
        <f>IFERROR(__xludf.DUMMYFUNCTION("""COMPUTED_VALUE"""),1.0)</f>
        <v>1</v>
      </c>
    </row>
    <row r="20">
      <c r="A20" s="187">
        <f>IFERROR(__xludf.DUMMYFUNCTION("""COMPUTED_VALUE"""),43911.0)</f>
        <v>43911</v>
      </c>
      <c r="B20" s="149">
        <f>IFERROR(__xludf.DUMMYFUNCTION("""COMPUTED_VALUE"""),21.0)</f>
        <v>21</v>
      </c>
      <c r="C20" s="149">
        <f>IFERROR(__xludf.DUMMYFUNCTION("""COMPUTED_VALUE"""),17.0)</f>
        <v>17</v>
      </c>
      <c r="D20" s="149">
        <f>IFERROR(__xludf.DUMMYFUNCTION("""COMPUTED_VALUE"""),104.0)</f>
        <v>104</v>
      </c>
      <c r="E20" s="149">
        <f>IFERROR(__xludf.DUMMYFUNCTION("""COMPUTED_VALUE"""),126.0)</f>
        <v>126</v>
      </c>
      <c r="F20" s="149">
        <f>IFERROR(__xludf.DUMMYFUNCTION("""COMPUTED_VALUE"""),1352.0)</f>
        <v>1352</v>
      </c>
      <c r="G20" s="149">
        <f>IFERROR(__xludf.DUMMYFUNCTION("""COMPUTED_VALUE"""),147.0)</f>
        <v>147</v>
      </c>
      <c r="H20" s="149">
        <f>IFERROR(__xludf.DUMMYFUNCTION("""COMPUTED_VALUE"""),1456.0)</f>
        <v>1456</v>
      </c>
      <c r="I20" s="149">
        <f>IFERROR(__xludf.DUMMYFUNCTION("""COMPUTED_VALUE"""),14.0)</f>
        <v>14</v>
      </c>
      <c r="J20" s="149">
        <f>IFERROR(__xludf.DUMMYFUNCTION("""COMPUTED_VALUE"""),15.0)</f>
        <v>15</v>
      </c>
      <c r="K20" s="149">
        <f>IFERROR(__xludf.DUMMYFUNCTION("""COMPUTED_VALUE"""),88.0)</f>
        <v>88</v>
      </c>
      <c r="L20" s="149">
        <f>IFERROR(__xludf.DUMMYFUNCTION("""COMPUTED_VALUE"""),123.0)</f>
        <v>123</v>
      </c>
      <c r="M20" s="149">
        <f>IFERROR(__xludf.DUMMYFUNCTION("""COMPUTED_VALUE"""),1283.0)</f>
        <v>1283</v>
      </c>
      <c r="N20" s="149">
        <f>IFERROR(__xludf.DUMMYFUNCTION("""COMPUTED_VALUE"""),1371.0)</f>
        <v>1371</v>
      </c>
      <c r="O20" s="149">
        <f>IFERROR(__xludf.DUMMYFUNCTION("""COMPUTED_VALUE"""),3.0)</f>
        <v>3</v>
      </c>
      <c r="P20" s="149">
        <f>IFERROR(__xludf.DUMMYFUNCTION("""COMPUTED_VALUE"""),31.0)</f>
        <v>31</v>
      </c>
      <c r="Q20" s="149">
        <f>IFERROR(__xludf.DUMMYFUNCTION("""COMPUTED_VALUE"""),2.0)</f>
        <v>2</v>
      </c>
      <c r="R20" s="149">
        <f>IFERROR(__xludf.DUMMYFUNCTION("""COMPUTED_VALUE"""),4.0)</f>
        <v>4</v>
      </c>
      <c r="S20" s="149">
        <f>IFERROR(__xludf.DUMMYFUNCTION("""COMPUTED_VALUE"""),0.0)</f>
        <v>0</v>
      </c>
      <c r="T20" s="149">
        <f>IFERROR(__xludf.DUMMYFUNCTION("""COMPUTED_VALUE"""),0.0)</f>
        <v>0</v>
      </c>
      <c r="U20" s="149">
        <f>IFERROR(__xludf.DUMMYFUNCTION("""COMPUTED_VALUE"""),27.0)</f>
        <v>27</v>
      </c>
      <c r="V20" s="149">
        <f>IFERROR(__xludf.DUMMYFUNCTION("""COMPUTED_VALUE"""),25.0)</f>
        <v>25</v>
      </c>
      <c r="W20" s="149">
        <f>IFERROR(__xludf.DUMMYFUNCTION("""COMPUTED_VALUE"""),5.0)</f>
        <v>5</v>
      </c>
      <c r="X20" s="149">
        <f>IFERROR(__xludf.DUMMYFUNCTION("""COMPUTED_VALUE"""),0.0)</f>
        <v>0</v>
      </c>
      <c r="Y20" s="149">
        <f>IFERROR(__xludf.DUMMYFUNCTION("""COMPUTED_VALUE"""),0.0)</f>
        <v>0</v>
      </c>
      <c r="Z20" s="149">
        <f>IFERROR(__xludf.DUMMYFUNCTION("""COMPUTED_VALUE"""),1.0)</f>
        <v>1</v>
      </c>
    </row>
    <row r="21">
      <c r="A21" s="187">
        <f>IFERROR(__xludf.DUMMYFUNCTION("""COMPUTED_VALUE"""),43912.0)</f>
        <v>43912</v>
      </c>
      <c r="B21" s="149">
        <f>IFERROR(__xludf.DUMMYFUNCTION("""COMPUTED_VALUE"""),30.0)</f>
        <v>30</v>
      </c>
      <c r="C21" s="149">
        <f>IFERROR(__xludf.DUMMYFUNCTION("""COMPUTED_VALUE"""),22.0)</f>
        <v>22</v>
      </c>
      <c r="D21" s="149">
        <f>IFERROR(__xludf.DUMMYFUNCTION("""COMPUTED_VALUE"""),134.0)</f>
        <v>134</v>
      </c>
      <c r="E21" s="149">
        <f>IFERROR(__xludf.DUMMYFUNCTION("""COMPUTED_VALUE"""),282.0)</f>
        <v>282</v>
      </c>
      <c r="F21" s="149">
        <f>IFERROR(__xludf.DUMMYFUNCTION("""COMPUTED_VALUE"""),1634.0)</f>
        <v>1634</v>
      </c>
      <c r="G21" s="149">
        <f>IFERROR(__xludf.DUMMYFUNCTION("""COMPUTED_VALUE"""),312.0)</f>
        <v>312</v>
      </c>
      <c r="H21" s="149">
        <f>IFERROR(__xludf.DUMMYFUNCTION("""COMPUTED_VALUE"""),1768.0)</f>
        <v>1768</v>
      </c>
      <c r="I21" s="149">
        <f>IFERROR(__xludf.DUMMYFUNCTION("""COMPUTED_VALUE"""),25.0)</f>
        <v>25</v>
      </c>
      <c r="J21" s="149">
        <f>IFERROR(__xludf.DUMMYFUNCTION("""COMPUTED_VALUE"""),17.0)</f>
        <v>17</v>
      </c>
      <c r="K21" s="149">
        <f>IFERROR(__xludf.DUMMYFUNCTION("""COMPUTED_VALUE"""),113.0)</f>
        <v>113</v>
      </c>
      <c r="L21" s="149">
        <f>IFERROR(__xludf.DUMMYFUNCTION("""COMPUTED_VALUE"""),262.0)</f>
        <v>262</v>
      </c>
      <c r="M21" s="149">
        <f>IFERROR(__xludf.DUMMYFUNCTION("""COMPUTED_VALUE"""),1545.0)</f>
        <v>1545</v>
      </c>
      <c r="N21" s="149">
        <f>IFERROR(__xludf.DUMMYFUNCTION("""COMPUTED_VALUE"""),1658.0)</f>
        <v>1658</v>
      </c>
      <c r="O21" s="149">
        <f>IFERROR(__xludf.DUMMYFUNCTION("""COMPUTED_VALUE"""),2.0)</f>
        <v>2</v>
      </c>
      <c r="P21" s="149">
        <f>IFERROR(__xludf.DUMMYFUNCTION("""COMPUTED_VALUE"""),33.0)</f>
        <v>33</v>
      </c>
      <c r="Q21" s="149">
        <f>IFERROR(__xludf.DUMMYFUNCTION("""COMPUTED_VALUE"""),0.0)</f>
        <v>0</v>
      </c>
      <c r="R21" s="149">
        <f>IFERROR(__xludf.DUMMYFUNCTION("""COMPUTED_VALUE"""),4.0)</f>
        <v>4</v>
      </c>
      <c r="S21" s="149">
        <f>IFERROR(__xludf.DUMMYFUNCTION("""COMPUTED_VALUE"""),0.0)</f>
        <v>0</v>
      </c>
      <c r="T21" s="149">
        <f>IFERROR(__xludf.DUMMYFUNCTION("""COMPUTED_VALUE"""),0.0)</f>
        <v>0</v>
      </c>
      <c r="U21" s="149">
        <f>IFERROR(__xludf.DUMMYFUNCTION("""COMPUTED_VALUE"""),29.0)</f>
        <v>29</v>
      </c>
      <c r="V21" s="149">
        <f>IFERROR(__xludf.DUMMYFUNCTION("""COMPUTED_VALUE"""),27.0)</f>
        <v>27</v>
      </c>
      <c r="W21" s="149">
        <f>IFERROR(__xludf.DUMMYFUNCTION("""COMPUTED_VALUE"""),5.0)</f>
        <v>5</v>
      </c>
      <c r="X21" s="149">
        <f>IFERROR(__xludf.DUMMYFUNCTION("""COMPUTED_VALUE"""),0.0)</f>
        <v>0</v>
      </c>
      <c r="Y21" s="149">
        <f>IFERROR(__xludf.DUMMYFUNCTION("""COMPUTED_VALUE"""),0.0)</f>
        <v>0</v>
      </c>
      <c r="Z21" s="149">
        <f>IFERROR(__xludf.DUMMYFUNCTION("""COMPUTED_VALUE"""),1.0)</f>
        <v>1</v>
      </c>
    </row>
    <row r="22">
      <c r="A22" s="187">
        <f>IFERROR(__xludf.DUMMYFUNCTION("""COMPUTED_VALUE"""),43913.0)</f>
        <v>43913</v>
      </c>
      <c r="B22" s="149">
        <f>IFERROR(__xludf.DUMMYFUNCTION("""COMPUTED_VALUE"""),15.0)</f>
        <v>15</v>
      </c>
      <c r="C22" s="149">
        <f>IFERROR(__xludf.DUMMYFUNCTION("""COMPUTED_VALUE"""),22.0)</f>
        <v>22</v>
      </c>
      <c r="D22" s="149">
        <f>IFERROR(__xludf.DUMMYFUNCTION("""COMPUTED_VALUE"""),149.0)</f>
        <v>149</v>
      </c>
      <c r="E22" s="149">
        <f>IFERROR(__xludf.DUMMYFUNCTION("""COMPUTED_VALUE"""),169.0)</f>
        <v>169</v>
      </c>
      <c r="F22" s="149">
        <f>IFERROR(__xludf.DUMMYFUNCTION("""COMPUTED_VALUE"""),1803.0)</f>
        <v>1803</v>
      </c>
      <c r="G22" s="149">
        <f>IFERROR(__xludf.DUMMYFUNCTION("""COMPUTED_VALUE"""),184.0)</f>
        <v>184</v>
      </c>
      <c r="H22" s="149">
        <f>IFERROR(__xludf.DUMMYFUNCTION("""COMPUTED_VALUE"""),1952.0)</f>
        <v>1952</v>
      </c>
      <c r="I22" s="149">
        <f>IFERROR(__xludf.DUMMYFUNCTION("""COMPUTED_VALUE"""),16.0)</f>
        <v>16</v>
      </c>
      <c r="J22" s="149">
        <f>IFERROR(__xludf.DUMMYFUNCTION("""COMPUTED_VALUE"""),18.0)</f>
        <v>18</v>
      </c>
      <c r="K22" s="149">
        <f>IFERROR(__xludf.DUMMYFUNCTION("""COMPUTED_VALUE"""),129.0)</f>
        <v>129</v>
      </c>
      <c r="L22" s="149">
        <f>IFERROR(__xludf.DUMMYFUNCTION("""COMPUTED_VALUE"""),165.0)</f>
        <v>165</v>
      </c>
      <c r="M22" s="149">
        <f>IFERROR(__xludf.DUMMYFUNCTION("""COMPUTED_VALUE"""),1710.0)</f>
        <v>1710</v>
      </c>
      <c r="N22" s="149">
        <f>IFERROR(__xludf.DUMMYFUNCTION("""COMPUTED_VALUE"""),1839.0)</f>
        <v>1839</v>
      </c>
      <c r="O22" s="149">
        <f>IFERROR(__xludf.DUMMYFUNCTION("""COMPUTED_VALUE"""),15.0)</f>
        <v>15</v>
      </c>
      <c r="P22" s="149">
        <f>IFERROR(__xludf.DUMMYFUNCTION("""COMPUTED_VALUE"""),48.0)</f>
        <v>48</v>
      </c>
      <c r="Q22" s="149">
        <f>IFERROR(__xludf.DUMMYFUNCTION("""COMPUTED_VALUE"""),1.0)</f>
        <v>1</v>
      </c>
      <c r="R22" s="149">
        <f>IFERROR(__xludf.DUMMYFUNCTION("""COMPUTED_VALUE"""),5.0)</f>
        <v>5</v>
      </c>
      <c r="S22" s="149">
        <f>IFERROR(__xludf.DUMMYFUNCTION("""COMPUTED_VALUE"""),0.0)</f>
        <v>0</v>
      </c>
      <c r="T22" s="149">
        <f>IFERROR(__xludf.DUMMYFUNCTION("""COMPUTED_VALUE"""),0.0)</f>
        <v>0</v>
      </c>
      <c r="U22" s="149">
        <f>IFERROR(__xludf.DUMMYFUNCTION("""COMPUTED_VALUE"""),43.0)</f>
        <v>43</v>
      </c>
      <c r="V22" s="149">
        <f>IFERROR(__xludf.DUMMYFUNCTION("""COMPUTED_VALUE"""),33.0)</f>
        <v>33</v>
      </c>
      <c r="W22" s="149">
        <f>IFERROR(__xludf.DUMMYFUNCTION("""COMPUTED_VALUE"""),9.0)</f>
        <v>9</v>
      </c>
      <c r="X22" s="149">
        <f>IFERROR(__xludf.DUMMYFUNCTION("""COMPUTED_VALUE"""),3.0)</f>
        <v>3</v>
      </c>
      <c r="Y22" s="149">
        <f>IFERROR(__xludf.DUMMYFUNCTION("""COMPUTED_VALUE"""),0.0)</f>
        <v>0</v>
      </c>
      <c r="Z22" s="149">
        <f>IFERROR(__xludf.DUMMYFUNCTION("""COMPUTED_VALUE"""),1.0)</f>
        <v>1</v>
      </c>
    </row>
    <row r="23">
      <c r="A23" s="187">
        <f>IFERROR(__xludf.DUMMYFUNCTION("""COMPUTED_VALUE"""),43914.0)</f>
        <v>43914</v>
      </c>
      <c r="B23" s="149">
        <f>IFERROR(__xludf.DUMMYFUNCTION("""COMPUTED_VALUE"""),20.0)</f>
        <v>20</v>
      </c>
      <c r="C23" s="149">
        <f>IFERROR(__xludf.DUMMYFUNCTION("""COMPUTED_VALUE"""),22.0)</f>
        <v>22</v>
      </c>
      <c r="D23" s="149">
        <f>IFERROR(__xludf.DUMMYFUNCTION("""COMPUTED_VALUE"""),169.0)</f>
        <v>169</v>
      </c>
      <c r="E23" s="149">
        <f>IFERROR(__xludf.DUMMYFUNCTION("""COMPUTED_VALUE"""),243.0)</f>
        <v>243</v>
      </c>
      <c r="F23" s="149">
        <f>IFERROR(__xludf.DUMMYFUNCTION("""COMPUTED_VALUE"""),2046.0)</f>
        <v>2046</v>
      </c>
      <c r="G23" s="149">
        <f>IFERROR(__xludf.DUMMYFUNCTION("""COMPUTED_VALUE"""),263.0)</f>
        <v>263</v>
      </c>
      <c r="H23" s="149">
        <f>IFERROR(__xludf.DUMMYFUNCTION("""COMPUTED_VALUE"""),2215.0)</f>
        <v>2215</v>
      </c>
      <c r="I23" s="149">
        <f>IFERROR(__xludf.DUMMYFUNCTION("""COMPUTED_VALUE"""),19.0)</f>
        <v>19</v>
      </c>
      <c r="J23" s="149">
        <f>IFERROR(__xludf.DUMMYFUNCTION("""COMPUTED_VALUE"""),20.0)</f>
        <v>20</v>
      </c>
      <c r="K23" s="149">
        <f>IFERROR(__xludf.DUMMYFUNCTION("""COMPUTED_VALUE"""),148.0)</f>
        <v>148</v>
      </c>
      <c r="L23" s="149">
        <f>IFERROR(__xludf.DUMMYFUNCTION("""COMPUTED_VALUE"""),238.0)</f>
        <v>238</v>
      </c>
      <c r="M23" s="149">
        <f>IFERROR(__xludf.DUMMYFUNCTION("""COMPUTED_VALUE"""),1948.0)</f>
        <v>1948</v>
      </c>
      <c r="N23" s="149">
        <f>IFERROR(__xludf.DUMMYFUNCTION("""COMPUTED_VALUE"""),2096.0)</f>
        <v>2096</v>
      </c>
      <c r="O23" s="149">
        <f>IFERROR(__xludf.DUMMYFUNCTION("""COMPUTED_VALUE"""),7.0)</f>
        <v>7</v>
      </c>
      <c r="P23" s="149">
        <f>IFERROR(__xludf.DUMMYFUNCTION("""COMPUTED_VALUE"""),55.0)</f>
        <v>55</v>
      </c>
      <c r="Q23" s="149">
        <f>IFERROR(__xludf.DUMMYFUNCTION("""COMPUTED_VALUE"""),0.0)</f>
        <v>0</v>
      </c>
      <c r="R23" s="149">
        <f>IFERROR(__xludf.DUMMYFUNCTION("""COMPUTED_VALUE"""),5.0)</f>
        <v>5</v>
      </c>
      <c r="S23" s="149">
        <f>IFERROR(__xludf.DUMMYFUNCTION("""COMPUTED_VALUE"""),0.0)</f>
        <v>0</v>
      </c>
      <c r="T23" s="149">
        <f>IFERROR(__xludf.DUMMYFUNCTION("""COMPUTED_VALUE"""),0.0)</f>
        <v>0</v>
      </c>
      <c r="U23" s="149">
        <f>IFERROR(__xludf.DUMMYFUNCTION("""COMPUTED_VALUE"""),50.0)</f>
        <v>50</v>
      </c>
      <c r="V23" s="149">
        <f>IFERROR(__xludf.DUMMYFUNCTION("""COMPUTED_VALUE"""),41.0)</f>
        <v>41</v>
      </c>
      <c r="W23" s="149">
        <f>IFERROR(__xludf.DUMMYFUNCTION("""COMPUTED_VALUE"""),10.0)</f>
        <v>10</v>
      </c>
      <c r="X23" s="149">
        <f>IFERROR(__xludf.DUMMYFUNCTION("""COMPUTED_VALUE"""),4.0)</f>
        <v>4</v>
      </c>
      <c r="Y23" s="149">
        <f>IFERROR(__xludf.DUMMYFUNCTION("""COMPUTED_VALUE"""),0.0)</f>
        <v>0</v>
      </c>
      <c r="Z23" s="149">
        <f>IFERROR(__xludf.DUMMYFUNCTION("""COMPUTED_VALUE"""),1.0)</f>
        <v>1</v>
      </c>
    </row>
    <row r="24">
      <c r="A24" s="187">
        <f>IFERROR(__xludf.DUMMYFUNCTION("""COMPUTED_VALUE"""),43915.0)</f>
        <v>43915</v>
      </c>
      <c r="B24" s="149">
        <f>IFERROR(__xludf.DUMMYFUNCTION("""COMPUTED_VALUE"""),26.0)</f>
        <v>26</v>
      </c>
      <c r="C24" s="149">
        <f>IFERROR(__xludf.DUMMYFUNCTION("""COMPUTED_VALUE"""),20.0)</f>
        <v>20</v>
      </c>
      <c r="D24" s="149">
        <f>IFERROR(__xludf.DUMMYFUNCTION("""COMPUTED_VALUE"""),195.0)</f>
        <v>195</v>
      </c>
      <c r="E24" s="149">
        <f>IFERROR(__xludf.DUMMYFUNCTION("""COMPUTED_VALUE"""),184.0)</f>
        <v>184</v>
      </c>
      <c r="F24" s="149">
        <f>IFERROR(__xludf.DUMMYFUNCTION("""COMPUTED_VALUE"""),2230.0)</f>
        <v>2230</v>
      </c>
      <c r="G24" s="149">
        <f>IFERROR(__xludf.DUMMYFUNCTION("""COMPUTED_VALUE"""),210.0)</f>
        <v>210</v>
      </c>
      <c r="H24" s="149">
        <f>IFERROR(__xludf.DUMMYFUNCTION("""COMPUTED_VALUE"""),2425.0)</f>
        <v>2425</v>
      </c>
      <c r="I24" s="149">
        <f>IFERROR(__xludf.DUMMYFUNCTION("""COMPUTED_VALUE"""),28.0)</f>
        <v>28</v>
      </c>
      <c r="J24" s="149">
        <f>IFERROR(__xludf.DUMMYFUNCTION("""COMPUTED_VALUE"""),21.0)</f>
        <v>21</v>
      </c>
      <c r="K24" s="149">
        <f>IFERROR(__xludf.DUMMYFUNCTION("""COMPUTED_VALUE"""),176.0)</f>
        <v>176</v>
      </c>
      <c r="L24" s="149">
        <f>IFERROR(__xludf.DUMMYFUNCTION("""COMPUTED_VALUE"""),172.0)</f>
        <v>172</v>
      </c>
      <c r="M24" s="149">
        <f>IFERROR(__xludf.DUMMYFUNCTION("""COMPUTED_VALUE"""),2120.0)</f>
        <v>2120</v>
      </c>
      <c r="N24" s="149">
        <f>IFERROR(__xludf.DUMMYFUNCTION("""COMPUTED_VALUE"""),2296.0)</f>
        <v>2296</v>
      </c>
      <c r="O24" s="149">
        <f>IFERROR(__xludf.DUMMYFUNCTION("""COMPUTED_VALUE"""),5.0)</f>
        <v>5</v>
      </c>
      <c r="P24" s="149">
        <f>IFERROR(__xludf.DUMMYFUNCTION("""COMPUTED_VALUE"""),60.0)</f>
        <v>60</v>
      </c>
      <c r="Q24" s="149">
        <f>IFERROR(__xludf.DUMMYFUNCTION("""COMPUTED_VALUE"""),1.0)</f>
        <v>1</v>
      </c>
      <c r="R24" s="149">
        <f>IFERROR(__xludf.DUMMYFUNCTION("""COMPUTED_VALUE"""),6.0)</f>
        <v>6</v>
      </c>
      <c r="S24" s="149">
        <f>IFERROR(__xludf.DUMMYFUNCTION("""COMPUTED_VALUE"""),0.0)</f>
        <v>0</v>
      </c>
      <c r="T24" s="149">
        <f>IFERROR(__xludf.DUMMYFUNCTION("""COMPUTED_VALUE"""),0.0)</f>
        <v>0</v>
      </c>
      <c r="U24" s="149">
        <f>IFERROR(__xludf.DUMMYFUNCTION("""COMPUTED_VALUE"""),54.0)</f>
        <v>54</v>
      </c>
      <c r="V24" s="149">
        <f>IFERROR(__xludf.DUMMYFUNCTION("""COMPUTED_VALUE"""),49.0)</f>
        <v>49</v>
      </c>
      <c r="W24" s="149">
        <f>IFERROR(__xludf.DUMMYFUNCTION("""COMPUTED_VALUE"""),11.0)</f>
        <v>11</v>
      </c>
      <c r="X24" s="149">
        <f>IFERROR(__xludf.DUMMYFUNCTION("""COMPUTED_VALUE"""),3.0)</f>
        <v>3</v>
      </c>
      <c r="Y24" s="149">
        <f>IFERROR(__xludf.DUMMYFUNCTION("""COMPUTED_VALUE"""),0.0)</f>
        <v>0</v>
      </c>
      <c r="Z24" s="149">
        <f>IFERROR(__xludf.DUMMYFUNCTION("""COMPUTED_VALUE"""),1.0)</f>
        <v>1</v>
      </c>
    </row>
    <row r="25">
      <c r="A25" s="187">
        <f>IFERROR(__xludf.DUMMYFUNCTION("""COMPUTED_VALUE"""),43916.0)</f>
        <v>43916</v>
      </c>
      <c r="B25" s="149">
        <f>IFERROR(__xludf.DUMMYFUNCTION("""COMPUTED_VALUE"""),35.0)</f>
        <v>35</v>
      </c>
      <c r="C25" s="149">
        <f>IFERROR(__xludf.DUMMYFUNCTION("""COMPUTED_VALUE"""),27.0)</f>
        <v>27</v>
      </c>
      <c r="D25" s="149">
        <f>IFERROR(__xludf.DUMMYFUNCTION("""COMPUTED_VALUE"""),230.0)</f>
        <v>230</v>
      </c>
      <c r="E25" s="149">
        <f>IFERROR(__xludf.DUMMYFUNCTION("""COMPUTED_VALUE"""),181.0)</f>
        <v>181</v>
      </c>
      <c r="F25" s="149">
        <f>IFERROR(__xludf.DUMMYFUNCTION("""COMPUTED_VALUE"""),2411.0)</f>
        <v>2411</v>
      </c>
      <c r="G25" s="149">
        <f>IFERROR(__xludf.DUMMYFUNCTION("""COMPUTED_VALUE"""),216.0)</f>
        <v>216</v>
      </c>
      <c r="H25" s="149">
        <f>IFERROR(__xludf.DUMMYFUNCTION("""COMPUTED_VALUE"""),2641.0)</f>
        <v>2641</v>
      </c>
      <c r="I25" s="149">
        <f>IFERROR(__xludf.DUMMYFUNCTION("""COMPUTED_VALUE"""),41.0)</f>
        <v>41</v>
      </c>
      <c r="J25" s="149">
        <f>IFERROR(__xludf.DUMMYFUNCTION("""COMPUTED_VALUE"""),29.0)</f>
        <v>29</v>
      </c>
      <c r="K25" s="149">
        <f>IFERROR(__xludf.DUMMYFUNCTION("""COMPUTED_VALUE"""),217.0)</f>
        <v>217</v>
      </c>
      <c r="L25" s="149">
        <f>IFERROR(__xludf.DUMMYFUNCTION("""COMPUTED_VALUE"""),176.0)</f>
        <v>176</v>
      </c>
      <c r="M25" s="149">
        <f>IFERROR(__xludf.DUMMYFUNCTION("""COMPUTED_VALUE"""),2296.0)</f>
        <v>2296</v>
      </c>
      <c r="N25" s="149">
        <f>IFERROR(__xludf.DUMMYFUNCTION("""COMPUTED_VALUE"""),2513.0)</f>
        <v>2513</v>
      </c>
      <c r="O25" s="149">
        <f>IFERROR(__xludf.DUMMYFUNCTION("""COMPUTED_VALUE"""),10.0)</f>
        <v>10</v>
      </c>
      <c r="P25" s="149">
        <f>IFERROR(__xludf.DUMMYFUNCTION("""COMPUTED_VALUE"""),70.0)</f>
        <v>70</v>
      </c>
      <c r="Q25" s="149">
        <f>IFERROR(__xludf.DUMMYFUNCTION("""COMPUTED_VALUE"""),5.0)</f>
        <v>5</v>
      </c>
      <c r="R25" s="149">
        <f>IFERROR(__xludf.DUMMYFUNCTION("""COMPUTED_VALUE"""),11.0)</f>
        <v>11</v>
      </c>
      <c r="S25" s="149">
        <f>IFERROR(__xludf.DUMMYFUNCTION("""COMPUTED_VALUE"""),0.0)</f>
        <v>0</v>
      </c>
      <c r="T25" s="149">
        <f>IFERROR(__xludf.DUMMYFUNCTION("""COMPUTED_VALUE"""),0.0)</f>
        <v>0</v>
      </c>
      <c r="U25" s="149">
        <f>IFERROR(__xludf.DUMMYFUNCTION("""COMPUTED_VALUE"""),59.0)</f>
        <v>59</v>
      </c>
      <c r="V25" s="149">
        <f>IFERROR(__xludf.DUMMYFUNCTION("""COMPUTED_VALUE"""),54.0)</f>
        <v>54</v>
      </c>
      <c r="W25" s="149">
        <f>IFERROR(__xludf.DUMMYFUNCTION("""COMPUTED_VALUE"""),14.0)</f>
        <v>14</v>
      </c>
      <c r="X25" s="149">
        <f>IFERROR(__xludf.DUMMYFUNCTION("""COMPUTED_VALUE"""),5.0)</f>
        <v>5</v>
      </c>
      <c r="Y25" s="149">
        <f>IFERROR(__xludf.DUMMYFUNCTION("""COMPUTED_VALUE"""),0.0)</f>
        <v>0</v>
      </c>
      <c r="Z25" s="149">
        <f>IFERROR(__xludf.DUMMYFUNCTION("""COMPUTED_VALUE"""),1.0)</f>
        <v>1</v>
      </c>
    </row>
    <row r="26">
      <c r="A26" s="187">
        <f>IFERROR(__xludf.DUMMYFUNCTION("""COMPUTED_VALUE"""),43917.0)</f>
        <v>43917</v>
      </c>
      <c r="B26" s="149">
        <f>IFERROR(__xludf.DUMMYFUNCTION("""COMPUTED_VALUE"""),27.0)</f>
        <v>27</v>
      </c>
      <c r="C26" s="149">
        <f>IFERROR(__xludf.DUMMYFUNCTION("""COMPUTED_VALUE"""),29.0)</f>
        <v>29</v>
      </c>
      <c r="D26" s="149">
        <f>IFERROR(__xludf.DUMMYFUNCTION("""COMPUTED_VALUE"""),257.0)</f>
        <v>257</v>
      </c>
      <c r="E26" s="149">
        <f>IFERROR(__xludf.DUMMYFUNCTION("""COMPUTED_VALUE"""),215.0)</f>
        <v>215</v>
      </c>
      <c r="F26" s="149">
        <f>IFERROR(__xludf.DUMMYFUNCTION("""COMPUTED_VALUE"""),2626.0)</f>
        <v>2626</v>
      </c>
      <c r="G26" s="149">
        <f>IFERROR(__xludf.DUMMYFUNCTION("""COMPUTED_VALUE"""),242.0)</f>
        <v>242</v>
      </c>
      <c r="H26" s="149">
        <f>IFERROR(__xludf.DUMMYFUNCTION("""COMPUTED_VALUE"""),2883.0)</f>
        <v>2883</v>
      </c>
      <c r="I26" s="149">
        <f>IFERROR(__xludf.DUMMYFUNCTION("""COMPUTED_VALUE"""),31.0)</f>
        <v>31</v>
      </c>
      <c r="J26" s="149">
        <f>IFERROR(__xludf.DUMMYFUNCTION("""COMPUTED_VALUE"""),33.0)</f>
        <v>33</v>
      </c>
      <c r="K26" s="149">
        <f>IFERROR(__xludf.DUMMYFUNCTION("""COMPUTED_VALUE"""),248.0)</f>
        <v>248</v>
      </c>
      <c r="L26" s="149">
        <f>IFERROR(__xludf.DUMMYFUNCTION("""COMPUTED_VALUE"""),202.0)</f>
        <v>202</v>
      </c>
      <c r="M26" s="149">
        <f>IFERROR(__xludf.DUMMYFUNCTION("""COMPUTED_VALUE"""),2498.0)</f>
        <v>2498</v>
      </c>
      <c r="N26" s="149">
        <f>IFERROR(__xludf.DUMMYFUNCTION("""COMPUTED_VALUE"""),2746.0)</f>
        <v>2746</v>
      </c>
      <c r="O26" s="149">
        <f>IFERROR(__xludf.DUMMYFUNCTION("""COMPUTED_VALUE"""),9.0)</f>
        <v>9</v>
      </c>
      <c r="P26" s="149">
        <f>IFERROR(__xludf.DUMMYFUNCTION("""COMPUTED_VALUE"""),79.0)</f>
        <v>79</v>
      </c>
      <c r="Q26" s="149">
        <f>IFERROR(__xludf.DUMMYFUNCTION("""COMPUTED_VALUE"""),1.0)</f>
        <v>1</v>
      </c>
      <c r="R26" s="149">
        <f>IFERROR(__xludf.DUMMYFUNCTION("""COMPUTED_VALUE"""),12.0)</f>
        <v>12</v>
      </c>
      <c r="S26" s="149">
        <f>IFERROR(__xludf.DUMMYFUNCTION("""COMPUTED_VALUE"""),1.0)</f>
        <v>1</v>
      </c>
      <c r="T26" s="149">
        <f>IFERROR(__xludf.DUMMYFUNCTION("""COMPUTED_VALUE"""),1.0)</f>
        <v>1</v>
      </c>
      <c r="U26" s="149">
        <f>IFERROR(__xludf.DUMMYFUNCTION("""COMPUTED_VALUE"""),66.0)</f>
        <v>66</v>
      </c>
      <c r="V26" s="149">
        <f>IFERROR(__xludf.DUMMYFUNCTION("""COMPUTED_VALUE"""),60.0)</f>
        <v>60</v>
      </c>
      <c r="W26" s="149">
        <f>IFERROR(__xludf.DUMMYFUNCTION("""COMPUTED_VALUE"""),17.0)</f>
        <v>17</v>
      </c>
      <c r="X26" s="149">
        <f>IFERROR(__xludf.DUMMYFUNCTION("""COMPUTED_VALUE"""),6.0)</f>
        <v>6</v>
      </c>
      <c r="Y26" s="149">
        <f>IFERROR(__xludf.DUMMYFUNCTION("""COMPUTED_VALUE"""),2.0)</f>
        <v>2</v>
      </c>
      <c r="Z26" s="149">
        <f>IFERROR(__xludf.DUMMYFUNCTION("""COMPUTED_VALUE"""),3.0)</f>
        <v>3</v>
      </c>
    </row>
    <row r="27">
      <c r="A27" s="187">
        <f>IFERROR(__xludf.DUMMYFUNCTION("""COMPUTED_VALUE"""),43918.0)</f>
        <v>43918</v>
      </c>
      <c r="B27" s="149">
        <f>IFERROR(__xludf.DUMMYFUNCTION("""COMPUTED_VALUE"""),59.0)</f>
        <v>59</v>
      </c>
      <c r="C27" s="149">
        <f>IFERROR(__xludf.DUMMYFUNCTION("""COMPUTED_VALUE"""),40.0)</f>
        <v>40</v>
      </c>
      <c r="D27" s="149">
        <f>IFERROR(__xludf.DUMMYFUNCTION("""COMPUTED_VALUE"""),316.0)</f>
        <v>316</v>
      </c>
      <c r="E27" s="149">
        <f>IFERROR(__xludf.DUMMYFUNCTION("""COMPUTED_VALUE"""),260.0)</f>
        <v>260</v>
      </c>
      <c r="F27" s="149">
        <f>IFERROR(__xludf.DUMMYFUNCTION("""COMPUTED_VALUE"""),2886.0)</f>
        <v>2886</v>
      </c>
      <c r="G27" s="149">
        <f>IFERROR(__xludf.DUMMYFUNCTION("""COMPUTED_VALUE"""),319.0)</f>
        <v>319</v>
      </c>
      <c r="H27" s="149">
        <f>IFERROR(__xludf.DUMMYFUNCTION("""COMPUTED_VALUE"""),3202.0)</f>
        <v>3202</v>
      </c>
      <c r="I27" s="149">
        <f>IFERROR(__xludf.DUMMYFUNCTION("""COMPUTED_VALUE"""),63.0)</f>
        <v>63</v>
      </c>
      <c r="J27" s="149">
        <f>IFERROR(__xludf.DUMMYFUNCTION("""COMPUTED_VALUE"""),45.0)</f>
        <v>45</v>
      </c>
      <c r="K27" s="149">
        <f>IFERROR(__xludf.DUMMYFUNCTION("""COMPUTED_VALUE"""),311.0)</f>
        <v>311</v>
      </c>
      <c r="L27" s="149">
        <f>IFERROR(__xludf.DUMMYFUNCTION("""COMPUTED_VALUE"""),241.0)</f>
        <v>241</v>
      </c>
      <c r="M27" s="149">
        <f>IFERROR(__xludf.DUMMYFUNCTION("""COMPUTED_VALUE"""),2739.0)</f>
        <v>2739</v>
      </c>
      <c r="N27" s="149">
        <f>IFERROR(__xludf.DUMMYFUNCTION("""COMPUTED_VALUE"""),3050.0)</f>
        <v>3050</v>
      </c>
      <c r="O27" s="149">
        <f>IFERROR(__xludf.DUMMYFUNCTION("""COMPUTED_VALUE"""),13.0)</f>
        <v>13</v>
      </c>
      <c r="P27" s="149">
        <f>IFERROR(__xludf.DUMMYFUNCTION("""COMPUTED_VALUE"""),92.0)</f>
        <v>92</v>
      </c>
      <c r="Q27" s="149">
        <f>IFERROR(__xludf.DUMMYFUNCTION("""COMPUTED_VALUE"""),3.0)</f>
        <v>3</v>
      </c>
      <c r="R27" s="149">
        <f>IFERROR(__xludf.DUMMYFUNCTION("""COMPUTED_VALUE"""),15.0)</f>
        <v>15</v>
      </c>
      <c r="S27" s="149">
        <f>IFERROR(__xludf.DUMMYFUNCTION("""COMPUTED_VALUE"""),2.0)</f>
        <v>2</v>
      </c>
      <c r="T27" s="149">
        <f>IFERROR(__xludf.DUMMYFUNCTION("""COMPUTED_VALUE"""),3.0)</f>
        <v>3</v>
      </c>
      <c r="U27" s="149">
        <f>IFERROR(__xludf.DUMMYFUNCTION("""COMPUTED_VALUE"""),74.0)</f>
        <v>74</v>
      </c>
      <c r="V27" s="149">
        <f>IFERROR(__xludf.DUMMYFUNCTION("""COMPUTED_VALUE"""),66.0)</f>
        <v>66</v>
      </c>
      <c r="W27" s="149">
        <f>IFERROR(__xludf.DUMMYFUNCTION("""COMPUTED_VALUE"""),15.0)</f>
        <v>15</v>
      </c>
      <c r="X27" s="149">
        <f>IFERROR(__xludf.DUMMYFUNCTION("""COMPUTED_VALUE"""),6.0)</f>
        <v>6</v>
      </c>
      <c r="Y27" s="149">
        <f>IFERROR(__xludf.DUMMYFUNCTION("""COMPUTED_VALUE"""),1.0)</f>
        <v>1</v>
      </c>
      <c r="Z27" s="149">
        <f>IFERROR(__xludf.DUMMYFUNCTION("""COMPUTED_VALUE"""),4.0)</f>
        <v>4</v>
      </c>
    </row>
    <row r="28">
      <c r="A28" s="187">
        <f>IFERROR(__xludf.DUMMYFUNCTION("""COMPUTED_VALUE"""),43919.0)</f>
        <v>43919</v>
      </c>
      <c r="B28" s="149">
        <f>IFERROR(__xludf.DUMMYFUNCTION("""COMPUTED_VALUE"""),106.0)</f>
        <v>106</v>
      </c>
      <c r="C28" s="149">
        <f>IFERROR(__xludf.DUMMYFUNCTION("""COMPUTED_VALUE"""),64.0)</f>
        <v>64</v>
      </c>
      <c r="D28" s="149">
        <f>IFERROR(__xludf.DUMMYFUNCTION("""COMPUTED_VALUE"""),422.0)</f>
        <v>422</v>
      </c>
      <c r="E28" s="149">
        <f>IFERROR(__xludf.DUMMYFUNCTION("""COMPUTED_VALUE"""),356.0)</f>
        <v>356</v>
      </c>
      <c r="F28" s="149">
        <f>IFERROR(__xludf.DUMMYFUNCTION("""COMPUTED_VALUE"""),3242.0)</f>
        <v>3242</v>
      </c>
      <c r="G28" s="149">
        <f>IFERROR(__xludf.DUMMYFUNCTION("""COMPUTED_VALUE"""),462.0)</f>
        <v>462</v>
      </c>
      <c r="H28" s="149">
        <f>IFERROR(__xludf.DUMMYFUNCTION("""COMPUTED_VALUE"""),3664.0)</f>
        <v>3664</v>
      </c>
      <c r="I28" s="149">
        <f>IFERROR(__xludf.DUMMYFUNCTION("""COMPUTED_VALUE"""),105.0)</f>
        <v>105</v>
      </c>
      <c r="J28" s="149">
        <f>IFERROR(__xludf.DUMMYFUNCTION("""COMPUTED_VALUE"""),66.0)</f>
        <v>66</v>
      </c>
      <c r="K28" s="149">
        <f>IFERROR(__xludf.DUMMYFUNCTION("""COMPUTED_VALUE"""),416.0)</f>
        <v>416</v>
      </c>
      <c r="L28" s="149">
        <f>IFERROR(__xludf.DUMMYFUNCTION("""COMPUTED_VALUE"""),314.0)</f>
        <v>314</v>
      </c>
      <c r="M28" s="149">
        <f>IFERROR(__xludf.DUMMYFUNCTION("""COMPUTED_VALUE"""),3053.0)</f>
        <v>3053</v>
      </c>
      <c r="N28" s="149">
        <f>IFERROR(__xludf.DUMMYFUNCTION("""COMPUTED_VALUE"""),3469.0)</f>
        <v>3469</v>
      </c>
      <c r="O28" s="149">
        <f>IFERROR(__xludf.DUMMYFUNCTION("""COMPUTED_VALUE"""),8.0)</f>
        <v>8</v>
      </c>
      <c r="P28" s="149">
        <f>IFERROR(__xludf.DUMMYFUNCTION("""COMPUTED_VALUE"""),100.0)</f>
        <v>100</v>
      </c>
      <c r="Q28" s="149">
        <f>IFERROR(__xludf.DUMMYFUNCTION("""COMPUTED_VALUE"""),4.0)</f>
        <v>4</v>
      </c>
      <c r="R28" s="149">
        <f>IFERROR(__xludf.DUMMYFUNCTION("""COMPUTED_VALUE"""),19.0)</f>
        <v>19</v>
      </c>
      <c r="S28" s="149">
        <f>IFERROR(__xludf.DUMMYFUNCTION("""COMPUTED_VALUE"""),1.0)</f>
        <v>1</v>
      </c>
      <c r="T28" s="149">
        <f>IFERROR(__xludf.DUMMYFUNCTION("""COMPUTED_VALUE"""),4.0)</f>
        <v>4</v>
      </c>
      <c r="U28" s="149">
        <f>IFERROR(__xludf.DUMMYFUNCTION("""COMPUTED_VALUE"""),77.0)</f>
        <v>77</v>
      </c>
      <c r="V28" s="149">
        <f>IFERROR(__xludf.DUMMYFUNCTION("""COMPUTED_VALUE"""),72.0)</f>
        <v>72</v>
      </c>
      <c r="W28" s="149">
        <f>IFERROR(__xludf.DUMMYFUNCTION("""COMPUTED_VALUE"""),18.0)</f>
        <v>18</v>
      </c>
      <c r="X28" s="149">
        <f>IFERROR(__xludf.DUMMYFUNCTION("""COMPUTED_VALUE"""),8.0)</f>
        <v>8</v>
      </c>
      <c r="Y28" s="149">
        <f>IFERROR(__xludf.DUMMYFUNCTION("""COMPUTED_VALUE"""),2.0)</f>
        <v>2</v>
      </c>
      <c r="Z28" s="149">
        <f>IFERROR(__xludf.DUMMYFUNCTION("""COMPUTED_VALUE"""),6.0)</f>
        <v>6</v>
      </c>
    </row>
    <row r="29">
      <c r="A29" s="187">
        <f>IFERROR(__xludf.DUMMYFUNCTION("""COMPUTED_VALUE"""),43920.0)</f>
        <v>43920</v>
      </c>
      <c r="B29" s="149">
        <f>IFERROR(__xludf.DUMMYFUNCTION("""COMPUTED_VALUE"""),62.0)</f>
        <v>62</v>
      </c>
      <c r="C29" s="149">
        <f>IFERROR(__xludf.DUMMYFUNCTION("""COMPUTED_VALUE"""),76.0)</f>
        <v>76</v>
      </c>
      <c r="D29" s="149">
        <f>IFERROR(__xludf.DUMMYFUNCTION("""COMPUTED_VALUE"""),484.0)</f>
        <v>484</v>
      </c>
      <c r="E29" s="149">
        <f>IFERROR(__xludf.DUMMYFUNCTION("""COMPUTED_VALUE"""),222.0)</f>
        <v>222</v>
      </c>
      <c r="F29" s="149">
        <f>IFERROR(__xludf.DUMMYFUNCTION("""COMPUTED_VALUE"""),3464.0)</f>
        <v>3464</v>
      </c>
      <c r="G29" s="149">
        <f>IFERROR(__xludf.DUMMYFUNCTION("""COMPUTED_VALUE"""),284.0)</f>
        <v>284</v>
      </c>
      <c r="H29" s="149">
        <f>IFERROR(__xludf.DUMMYFUNCTION("""COMPUTED_VALUE"""),3948.0)</f>
        <v>3948</v>
      </c>
      <c r="I29" s="149">
        <f>IFERROR(__xludf.DUMMYFUNCTION("""COMPUTED_VALUE"""),78.0)</f>
        <v>78</v>
      </c>
      <c r="J29" s="149">
        <f>IFERROR(__xludf.DUMMYFUNCTION("""COMPUTED_VALUE"""),82.0)</f>
        <v>82</v>
      </c>
      <c r="K29" s="149">
        <f>IFERROR(__xludf.DUMMYFUNCTION("""COMPUTED_VALUE"""),494.0)</f>
        <v>494</v>
      </c>
      <c r="L29" s="149">
        <f>IFERROR(__xludf.DUMMYFUNCTION("""COMPUTED_VALUE"""),184.0)</f>
        <v>184</v>
      </c>
      <c r="M29" s="149">
        <f>IFERROR(__xludf.DUMMYFUNCTION("""COMPUTED_VALUE"""),3237.0)</f>
        <v>3237</v>
      </c>
      <c r="N29" s="149">
        <f>IFERROR(__xludf.DUMMYFUNCTION("""COMPUTED_VALUE"""),3731.0)</f>
        <v>3731</v>
      </c>
      <c r="O29" s="149">
        <f>IFERROR(__xludf.DUMMYFUNCTION("""COMPUTED_VALUE"""),20.0)</f>
        <v>20</v>
      </c>
      <c r="P29" s="149">
        <f>IFERROR(__xludf.DUMMYFUNCTION("""COMPUTED_VALUE"""),120.0)</f>
        <v>120</v>
      </c>
      <c r="Q29" s="149">
        <f>IFERROR(__xludf.DUMMYFUNCTION("""COMPUTED_VALUE"""),5.0)</f>
        <v>5</v>
      </c>
      <c r="R29" s="149">
        <f>IFERROR(__xludf.DUMMYFUNCTION("""COMPUTED_VALUE"""),24.0)</f>
        <v>24</v>
      </c>
      <c r="S29" s="149">
        <f>IFERROR(__xludf.DUMMYFUNCTION("""COMPUTED_VALUE"""),0.0)</f>
        <v>0</v>
      </c>
      <c r="T29" s="149">
        <f>IFERROR(__xludf.DUMMYFUNCTION("""COMPUTED_VALUE"""),4.0)</f>
        <v>4</v>
      </c>
      <c r="U29" s="149">
        <f>IFERROR(__xludf.DUMMYFUNCTION("""COMPUTED_VALUE"""),92.0)</f>
        <v>92</v>
      </c>
      <c r="V29" s="149">
        <f>IFERROR(__xludf.DUMMYFUNCTION("""COMPUTED_VALUE"""),81.0)</f>
        <v>81</v>
      </c>
      <c r="W29" s="149">
        <f>IFERROR(__xludf.DUMMYFUNCTION("""COMPUTED_VALUE"""),20.0)</f>
        <v>20</v>
      </c>
      <c r="X29" s="149">
        <f>IFERROR(__xludf.DUMMYFUNCTION("""COMPUTED_VALUE"""),11.0)</f>
        <v>11</v>
      </c>
      <c r="Y29" s="149">
        <f>IFERROR(__xludf.DUMMYFUNCTION("""COMPUTED_VALUE"""),3.0)</f>
        <v>3</v>
      </c>
      <c r="Z29" s="149">
        <f>IFERROR(__xludf.DUMMYFUNCTION("""COMPUTED_VALUE"""),9.0)</f>
        <v>9</v>
      </c>
    </row>
    <row r="30">
      <c r="A30" s="187">
        <f>IFERROR(__xludf.DUMMYFUNCTION("""COMPUTED_VALUE"""),43921.0)</f>
        <v>43921</v>
      </c>
      <c r="B30" s="149">
        <f>IFERROR(__xludf.DUMMYFUNCTION("""COMPUTED_VALUE"""),71.0)</f>
        <v>71</v>
      </c>
      <c r="C30" s="149">
        <f>IFERROR(__xludf.DUMMYFUNCTION("""COMPUTED_VALUE"""),80.0)</f>
        <v>80</v>
      </c>
      <c r="D30" s="149">
        <f>IFERROR(__xludf.DUMMYFUNCTION("""COMPUTED_VALUE"""),555.0)</f>
        <v>555</v>
      </c>
      <c r="E30" s="149">
        <f>IFERROR(__xludf.DUMMYFUNCTION("""COMPUTED_VALUE"""),369.0)</f>
        <v>369</v>
      </c>
      <c r="F30" s="149">
        <f>IFERROR(__xludf.DUMMYFUNCTION("""COMPUTED_VALUE"""),3833.0)</f>
        <v>3833</v>
      </c>
      <c r="G30" s="149">
        <f>IFERROR(__xludf.DUMMYFUNCTION("""COMPUTED_VALUE"""),440.0)</f>
        <v>440</v>
      </c>
      <c r="H30" s="149">
        <f>IFERROR(__xludf.DUMMYFUNCTION("""COMPUTED_VALUE"""),4388.0)</f>
        <v>4388</v>
      </c>
      <c r="I30" s="149">
        <f>IFERROR(__xludf.DUMMYFUNCTION("""COMPUTED_VALUE"""),73.0)</f>
        <v>73</v>
      </c>
      <c r="J30" s="149">
        <f>IFERROR(__xludf.DUMMYFUNCTION("""COMPUTED_VALUE"""),85.0)</f>
        <v>85</v>
      </c>
      <c r="K30" s="149">
        <f>IFERROR(__xludf.DUMMYFUNCTION("""COMPUTED_VALUE"""),567.0)</f>
        <v>567</v>
      </c>
      <c r="L30" s="149">
        <f>IFERROR(__xludf.DUMMYFUNCTION("""COMPUTED_VALUE"""),297.0)</f>
        <v>297</v>
      </c>
      <c r="M30" s="149">
        <f>IFERROR(__xludf.DUMMYFUNCTION("""COMPUTED_VALUE"""),3534.0)</f>
        <v>3534</v>
      </c>
      <c r="N30" s="149">
        <f>IFERROR(__xludf.DUMMYFUNCTION("""COMPUTED_VALUE"""),4101.0)</f>
        <v>4101</v>
      </c>
      <c r="O30" s="149">
        <f>IFERROR(__xludf.DUMMYFUNCTION("""COMPUTED_VALUE"""),11.0)</f>
        <v>11</v>
      </c>
      <c r="P30" s="149">
        <f>IFERROR(__xludf.DUMMYFUNCTION("""COMPUTED_VALUE"""),131.0)</f>
        <v>131</v>
      </c>
      <c r="Q30" s="149">
        <f>IFERROR(__xludf.DUMMYFUNCTION("""COMPUTED_VALUE"""),7.0)</f>
        <v>7</v>
      </c>
      <c r="R30" s="149">
        <f>IFERROR(__xludf.DUMMYFUNCTION("""COMPUTED_VALUE"""),31.0)</f>
        <v>31</v>
      </c>
      <c r="S30" s="149">
        <f>IFERROR(__xludf.DUMMYFUNCTION("""COMPUTED_VALUE"""),1.0)</f>
        <v>1</v>
      </c>
      <c r="T30" s="149">
        <f>IFERROR(__xludf.DUMMYFUNCTION("""COMPUTED_VALUE"""),5.0)</f>
        <v>5</v>
      </c>
      <c r="U30" s="149">
        <f>IFERROR(__xludf.DUMMYFUNCTION("""COMPUTED_VALUE"""),95.0)</f>
        <v>95</v>
      </c>
      <c r="V30" s="149">
        <f>IFERROR(__xludf.DUMMYFUNCTION("""COMPUTED_VALUE"""),88.0)</f>
        <v>88</v>
      </c>
      <c r="W30" s="149">
        <f>IFERROR(__xludf.DUMMYFUNCTION("""COMPUTED_VALUE"""),22.0)</f>
        <v>22</v>
      </c>
      <c r="X30" s="149">
        <f>IFERROR(__xludf.DUMMYFUNCTION("""COMPUTED_VALUE"""),13.0)</f>
        <v>13</v>
      </c>
      <c r="Y30" s="149">
        <f>IFERROR(__xludf.DUMMYFUNCTION("""COMPUTED_VALUE"""),2.0)</f>
        <v>2</v>
      </c>
      <c r="Z30" s="149">
        <f>IFERROR(__xludf.DUMMYFUNCTION("""COMPUTED_VALUE"""),11.0)</f>
        <v>11</v>
      </c>
    </row>
    <row r="31">
      <c r="A31" s="187">
        <f>IFERROR(__xludf.DUMMYFUNCTION("""COMPUTED_VALUE"""),43922.0)</f>
        <v>43922</v>
      </c>
      <c r="B31" s="149">
        <f>IFERROR(__xludf.DUMMYFUNCTION("""COMPUTED_VALUE"""),99.0)</f>
        <v>99</v>
      </c>
      <c r="C31" s="149">
        <f>IFERROR(__xludf.DUMMYFUNCTION("""COMPUTED_VALUE"""),77.0)</f>
        <v>77</v>
      </c>
      <c r="D31" s="149">
        <f>IFERROR(__xludf.DUMMYFUNCTION("""COMPUTED_VALUE"""),654.0)</f>
        <v>654</v>
      </c>
      <c r="E31" s="149">
        <f>IFERROR(__xludf.DUMMYFUNCTION("""COMPUTED_VALUE"""),699.0)</f>
        <v>699</v>
      </c>
      <c r="F31" s="149">
        <f>IFERROR(__xludf.DUMMYFUNCTION("""COMPUTED_VALUE"""),4532.0)</f>
        <v>4532</v>
      </c>
      <c r="G31" s="149">
        <f>IFERROR(__xludf.DUMMYFUNCTION("""COMPUTED_VALUE"""),798.0)</f>
        <v>798</v>
      </c>
      <c r="H31" s="149">
        <f>IFERROR(__xludf.DUMMYFUNCTION("""COMPUTED_VALUE"""),5186.0)</f>
        <v>5186</v>
      </c>
      <c r="I31" s="149">
        <f>IFERROR(__xludf.DUMMYFUNCTION("""COMPUTED_VALUE"""),102.0)</f>
        <v>102</v>
      </c>
      <c r="J31" s="149">
        <f>IFERROR(__xludf.DUMMYFUNCTION("""COMPUTED_VALUE"""),84.0)</f>
        <v>84</v>
      </c>
      <c r="K31" s="149">
        <f>IFERROR(__xludf.DUMMYFUNCTION("""COMPUTED_VALUE"""),669.0)</f>
        <v>669</v>
      </c>
      <c r="L31" s="149">
        <f>IFERROR(__xludf.DUMMYFUNCTION("""COMPUTED_VALUE"""),642.0)</f>
        <v>642</v>
      </c>
      <c r="M31" s="149">
        <f>IFERROR(__xludf.DUMMYFUNCTION("""COMPUTED_VALUE"""),4176.0)</f>
        <v>4176</v>
      </c>
      <c r="N31" s="149">
        <f>IFERROR(__xludf.DUMMYFUNCTION("""COMPUTED_VALUE"""),4845.0)</f>
        <v>4845</v>
      </c>
      <c r="O31" s="149">
        <f>IFERROR(__xludf.DUMMYFUNCTION("""COMPUTED_VALUE"""),18.0)</f>
        <v>18</v>
      </c>
      <c r="P31" s="149">
        <f>IFERROR(__xludf.DUMMYFUNCTION("""COMPUTED_VALUE"""),149.0)</f>
        <v>149</v>
      </c>
      <c r="Q31" s="149">
        <f>IFERROR(__xludf.DUMMYFUNCTION("""COMPUTED_VALUE"""),7.0)</f>
        <v>7</v>
      </c>
      <c r="R31" s="149">
        <f>IFERROR(__xludf.DUMMYFUNCTION("""COMPUTED_VALUE"""),38.0)</f>
        <v>38</v>
      </c>
      <c r="S31" s="149">
        <f>IFERROR(__xludf.DUMMYFUNCTION("""COMPUTED_VALUE"""),0.0)</f>
        <v>0</v>
      </c>
      <c r="T31" s="149">
        <f>IFERROR(__xludf.DUMMYFUNCTION("""COMPUTED_VALUE"""),5.0)</f>
        <v>5</v>
      </c>
      <c r="U31" s="149">
        <f>IFERROR(__xludf.DUMMYFUNCTION("""COMPUTED_VALUE"""),106.0)</f>
        <v>106</v>
      </c>
      <c r="V31" s="149">
        <f>IFERROR(__xludf.DUMMYFUNCTION("""COMPUTED_VALUE"""),98.0)</f>
        <v>98</v>
      </c>
      <c r="W31" s="149">
        <f>IFERROR(__xludf.DUMMYFUNCTION("""COMPUTED_VALUE"""),30.0)</f>
        <v>30</v>
      </c>
      <c r="X31" s="149">
        <f>IFERROR(__xludf.DUMMYFUNCTION("""COMPUTED_VALUE"""),15.0)</f>
        <v>15</v>
      </c>
      <c r="Y31" s="149">
        <f>IFERROR(__xludf.DUMMYFUNCTION("""COMPUTED_VALUE"""),1.0)</f>
        <v>1</v>
      </c>
      <c r="Z31" s="149">
        <f>IFERROR(__xludf.DUMMYFUNCTION("""COMPUTED_VALUE"""),12.0)</f>
        <v>12</v>
      </c>
    </row>
    <row r="32">
      <c r="A32" s="187">
        <f>IFERROR(__xludf.DUMMYFUNCTION("""COMPUTED_VALUE"""),43923.0)</f>
        <v>43923</v>
      </c>
      <c r="B32" s="149">
        <f>IFERROR(__xludf.DUMMYFUNCTION("""COMPUTED_VALUE"""),52.0)</f>
        <v>52</v>
      </c>
      <c r="C32" s="149">
        <f>IFERROR(__xludf.DUMMYFUNCTION("""COMPUTED_VALUE"""),74.0)</f>
        <v>74</v>
      </c>
      <c r="D32" s="149">
        <f>IFERROR(__xludf.DUMMYFUNCTION("""COMPUTED_VALUE"""),706.0)</f>
        <v>706</v>
      </c>
      <c r="E32" s="149">
        <f>IFERROR(__xludf.DUMMYFUNCTION("""COMPUTED_VALUE"""),478.0)</f>
        <v>478</v>
      </c>
      <c r="F32" s="149">
        <f>IFERROR(__xludf.DUMMYFUNCTION("""COMPUTED_VALUE"""),5010.0)</f>
        <v>5010</v>
      </c>
      <c r="G32" s="149">
        <f>IFERROR(__xludf.DUMMYFUNCTION("""COMPUTED_VALUE"""),530.0)</f>
        <v>530</v>
      </c>
      <c r="H32" s="149">
        <f>IFERROR(__xludf.DUMMYFUNCTION("""COMPUTED_VALUE"""),5716.0)</f>
        <v>5716</v>
      </c>
      <c r="I32" s="149">
        <f>IFERROR(__xludf.DUMMYFUNCTION("""COMPUTED_VALUE"""),62.0)</f>
        <v>62</v>
      </c>
      <c r="J32" s="149">
        <f>IFERROR(__xludf.DUMMYFUNCTION("""COMPUTED_VALUE"""),79.0)</f>
        <v>79</v>
      </c>
      <c r="K32" s="149">
        <f>IFERROR(__xludf.DUMMYFUNCTION("""COMPUTED_VALUE"""),731.0)</f>
        <v>731</v>
      </c>
      <c r="L32" s="149">
        <f>IFERROR(__xludf.DUMMYFUNCTION("""COMPUTED_VALUE"""),436.0)</f>
        <v>436</v>
      </c>
      <c r="M32" s="149">
        <f>IFERROR(__xludf.DUMMYFUNCTION("""COMPUTED_VALUE"""),4612.0)</f>
        <v>4612</v>
      </c>
      <c r="N32" s="149">
        <f>IFERROR(__xludf.DUMMYFUNCTION("""COMPUTED_VALUE"""),5343.0)</f>
        <v>5343</v>
      </c>
      <c r="O32" s="149">
        <f>IFERROR(__xludf.DUMMYFUNCTION("""COMPUTED_VALUE"""),22.0)</f>
        <v>22</v>
      </c>
      <c r="P32" s="149">
        <f>IFERROR(__xludf.DUMMYFUNCTION("""COMPUTED_VALUE"""),171.0)</f>
        <v>171</v>
      </c>
      <c r="Q32" s="149">
        <f>IFERROR(__xludf.DUMMYFUNCTION("""COMPUTED_VALUE"""),6.0)</f>
        <v>6</v>
      </c>
      <c r="R32" s="149">
        <f>IFERROR(__xludf.DUMMYFUNCTION("""COMPUTED_VALUE"""),44.0)</f>
        <v>44</v>
      </c>
      <c r="S32" s="149">
        <f>IFERROR(__xludf.DUMMYFUNCTION("""COMPUTED_VALUE"""),2.0)</f>
        <v>2</v>
      </c>
      <c r="T32" s="149">
        <f>IFERROR(__xludf.DUMMYFUNCTION("""COMPUTED_VALUE"""),7.0)</f>
        <v>7</v>
      </c>
      <c r="U32" s="149">
        <f>IFERROR(__xludf.DUMMYFUNCTION("""COMPUTED_VALUE"""),120.0)</f>
        <v>120</v>
      </c>
      <c r="V32" s="149">
        <f>IFERROR(__xludf.DUMMYFUNCTION("""COMPUTED_VALUE"""),107.0)</f>
        <v>107</v>
      </c>
      <c r="W32" s="149">
        <f>IFERROR(__xludf.DUMMYFUNCTION("""COMPUTED_VALUE"""),36.0)</f>
        <v>36</v>
      </c>
      <c r="X32" s="149">
        <f>IFERROR(__xludf.DUMMYFUNCTION("""COMPUTED_VALUE"""),21.0)</f>
        <v>21</v>
      </c>
      <c r="Y32" s="149">
        <f>IFERROR(__xludf.DUMMYFUNCTION("""COMPUTED_VALUE"""),4.0)</f>
        <v>4</v>
      </c>
      <c r="Z32" s="149">
        <f>IFERROR(__xludf.DUMMYFUNCTION("""COMPUTED_VALUE"""),16.0)</f>
        <v>16</v>
      </c>
    </row>
    <row r="33">
      <c r="A33" s="187">
        <f>IFERROR(__xludf.DUMMYFUNCTION("""COMPUTED_VALUE"""),43924.0)</f>
        <v>43924</v>
      </c>
      <c r="B33" s="149">
        <f>IFERROR(__xludf.DUMMYFUNCTION("""COMPUTED_VALUE"""),108.0)</f>
        <v>108</v>
      </c>
      <c r="C33" s="149">
        <f>IFERROR(__xludf.DUMMYFUNCTION("""COMPUTED_VALUE"""),86.0)</f>
        <v>86</v>
      </c>
      <c r="D33" s="149">
        <f>IFERROR(__xludf.DUMMYFUNCTION("""COMPUTED_VALUE"""),814.0)</f>
        <v>814</v>
      </c>
      <c r="E33" s="149">
        <f>IFERROR(__xludf.DUMMYFUNCTION("""COMPUTED_VALUE"""),776.0)</f>
        <v>776</v>
      </c>
      <c r="F33" s="149">
        <f>IFERROR(__xludf.DUMMYFUNCTION("""COMPUTED_VALUE"""),5786.0)</f>
        <v>5786</v>
      </c>
      <c r="G33" s="149">
        <f>IFERROR(__xludf.DUMMYFUNCTION("""COMPUTED_VALUE"""),884.0)</f>
        <v>884</v>
      </c>
      <c r="H33" s="149">
        <f>IFERROR(__xludf.DUMMYFUNCTION("""COMPUTED_VALUE"""),6600.0)</f>
        <v>6600</v>
      </c>
      <c r="I33" s="149">
        <f>IFERROR(__xludf.DUMMYFUNCTION("""COMPUTED_VALUE"""),100.0)</f>
        <v>100</v>
      </c>
      <c r="J33" s="149">
        <f>IFERROR(__xludf.DUMMYFUNCTION("""COMPUTED_VALUE"""),88.0)</f>
        <v>88</v>
      </c>
      <c r="K33" s="149">
        <f>IFERROR(__xludf.DUMMYFUNCTION("""COMPUTED_VALUE"""),831.0)</f>
        <v>831</v>
      </c>
      <c r="L33" s="149">
        <f>IFERROR(__xludf.DUMMYFUNCTION("""COMPUTED_VALUE"""),712.0)</f>
        <v>712</v>
      </c>
      <c r="M33" s="149">
        <f>IFERROR(__xludf.DUMMYFUNCTION("""COMPUTED_VALUE"""),5324.0)</f>
        <v>5324</v>
      </c>
      <c r="N33" s="149">
        <f>IFERROR(__xludf.DUMMYFUNCTION("""COMPUTED_VALUE"""),6155.0)</f>
        <v>6155</v>
      </c>
      <c r="O33" s="149">
        <f>IFERROR(__xludf.DUMMYFUNCTION("""COMPUTED_VALUE"""),23.0)</f>
        <v>23</v>
      </c>
      <c r="P33" s="149">
        <f>IFERROR(__xludf.DUMMYFUNCTION("""COMPUTED_VALUE"""),194.0)</f>
        <v>194</v>
      </c>
      <c r="Q33" s="149">
        <f>IFERROR(__xludf.DUMMYFUNCTION("""COMPUTED_VALUE"""),7.0)</f>
        <v>7</v>
      </c>
      <c r="R33" s="149">
        <f>IFERROR(__xludf.DUMMYFUNCTION("""COMPUTED_VALUE"""),51.0)</f>
        <v>51</v>
      </c>
      <c r="S33" s="149">
        <f>IFERROR(__xludf.DUMMYFUNCTION("""COMPUTED_VALUE"""),0.0)</f>
        <v>0</v>
      </c>
      <c r="T33" s="149">
        <f>IFERROR(__xludf.DUMMYFUNCTION("""COMPUTED_VALUE"""),7.0)</f>
        <v>7</v>
      </c>
      <c r="U33" s="149">
        <f>IFERROR(__xludf.DUMMYFUNCTION("""COMPUTED_VALUE"""),136.0)</f>
        <v>136</v>
      </c>
      <c r="V33" s="149">
        <f>IFERROR(__xludf.DUMMYFUNCTION("""COMPUTED_VALUE"""),121.0)</f>
        <v>121</v>
      </c>
      <c r="W33" s="149">
        <f>IFERROR(__xludf.DUMMYFUNCTION("""COMPUTED_VALUE"""),43.0)</f>
        <v>43</v>
      </c>
      <c r="X33" s="149">
        <f>IFERROR(__xludf.DUMMYFUNCTION("""COMPUTED_VALUE"""),25.0)</f>
        <v>25</v>
      </c>
      <c r="Y33" s="149">
        <f>IFERROR(__xludf.DUMMYFUNCTION("""COMPUTED_VALUE"""),3.0)</f>
        <v>3</v>
      </c>
      <c r="Z33" s="149">
        <f>IFERROR(__xludf.DUMMYFUNCTION("""COMPUTED_VALUE"""),19.0)</f>
        <v>19</v>
      </c>
    </row>
    <row r="34">
      <c r="A34" s="187">
        <f>IFERROR(__xludf.DUMMYFUNCTION("""COMPUTED_VALUE"""),43925.0)</f>
        <v>43925</v>
      </c>
      <c r="B34" s="149">
        <f>IFERROR(__xludf.DUMMYFUNCTION("""COMPUTED_VALUE"""),143.0)</f>
        <v>143</v>
      </c>
      <c r="C34" s="149">
        <f>IFERROR(__xludf.DUMMYFUNCTION("""COMPUTED_VALUE"""),101.0)</f>
        <v>101</v>
      </c>
      <c r="D34" s="149">
        <f>IFERROR(__xludf.DUMMYFUNCTION("""COMPUTED_VALUE"""),957.0)</f>
        <v>957</v>
      </c>
      <c r="E34" s="149">
        <f>IFERROR(__xludf.DUMMYFUNCTION("""COMPUTED_VALUE"""),660.0)</f>
        <v>660</v>
      </c>
      <c r="F34" s="149">
        <f>IFERROR(__xludf.DUMMYFUNCTION("""COMPUTED_VALUE"""),6446.0)</f>
        <v>6446</v>
      </c>
      <c r="G34" s="149">
        <f>IFERROR(__xludf.DUMMYFUNCTION("""COMPUTED_VALUE"""),803.0)</f>
        <v>803</v>
      </c>
      <c r="H34" s="149">
        <f>IFERROR(__xludf.DUMMYFUNCTION("""COMPUTED_VALUE"""),7403.0)</f>
        <v>7403</v>
      </c>
      <c r="I34" s="149">
        <f>IFERROR(__xludf.DUMMYFUNCTION("""COMPUTED_VALUE"""),137.0)</f>
        <v>137</v>
      </c>
      <c r="J34" s="149">
        <f>IFERROR(__xludf.DUMMYFUNCTION("""COMPUTED_VALUE"""),100.0)</f>
        <v>100</v>
      </c>
      <c r="K34" s="149">
        <f>IFERROR(__xludf.DUMMYFUNCTION("""COMPUTED_VALUE"""),968.0)</f>
        <v>968</v>
      </c>
      <c r="L34" s="149">
        <f>IFERROR(__xludf.DUMMYFUNCTION("""COMPUTED_VALUE"""),619.0)</f>
        <v>619</v>
      </c>
      <c r="M34" s="149">
        <f>IFERROR(__xludf.DUMMYFUNCTION("""COMPUTED_VALUE"""),5943.0)</f>
        <v>5943</v>
      </c>
      <c r="N34" s="149">
        <f>IFERROR(__xludf.DUMMYFUNCTION("""COMPUTED_VALUE"""),6911.0)</f>
        <v>6911</v>
      </c>
      <c r="O34" s="149">
        <f>IFERROR(__xludf.DUMMYFUNCTION("""COMPUTED_VALUE"""),22.0)</f>
        <v>22</v>
      </c>
      <c r="P34" s="149">
        <f>IFERROR(__xludf.DUMMYFUNCTION("""COMPUTED_VALUE"""),216.0)</f>
        <v>216</v>
      </c>
      <c r="Q34" s="149">
        <f>IFERROR(__xludf.DUMMYFUNCTION("""COMPUTED_VALUE"""),4.0)</f>
        <v>4</v>
      </c>
      <c r="R34" s="149">
        <f>IFERROR(__xludf.DUMMYFUNCTION("""COMPUTED_VALUE"""),55.0)</f>
        <v>55</v>
      </c>
      <c r="S34" s="149">
        <f>IFERROR(__xludf.DUMMYFUNCTION("""COMPUTED_VALUE"""),5.0)</f>
        <v>5</v>
      </c>
      <c r="T34" s="149">
        <f>IFERROR(__xludf.DUMMYFUNCTION("""COMPUTED_VALUE"""),12.0)</f>
        <v>12</v>
      </c>
      <c r="U34" s="149">
        <f>IFERROR(__xludf.DUMMYFUNCTION("""COMPUTED_VALUE"""),149.0)</f>
        <v>149</v>
      </c>
      <c r="V34" s="149">
        <f>IFERROR(__xludf.DUMMYFUNCTION("""COMPUTED_VALUE"""),135.0)</f>
        <v>135</v>
      </c>
      <c r="W34" s="149">
        <f>IFERROR(__xludf.DUMMYFUNCTION("""COMPUTED_VALUE"""),41.0)</f>
        <v>41</v>
      </c>
      <c r="X34" s="149">
        <f>IFERROR(__xludf.DUMMYFUNCTION("""COMPUTED_VALUE"""),30.0)</f>
        <v>30</v>
      </c>
      <c r="Y34" s="149">
        <f>IFERROR(__xludf.DUMMYFUNCTION("""COMPUTED_VALUE"""),9.0)</f>
        <v>9</v>
      </c>
      <c r="Z34" s="149">
        <f>IFERROR(__xludf.DUMMYFUNCTION("""COMPUTED_VALUE"""),28.0)</f>
        <v>28</v>
      </c>
    </row>
    <row r="35">
      <c r="A35" s="187">
        <f>IFERROR(__xludf.DUMMYFUNCTION("""COMPUTED_VALUE"""),43926.0)</f>
        <v>43926</v>
      </c>
      <c r="B35" s="149">
        <f>IFERROR(__xludf.DUMMYFUNCTION("""COMPUTED_VALUE"""),187.0)</f>
        <v>187</v>
      </c>
      <c r="C35" s="149">
        <f>IFERROR(__xludf.DUMMYFUNCTION("""COMPUTED_VALUE"""),146.0)</f>
        <v>146</v>
      </c>
      <c r="D35" s="149">
        <f>IFERROR(__xludf.DUMMYFUNCTION("""COMPUTED_VALUE"""),1144.0)</f>
        <v>1144</v>
      </c>
      <c r="E35" s="149">
        <f>IFERROR(__xludf.DUMMYFUNCTION("""COMPUTED_VALUE"""),1156.0)</f>
        <v>1156</v>
      </c>
      <c r="F35" s="149">
        <f>IFERROR(__xludf.DUMMYFUNCTION("""COMPUTED_VALUE"""),7602.0)</f>
        <v>7602</v>
      </c>
      <c r="G35" s="149">
        <f>IFERROR(__xludf.DUMMYFUNCTION("""COMPUTED_VALUE"""),1343.0)</f>
        <v>1343</v>
      </c>
      <c r="H35" s="149">
        <f>IFERROR(__xludf.DUMMYFUNCTION("""COMPUTED_VALUE"""),8746.0)</f>
        <v>8746</v>
      </c>
      <c r="I35" s="149">
        <f>IFERROR(__xludf.DUMMYFUNCTION("""COMPUTED_VALUE"""),182.0)</f>
        <v>182</v>
      </c>
      <c r="J35" s="149">
        <f>IFERROR(__xludf.DUMMYFUNCTION("""COMPUTED_VALUE"""),140.0)</f>
        <v>140</v>
      </c>
      <c r="K35" s="149">
        <f>IFERROR(__xludf.DUMMYFUNCTION("""COMPUTED_VALUE"""),1150.0)</f>
        <v>1150</v>
      </c>
      <c r="L35" s="149">
        <f>IFERROR(__xludf.DUMMYFUNCTION("""COMPUTED_VALUE"""),1069.0)</f>
        <v>1069</v>
      </c>
      <c r="M35" s="149">
        <f>IFERROR(__xludf.DUMMYFUNCTION("""COMPUTED_VALUE"""),7012.0)</f>
        <v>7012</v>
      </c>
      <c r="N35" s="149">
        <f>IFERROR(__xludf.DUMMYFUNCTION("""COMPUTED_VALUE"""),8162.0)</f>
        <v>8162</v>
      </c>
      <c r="O35" s="149">
        <f>IFERROR(__xludf.DUMMYFUNCTION("""COMPUTED_VALUE"""),20.0)</f>
        <v>20</v>
      </c>
      <c r="P35" s="149">
        <f>IFERROR(__xludf.DUMMYFUNCTION("""COMPUTED_VALUE"""),236.0)</f>
        <v>236</v>
      </c>
      <c r="Q35" s="149">
        <f>IFERROR(__xludf.DUMMYFUNCTION("""COMPUTED_VALUE"""),9.0)</f>
        <v>9</v>
      </c>
      <c r="R35" s="149">
        <f>IFERROR(__xludf.DUMMYFUNCTION("""COMPUTED_VALUE"""),64.0)</f>
        <v>64</v>
      </c>
      <c r="S35" s="149">
        <f>IFERROR(__xludf.DUMMYFUNCTION("""COMPUTED_VALUE"""),1.0)</f>
        <v>1</v>
      </c>
      <c r="T35" s="149">
        <f>IFERROR(__xludf.DUMMYFUNCTION("""COMPUTED_VALUE"""),13.0)</f>
        <v>13</v>
      </c>
      <c r="U35" s="149">
        <f>IFERROR(__xludf.DUMMYFUNCTION("""COMPUTED_VALUE"""),159.0)</f>
        <v>159</v>
      </c>
      <c r="V35" s="149">
        <f>IFERROR(__xludf.DUMMYFUNCTION("""COMPUTED_VALUE"""),148.0)</f>
        <v>148</v>
      </c>
      <c r="W35" s="149">
        <f>IFERROR(__xludf.DUMMYFUNCTION("""COMPUTED_VALUE"""),44.0)</f>
        <v>44</v>
      </c>
      <c r="X35" s="149">
        <f>IFERROR(__xludf.DUMMYFUNCTION("""COMPUTED_VALUE"""),36.0)</f>
        <v>36</v>
      </c>
      <c r="Y35" s="149">
        <f>IFERROR(__xludf.DUMMYFUNCTION("""COMPUTED_VALUE"""),2.0)</f>
        <v>2</v>
      </c>
      <c r="Z35" s="149">
        <f>IFERROR(__xludf.DUMMYFUNCTION("""COMPUTED_VALUE"""),30.0)</f>
        <v>30</v>
      </c>
    </row>
    <row r="36">
      <c r="A36" s="187">
        <f>IFERROR(__xludf.DUMMYFUNCTION("""COMPUTED_VALUE"""),43927.0)</f>
        <v>43927</v>
      </c>
      <c r="B36" s="149">
        <f>IFERROR(__xludf.DUMMYFUNCTION("""COMPUTED_VALUE"""),218.0)</f>
        <v>218</v>
      </c>
      <c r="C36" s="149">
        <f>IFERROR(__xludf.DUMMYFUNCTION("""COMPUTED_VALUE"""),183.0)</f>
        <v>183</v>
      </c>
      <c r="D36" s="149">
        <f>IFERROR(__xludf.DUMMYFUNCTION("""COMPUTED_VALUE"""),1362.0)</f>
        <v>1362</v>
      </c>
      <c r="E36" s="149">
        <f>IFERROR(__xludf.DUMMYFUNCTION("""COMPUTED_VALUE"""),1707.0)</f>
        <v>1707</v>
      </c>
      <c r="F36" s="149">
        <f>IFERROR(__xludf.DUMMYFUNCTION("""COMPUTED_VALUE"""),9309.0)</f>
        <v>9309</v>
      </c>
      <c r="G36" s="149">
        <f>IFERROR(__xludf.DUMMYFUNCTION("""COMPUTED_VALUE"""),1925.0)</f>
        <v>1925</v>
      </c>
      <c r="H36" s="149">
        <f>IFERROR(__xludf.DUMMYFUNCTION("""COMPUTED_VALUE"""),10671.0)</f>
        <v>10671</v>
      </c>
      <c r="I36" s="149">
        <f>IFERROR(__xludf.DUMMYFUNCTION("""COMPUTED_VALUE"""),206.0)</f>
        <v>206</v>
      </c>
      <c r="J36" s="149">
        <f>IFERROR(__xludf.DUMMYFUNCTION("""COMPUTED_VALUE"""),175.0)</f>
        <v>175</v>
      </c>
      <c r="K36" s="149">
        <f>IFERROR(__xludf.DUMMYFUNCTION("""COMPUTED_VALUE"""),1356.0)</f>
        <v>1356</v>
      </c>
      <c r="L36" s="149">
        <f>IFERROR(__xludf.DUMMYFUNCTION("""COMPUTED_VALUE"""),1555.0)</f>
        <v>1555</v>
      </c>
      <c r="M36" s="149">
        <f>IFERROR(__xludf.DUMMYFUNCTION("""COMPUTED_VALUE"""),8567.0)</f>
        <v>8567</v>
      </c>
      <c r="N36" s="149">
        <f>IFERROR(__xludf.DUMMYFUNCTION("""COMPUTED_VALUE"""),9923.0)</f>
        <v>9923</v>
      </c>
      <c r="O36" s="149">
        <f>IFERROR(__xludf.DUMMYFUNCTION("""COMPUTED_VALUE"""),26.0)</f>
        <v>26</v>
      </c>
      <c r="P36" s="149">
        <f>IFERROR(__xludf.DUMMYFUNCTION("""COMPUTED_VALUE"""),262.0)</f>
        <v>262</v>
      </c>
      <c r="Q36" s="149">
        <f>IFERROR(__xludf.DUMMYFUNCTION("""COMPUTED_VALUE"""),7.0)</f>
        <v>7</v>
      </c>
      <c r="R36" s="149">
        <f>IFERROR(__xludf.DUMMYFUNCTION("""COMPUTED_VALUE"""),71.0)</f>
        <v>71</v>
      </c>
      <c r="S36" s="149">
        <f>IFERROR(__xludf.DUMMYFUNCTION("""COMPUTED_VALUE"""),0.0)</f>
        <v>0</v>
      </c>
      <c r="T36" s="149">
        <f>IFERROR(__xludf.DUMMYFUNCTION("""COMPUTED_VALUE"""),13.0)</f>
        <v>13</v>
      </c>
      <c r="U36" s="149">
        <f>IFERROR(__xludf.DUMMYFUNCTION("""COMPUTED_VALUE"""),178.0)</f>
        <v>178</v>
      </c>
      <c r="V36" s="149">
        <f>IFERROR(__xludf.DUMMYFUNCTION("""COMPUTED_VALUE"""),162.0)</f>
        <v>162</v>
      </c>
      <c r="W36" s="149">
        <f>IFERROR(__xludf.DUMMYFUNCTION("""COMPUTED_VALUE"""),48.0)</f>
        <v>48</v>
      </c>
      <c r="X36" s="149">
        <f>IFERROR(__xludf.DUMMYFUNCTION("""COMPUTED_VALUE"""),40.0)</f>
        <v>40</v>
      </c>
      <c r="Y36" s="149">
        <f>IFERROR(__xludf.DUMMYFUNCTION("""COMPUTED_VALUE"""),7.0)</f>
        <v>7</v>
      </c>
      <c r="Z36" s="149">
        <f>IFERROR(__xludf.DUMMYFUNCTION("""COMPUTED_VALUE"""),37.0)</f>
        <v>37</v>
      </c>
    </row>
    <row r="37">
      <c r="A37" s="187">
        <f>IFERROR(__xludf.DUMMYFUNCTION("""COMPUTED_VALUE"""),43928.0)</f>
        <v>43928</v>
      </c>
      <c r="B37" s="149">
        <f>IFERROR(__xludf.DUMMYFUNCTION("""COMPUTED_VALUE"""),285.0)</f>
        <v>285</v>
      </c>
      <c r="C37" s="149">
        <f>IFERROR(__xludf.DUMMYFUNCTION("""COMPUTED_VALUE"""),230.0)</f>
        <v>230</v>
      </c>
      <c r="D37" s="149">
        <f>IFERROR(__xludf.DUMMYFUNCTION("""COMPUTED_VALUE"""),1647.0)</f>
        <v>1647</v>
      </c>
      <c r="E37" s="149">
        <f>IFERROR(__xludf.DUMMYFUNCTION("""COMPUTED_VALUE"""),1632.0)</f>
        <v>1632</v>
      </c>
      <c r="F37" s="149">
        <f>IFERROR(__xludf.DUMMYFUNCTION("""COMPUTED_VALUE"""),10941.0)</f>
        <v>10941</v>
      </c>
      <c r="G37" s="149">
        <f>IFERROR(__xludf.DUMMYFUNCTION("""COMPUTED_VALUE"""),1917.0)</f>
        <v>1917</v>
      </c>
      <c r="H37" s="149">
        <f>IFERROR(__xludf.DUMMYFUNCTION("""COMPUTED_VALUE"""),12588.0)</f>
        <v>12588</v>
      </c>
      <c r="I37" s="149">
        <f>IFERROR(__xludf.DUMMYFUNCTION("""COMPUTED_VALUE"""),261.0)</f>
        <v>261</v>
      </c>
      <c r="J37" s="149">
        <f>IFERROR(__xludf.DUMMYFUNCTION("""COMPUTED_VALUE"""),216.0)</f>
        <v>216</v>
      </c>
      <c r="K37" s="149">
        <f>IFERROR(__xludf.DUMMYFUNCTION("""COMPUTED_VALUE"""),1617.0)</f>
        <v>1617</v>
      </c>
      <c r="L37" s="149">
        <f>IFERROR(__xludf.DUMMYFUNCTION("""COMPUTED_VALUE"""),1484.0)</f>
        <v>1484</v>
      </c>
      <c r="M37" s="149">
        <f>IFERROR(__xludf.DUMMYFUNCTION("""COMPUTED_VALUE"""),10051.0)</f>
        <v>10051</v>
      </c>
      <c r="N37" s="149">
        <f>IFERROR(__xludf.DUMMYFUNCTION("""COMPUTED_VALUE"""),11668.0)</f>
        <v>11668</v>
      </c>
      <c r="O37" s="149">
        <f>IFERROR(__xludf.DUMMYFUNCTION("""COMPUTED_VALUE"""),20.0)</f>
        <v>20</v>
      </c>
      <c r="P37" s="149">
        <f>IFERROR(__xludf.DUMMYFUNCTION("""COMPUTED_VALUE"""),282.0)</f>
        <v>282</v>
      </c>
      <c r="Q37" s="149">
        <f>IFERROR(__xludf.DUMMYFUNCTION("""COMPUTED_VALUE"""),3.0)</f>
        <v>3</v>
      </c>
      <c r="R37" s="149">
        <f>IFERROR(__xludf.DUMMYFUNCTION("""COMPUTED_VALUE"""),74.0)</f>
        <v>74</v>
      </c>
      <c r="S37" s="149">
        <f>IFERROR(__xludf.DUMMYFUNCTION("""COMPUTED_VALUE"""),2.0)</f>
        <v>2</v>
      </c>
      <c r="T37" s="149">
        <f>IFERROR(__xludf.DUMMYFUNCTION("""COMPUTED_VALUE"""),15.0)</f>
        <v>15</v>
      </c>
      <c r="U37" s="149">
        <f>IFERROR(__xludf.DUMMYFUNCTION("""COMPUTED_VALUE"""),193.0)</f>
        <v>193</v>
      </c>
      <c r="V37" s="149">
        <f>IFERROR(__xludf.DUMMYFUNCTION("""COMPUTED_VALUE"""),177.0)</f>
        <v>177</v>
      </c>
      <c r="W37" s="149">
        <f>IFERROR(__xludf.DUMMYFUNCTION("""COMPUTED_VALUE"""),50.0)</f>
        <v>50</v>
      </c>
      <c r="X37" s="149">
        <f>IFERROR(__xludf.DUMMYFUNCTION("""COMPUTED_VALUE"""),42.0)</f>
        <v>42</v>
      </c>
      <c r="Y37" s="149">
        <f>IFERROR(__xludf.DUMMYFUNCTION("""COMPUTED_VALUE"""),5.0)</f>
        <v>5</v>
      </c>
      <c r="Z37" s="149">
        <f>IFERROR(__xludf.DUMMYFUNCTION("""COMPUTED_VALUE"""),42.0)</f>
        <v>42</v>
      </c>
    </row>
    <row r="38">
      <c r="A38" s="187">
        <f>IFERROR(__xludf.DUMMYFUNCTION("""COMPUTED_VALUE"""),43929.0)</f>
        <v>43929</v>
      </c>
      <c r="B38" s="149">
        <f>IFERROR(__xludf.DUMMYFUNCTION("""COMPUTED_VALUE"""),291.0)</f>
        <v>291</v>
      </c>
      <c r="C38" s="149">
        <f>IFERROR(__xludf.DUMMYFUNCTION("""COMPUTED_VALUE"""),265.0)</f>
        <v>265</v>
      </c>
      <c r="D38" s="149">
        <f>IFERROR(__xludf.DUMMYFUNCTION("""COMPUTED_VALUE"""),1938.0)</f>
        <v>1938</v>
      </c>
      <c r="E38" s="149">
        <f>IFERROR(__xludf.DUMMYFUNCTION("""COMPUTED_VALUE"""),1724.0)</f>
        <v>1724</v>
      </c>
      <c r="F38" s="149">
        <f>IFERROR(__xludf.DUMMYFUNCTION("""COMPUTED_VALUE"""),12665.0)</f>
        <v>12665</v>
      </c>
      <c r="G38" s="149">
        <f>IFERROR(__xludf.DUMMYFUNCTION("""COMPUTED_VALUE"""),2015.0)</f>
        <v>2015</v>
      </c>
      <c r="H38" s="149">
        <f>IFERROR(__xludf.DUMMYFUNCTION("""COMPUTED_VALUE"""),14603.0)</f>
        <v>14603</v>
      </c>
      <c r="I38" s="149">
        <f>IFERROR(__xludf.DUMMYFUNCTION("""COMPUTED_VALUE"""),273.0)</f>
        <v>273</v>
      </c>
      <c r="J38" s="149">
        <f>IFERROR(__xludf.DUMMYFUNCTION("""COMPUTED_VALUE"""),247.0)</f>
        <v>247</v>
      </c>
      <c r="K38" s="149">
        <f>IFERROR(__xludf.DUMMYFUNCTION("""COMPUTED_VALUE"""),1890.0)</f>
        <v>1890</v>
      </c>
      <c r="L38" s="149">
        <f>IFERROR(__xludf.DUMMYFUNCTION("""COMPUTED_VALUE"""),1564.0)</f>
        <v>1564</v>
      </c>
      <c r="M38" s="149">
        <f>IFERROR(__xludf.DUMMYFUNCTION("""COMPUTED_VALUE"""),11615.0)</f>
        <v>11615</v>
      </c>
      <c r="N38" s="149">
        <f>IFERROR(__xludf.DUMMYFUNCTION("""COMPUTED_VALUE"""),13505.0)</f>
        <v>13505</v>
      </c>
      <c r="O38" s="149">
        <f>IFERROR(__xludf.DUMMYFUNCTION("""COMPUTED_VALUE"""),19.0)</f>
        <v>19</v>
      </c>
      <c r="P38" s="149">
        <f>IFERROR(__xludf.DUMMYFUNCTION("""COMPUTED_VALUE"""),301.0)</f>
        <v>301</v>
      </c>
      <c r="Q38" s="149">
        <f>IFERROR(__xludf.DUMMYFUNCTION("""COMPUTED_VALUE"""),7.0)</f>
        <v>7</v>
      </c>
      <c r="R38" s="149">
        <f>IFERROR(__xludf.DUMMYFUNCTION("""COMPUTED_VALUE"""),81.0)</f>
        <v>81</v>
      </c>
      <c r="S38" s="149">
        <f>IFERROR(__xludf.DUMMYFUNCTION("""COMPUTED_VALUE"""),6.0)</f>
        <v>6</v>
      </c>
      <c r="T38" s="149">
        <f>IFERROR(__xludf.DUMMYFUNCTION("""COMPUTED_VALUE"""),21.0)</f>
        <v>21</v>
      </c>
      <c r="U38" s="149">
        <f>IFERROR(__xludf.DUMMYFUNCTION("""COMPUTED_VALUE"""),199.0)</f>
        <v>199</v>
      </c>
      <c r="V38" s="149">
        <f>IFERROR(__xludf.DUMMYFUNCTION("""COMPUTED_VALUE"""),190.0)</f>
        <v>190</v>
      </c>
      <c r="W38" s="149">
        <f>IFERROR(__xludf.DUMMYFUNCTION("""COMPUTED_VALUE"""),50.0)</f>
        <v>50</v>
      </c>
      <c r="X38" s="149">
        <f>IFERROR(__xludf.DUMMYFUNCTION("""COMPUTED_VALUE"""),38.0)</f>
        <v>38</v>
      </c>
      <c r="Y38" s="149">
        <f>IFERROR(__xludf.DUMMYFUNCTION("""COMPUTED_VALUE"""),10.0)</f>
        <v>10</v>
      </c>
      <c r="Z38" s="149">
        <f>IFERROR(__xludf.DUMMYFUNCTION("""COMPUTED_VALUE"""),52.0)</f>
        <v>52</v>
      </c>
    </row>
    <row r="39">
      <c r="A39" s="187">
        <f>IFERROR(__xludf.DUMMYFUNCTION("""COMPUTED_VALUE"""),43930.0)</f>
        <v>43930</v>
      </c>
      <c r="B39" s="149">
        <f>IFERROR(__xludf.DUMMYFUNCTION("""COMPUTED_VALUE"""),284.0)</f>
        <v>284</v>
      </c>
      <c r="C39" s="149">
        <f>IFERROR(__xludf.DUMMYFUNCTION("""COMPUTED_VALUE"""),287.0)</f>
        <v>287</v>
      </c>
      <c r="D39" s="149">
        <f>IFERROR(__xludf.DUMMYFUNCTION("""COMPUTED_VALUE"""),2222.0)</f>
        <v>2222</v>
      </c>
      <c r="E39" s="149">
        <f>IFERROR(__xludf.DUMMYFUNCTION("""COMPUTED_VALUE"""),1521.0)</f>
        <v>1521</v>
      </c>
      <c r="F39" s="149">
        <f>IFERROR(__xludf.DUMMYFUNCTION("""COMPUTED_VALUE"""),14186.0)</f>
        <v>14186</v>
      </c>
      <c r="G39" s="149">
        <f>IFERROR(__xludf.DUMMYFUNCTION("""COMPUTED_VALUE"""),1805.0)</f>
        <v>1805</v>
      </c>
      <c r="H39" s="149">
        <f>IFERROR(__xludf.DUMMYFUNCTION("""COMPUTED_VALUE"""),16408.0)</f>
        <v>16408</v>
      </c>
      <c r="I39" s="149">
        <f>IFERROR(__xludf.DUMMYFUNCTION("""COMPUTED_VALUE"""),280.0)</f>
        <v>280</v>
      </c>
      <c r="J39" s="149">
        <f>IFERROR(__xludf.DUMMYFUNCTION("""COMPUTED_VALUE"""),271.0)</f>
        <v>271</v>
      </c>
      <c r="K39" s="149">
        <f>IFERROR(__xludf.DUMMYFUNCTION("""COMPUTED_VALUE"""),2170.0)</f>
        <v>2170</v>
      </c>
      <c r="L39" s="149">
        <f>IFERROR(__xludf.DUMMYFUNCTION("""COMPUTED_VALUE"""),1355.0)</f>
        <v>1355</v>
      </c>
      <c r="M39" s="149">
        <f>IFERROR(__xludf.DUMMYFUNCTION("""COMPUTED_VALUE"""),12970.0)</f>
        <v>12970</v>
      </c>
      <c r="N39" s="149">
        <f>IFERROR(__xludf.DUMMYFUNCTION("""COMPUTED_VALUE"""),15140.0)</f>
        <v>15140</v>
      </c>
      <c r="O39" s="149">
        <f>IFERROR(__xludf.DUMMYFUNCTION("""COMPUTED_VALUE"""),32.0)</f>
        <v>32</v>
      </c>
      <c r="P39" s="149">
        <f>IFERROR(__xludf.DUMMYFUNCTION("""COMPUTED_VALUE"""),333.0)</f>
        <v>333</v>
      </c>
      <c r="Q39" s="149">
        <f>IFERROR(__xludf.DUMMYFUNCTION("""COMPUTED_VALUE"""),9.0)</f>
        <v>9</v>
      </c>
      <c r="R39" s="149">
        <f>IFERROR(__xludf.DUMMYFUNCTION("""COMPUTED_VALUE"""),90.0)</f>
        <v>90</v>
      </c>
      <c r="S39" s="149">
        <f>IFERROR(__xludf.DUMMYFUNCTION("""COMPUTED_VALUE"""),4.0)</f>
        <v>4</v>
      </c>
      <c r="T39" s="149">
        <f>IFERROR(__xludf.DUMMYFUNCTION("""COMPUTED_VALUE"""),25.0)</f>
        <v>25</v>
      </c>
      <c r="U39" s="149">
        <f>IFERROR(__xludf.DUMMYFUNCTION("""COMPUTED_VALUE"""),218.0)</f>
        <v>218</v>
      </c>
      <c r="V39" s="149">
        <f>IFERROR(__xludf.DUMMYFUNCTION("""COMPUTED_VALUE"""),203.0)</f>
        <v>203</v>
      </c>
      <c r="W39" s="149">
        <f>IFERROR(__xludf.DUMMYFUNCTION("""COMPUTED_VALUE"""),53.0)</f>
        <v>53</v>
      </c>
      <c r="X39" s="149">
        <f>IFERROR(__xludf.DUMMYFUNCTION("""COMPUTED_VALUE"""),40.0)</f>
        <v>40</v>
      </c>
      <c r="Y39" s="149">
        <f>IFERROR(__xludf.DUMMYFUNCTION("""COMPUTED_VALUE"""),7.0)</f>
        <v>7</v>
      </c>
      <c r="Z39" s="149">
        <f>IFERROR(__xludf.DUMMYFUNCTION("""COMPUTED_VALUE"""),59.0)</f>
        <v>59</v>
      </c>
    </row>
    <row r="40">
      <c r="A40" s="187">
        <f>IFERROR(__xludf.DUMMYFUNCTION("""COMPUTED_VALUE"""),43931.0)</f>
        <v>43931</v>
      </c>
      <c r="B40" s="149">
        <f>IFERROR(__xludf.DUMMYFUNCTION("""COMPUTED_VALUE"""),420.0)</f>
        <v>420</v>
      </c>
      <c r="C40" s="149">
        <f>IFERROR(__xludf.DUMMYFUNCTION("""COMPUTED_VALUE"""),332.0)</f>
        <v>332</v>
      </c>
      <c r="D40" s="149">
        <f>IFERROR(__xludf.DUMMYFUNCTION("""COMPUTED_VALUE"""),2642.0)</f>
        <v>2642</v>
      </c>
      <c r="E40" s="149">
        <f>IFERROR(__xludf.DUMMYFUNCTION("""COMPUTED_VALUE"""),2578.0)</f>
        <v>2578</v>
      </c>
      <c r="F40" s="149">
        <f>IFERROR(__xludf.DUMMYFUNCTION("""COMPUTED_VALUE"""),16764.0)</f>
        <v>16764</v>
      </c>
      <c r="G40" s="149">
        <f>IFERROR(__xludf.DUMMYFUNCTION("""COMPUTED_VALUE"""),2998.0)</f>
        <v>2998</v>
      </c>
      <c r="H40" s="149">
        <f>IFERROR(__xludf.DUMMYFUNCTION("""COMPUTED_VALUE"""),19406.0)</f>
        <v>19406</v>
      </c>
      <c r="I40" s="149">
        <f>IFERROR(__xludf.DUMMYFUNCTION("""COMPUTED_VALUE"""),403.0)</f>
        <v>403</v>
      </c>
      <c r="J40" s="149">
        <f>IFERROR(__xludf.DUMMYFUNCTION("""COMPUTED_VALUE"""),319.0)</f>
        <v>319</v>
      </c>
      <c r="K40" s="149">
        <f>IFERROR(__xludf.DUMMYFUNCTION("""COMPUTED_VALUE"""),2573.0)</f>
        <v>2573</v>
      </c>
      <c r="L40" s="149">
        <f>IFERROR(__xludf.DUMMYFUNCTION("""COMPUTED_VALUE"""),2372.0)</f>
        <v>2372</v>
      </c>
      <c r="M40" s="149">
        <f>IFERROR(__xludf.DUMMYFUNCTION("""COMPUTED_VALUE"""),15342.0)</f>
        <v>15342</v>
      </c>
      <c r="N40" s="149">
        <f>IFERROR(__xludf.DUMMYFUNCTION("""COMPUTED_VALUE"""),17915.0)</f>
        <v>17915</v>
      </c>
      <c r="O40" s="149">
        <f>IFERROR(__xludf.DUMMYFUNCTION("""COMPUTED_VALUE"""),29.0)</f>
        <v>29</v>
      </c>
      <c r="P40" s="149">
        <f>IFERROR(__xludf.DUMMYFUNCTION("""COMPUTED_VALUE"""),362.0)</f>
        <v>362</v>
      </c>
      <c r="Q40" s="149">
        <f>IFERROR(__xludf.DUMMYFUNCTION("""COMPUTED_VALUE"""),17.0)</f>
        <v>17</v>
      </c>
      <c r="R40" s="149">
        <f>IFERROR(__xludf.DUMMYFUNCTION("""COMPUTED_VALUE"""),107.0)</f>
        <v>107</v>
      </c>
      <c r="S40" s="149">
        <f>IFERROR(__xludf.DUMMYFUNCTION("""COMPUTED_VALUE"""),5.0)</f>
        <v>5</v>
      </c>
      <c r="T40" s="149">
        <f>IFERROR(__xludf.DUMMYFUNCTION("""COMPUTED_VALUE"""),30.0)</f>
        <v>30</v>
      </c>
      <c r="U40" s="149">
        <f>IFERROR(__xludf.DUMMYFUNCTION("""COMPUTED_VALUE"""),225.0)</f>
        <v>225</v>
      </c>
      <c r="V40" s="149">
        <f>IFERROR(__xludf.DUMMYFUNCTION("""COMPUTED_VALUE"""),214.0)</f>
        <v>214</v>
      </c>
      <c r="W40" s="149">
        <f>IFERROR(__xludf.DUMMYFUNCTION("""COMPUTED_VALUE"""),59.0)</f>
        <v>59</v>
      </c>
      <c r="X40" s="149">
        <f>IFERROR(__xludf.DUMMYFUNCTION("""COMPUTED_VALUE"""),41.0)</f>
        <v>41</v>
      </c>
      <c r="Y40" s="149">
        <f>IFERROR(__xludf.DUMMYFUNCTION("""COMPUTED_VALUE"""),11.0)</f>
        <v>11</v>
      </c>
      <c r="Z40" s="149">
        <f>IFERROR(__xludf.DUMMYFUNCTION("""COMPUTED_VALUE"""),70.0)</f>
        <v>70</v>
      </c>
    </row>
    <row r="41">
      <c r="A41" s="187">
        <f>IFERROR(__xludf.DUMMYFUNCTION("""COMPUTED_VALUE"""),43932.0)</f>
        <v>43932</v>
      </c>
      <c r="B41" s="149">
        <f>IFERROR(__xludf.DUMMYFUNCTION("""COMPUTED_VALUE"""),299.0)</f>
        <v>299</v>
      </c>
      <c r="C41" s="149">
        <f>IFERROR(__xludf.DUMMYFUNCTION("""COMPUTED_VALUE"""),334.0)</f>
        <v>334</v>
      </c>
      <c r="D41" s="149">
        <f>IFERROR(__xludf.DUMMYFUNCTION("""COMPUTED_VALUE"""),2941.0)</f>
        <v>2941</v>
      </c>
      <c r="E41" s="149">
        <f>IFERROR(__xludf.DUMMYFUNCTION("""COMPUTED_VALUE"""),1912.0)</f>
        <v>1912</v>
      </c>
      <c r="F41" s="149">
        <f>IFERROR(__xludf.DUMMYFUNCTION("""COMPUTED_VALUE"""),18676.0)</f>
        <v>18676</v>
      </c>
      <c r="G41" s="149">
        <f>IFERROR(__xludf.DUMMYFUNCTION("""COMPUTED_VALUE"""),2211.0)</f>
        <v>2211</v>
      </c>
      <c r="H41" s="149">
        <f>IFERROR(__xludf.DUMMYFUNCTION("""COMPUTED_VALUE"""),21617.0)</f>
        <v>21617</v>
      </c>
      <c r="I41" s="149">
        <f>IFERROR(__xludf.DUMMYFUNCTION("""COMPUTED_VALUE"""),280.0)</f>
        <v>280</v>
      </c>
      <c r="J41" s="149">
        <f>IFERROR(__xludf.DUMMYFUNCTION("""COMPUTED_VALUE"""),321.0)</f>
        <v>321</v>
      </c>
      <c r="K41" s="149">
        <f>IFERROR(__xludf.DUMMYFUNCTION("""COMPUTED_VALUE"""),2853.0)</f>
        <v>2853</v>
      </c>
      <c r="L41" s="149">
        <f>IFERROR(__xludf.DUMMYFUNCTION("""COMPUTED_VALUE"""),1720.0)</f>
        <v>1720</v>
      </c>
      <c r="M41" s="149">
        <f>IFERROR(__xludf.DUMMYFUNCTION("""COMPUTED_VALUE"""),17062.0)</f>
        <v>17062</v>
      </c>
      <c r="N41" s="149">
        <f>IFERROR(__xludf.DUMMYFUNCTION("""COMPUTED_VALUE"""),19915.0)</f>
        <v>19915</v>
      </c>
      <c r="O41" s="149">
        <f>IFERROR(__xludf.DUMMYFUNCTION("""COMPUTED_VALUE"""),29.0)</f>
        <v>29</v>
      </c>
      <c r="P41" s="149">
        <f>IFERROR(__xludf.DUMMYFUNCTION("""COMPUTED_VALUE"""),391.0)</f>
        <v>391</v>
      </c>
      <c r="Q41" s="149">
        <f>IFERROR(__xludf.DUMMYFUNCTION("""COMPUTED_VALUE"""),11.0)</f>
        <v>11</v>
      </c>
      <c r="R41" s="149">
        <f>IFERROR(__xludf.DUMMYFUNCTION("""COMPUTED_VALUE"""),118.0)</f>
        <v>118</v>
      </c>
      <c r="S41" s="149">
        <f>IFERROR(__xludf.DUMMYFUNCTION("""COMPUTED_VALUE"""),2.0)</f>
        <v>2</v>
      </c>
      <c r="T41" s="149">
        <f>IFERROR(__xludf.DUMMYFUNCTION("""COMPUTED_VALUE"""),32.0)</f>
        <v>32</v>
      </c>
      <c r="U41" s="149">
        <f>IFERROR(__xludf.DUMMYFUNCTION("""COMPUTED_VALUE"""),241.0)</f>
        <v>241</v>
      </c>
      <c r="V41" s="149">
        <f>IFERROR(__xludf.DUMMYFUNCTION("""COMPUTED_VALUE"""),228.0)</f>
        <v>228</v>
      </c>
      <c r="W41" s="149">
        <f>IFERROR(__xludf.DUMMYFUNCTION("""COMPUTED_VALUE"""),61.0)</f>
        <v>61</v>
      </c>
      <c r="X41" s="149">
        <f>IFERROR(__xludf.DUMMYFUNCTION("""COMPUTED_VALUE"""),48.0)</f>
        <v>48</v>
      </c>
      <c r="Y41" s="149">
        <f>IFERROR(__xludf.DUMMYFUNCTION("""COMPUTED_VALUE"""),12.0)</f>
        <v>12</v>
      </c>
      <c r="Z41" s="149">
        <f>IFERROR(__xludf.DUMMYFUNCTION("""COMPUTED_VALUE"""),82.0)</f>
        <v>82</v>
      </c>
    </row>
    <row r="42">
      <c r="A42" s="187">
        <f>IFERROR(__xludf.DUMMYFUNCTION("""COMPUTED_VALUE"""),43933.0)</f>
        <v>43933</v>
      </c>
      <c r="B42" s="149">
        <f>IFERROR(__xludf.DUMMYFUNCTION("""COMPUTED_VALUE"""),315.0)</f>
        <v>315</v>
      </c>
      <c r="C42" s="149">
        <f>IFERROR(__xludf.DUMMYFUNCTION("""COMPUTED_VALUE"""),345.0)</f>
        <v>345</v>
      </c>
      <c r="D42" s="149">
        <f>IFERROR(__xludf.DUMMYFUNCTION("""COMPUTED_VALUE"""),3256.0)</f>
        <v>3256</v>
      </c>
      <c r="E42" s="149">
        <f>IFERROR(__xludf.DUMMYFUNCTION("""COMPUTED_VALUE"""),1677.0)</f>
        <v>1677</v>
      </c>
      <c r="F42" s="149">
        <f>IFERROR(__xludf.DUMMYFUNCTION("""COMPUTED_VALUE"""),20353.0)</f>
        <v>20353</v>
      </c>
      <c r="G42" s="149">
        <f>IFERROR(__xludf.DUMMYFUNCTION("""COMPUTED_VALUE"""),1992.0)</f>
        <v>1992</v>
      </c>
      <c r="H42" s="149">
        <f>IFERROR(__xludf.DUMMYFUNCTION("""COMPUTED_VALUE"""),23609.0)</f>
        <v>23609</v>
      </c>
      <c r="I42" s="149">
        <f>IFERROR(__xludf.DUMMYFUNCTION("""COMPUTED_VALUE"""),289.0)</f>
        <v>289</v>
      </c>
      <c r="J42" s="149">
        <f>IFERROR(__xludf.DUMMYFUNCTION("""COMPUTED_VALUE"""),324.0)</f>
        <v>324</v>
      </c>
      <c r="K42" s="149">
        <f>IFERROR(__xludf.DUMMYFUNCTION("""COMPUTED_VALUE"""),3142.0)</f>
        <v>3142</v>
      </c>
      <c r="L42" s="149">
        <f>IFERROR(__xludf.DUMMYFUNCTION("""COMPUTED_VALUE"""),1438.0)</f>
        <v>1438</v>
      </c>
      <c r="M42" s="149">
        <f>IFERROR(__xludf.DUMMYFUNCTION("""COMPUTED_VALUE"""),18500.0)</f>
        <v>18500</v>
      </c>
      <c r="N42" s="149">
        <f>IFERROR(__xludf.DUMMYFUNCTION("""COMPUTED_VALUE"""),21642.0)</f>
        <v>21642</v>
      </c>
      <c r="O42" s="149">
        <f>IFERROR(__xludf.DUMMYFUNCTION("""COMPUTED_VALUE"""),35.0)</f>
        <v>35</v>
      </c>
      <c r="P42" s="149">
        <f>IFERROR(__xludf.DUMMYFUNCTION("""COMPUTED_VALUE"""),426.0)</f>
        <v>426</v>
      </c>
      <c r="Q42" s="149">
        <f>IFERROR(__xludf.DUMMYFUNCTION("""COMPUTED_VALUE"""),13.0)</f>
        <v>13</v>
      </c>
      <c r="R42" s="149">
        <f>IFERROR(__xludf.DUMMYFUNCTION("""COMPUTED_VALUE"""),131.0)</f>
        <v>131</v>
      </c>
      <c r="S42" s="149">
        <f>IFERROR(__xludf.DUMMYFUNCTION("""COMPUTED_VALUE"""),5.0)</f>
        <v>5</v>
      </c>
      <c r="T42" s="149">
        <f>IFERROR(__xludf.DUMMYFUNCTION("""COMPUTED_VALUE"""),37.0)</f>
        <v>37</v>
      </c>
      <c r="U42" s="149">
        <f>IFERROR(__xludf.DUMMYFUNCTION("""COMPUTED_VALUE"""),258.0)</f>
        <v>258</v>
      </c>
      <c r="V42" s="149">
        <f>IFERROR(__xludf.DUMMYFUNCTION("""COMPUTED_VALUE"""),241.0)</f>
        <v>241</v>
      </c>
      <c r="W42" s="149">
        <f>IFERROR(__xludf.DUMMYFUNCTION("""COMPUTED_VALUE"""),59.0)</f>
        <v>59</v>
      </c>
      <c r="X42" s="149">
        <f>IFERROR(__xludf.DUMMYFUNCTION("""COMPUTED_VALUE"""),49.0)</f>
        <v>49</v>
      </c>
      <c r="Y42" s="149">
        <f>IFERROR(__xludf.DUMMYFUNCTION("""COMPUTED_VALUE"""),9.0)</f>
        <v>9</v>
      </c>
      <c r="Z42" s="149">
        <f>IFERROR(__xludf.DUMMYFUNCTION("""COMPUTED_VALUE"""),91.0)</f>
        <v>91</v>
      </c>
    </row>
    <row r="43">
      <c r="A43" s="187">
        <f>IFERROR(__xludf.DUMMYFUNCTION("""COMPUTED_VALUE"""),43934.0)</f>
        <v>43934</v>
      </c>
      <c r="B43" s="149">
        <f>IFERROR(__xludf.DUMMYFUNCTION("""COMPUTED_VALUE"""),162.0)</f>
        <v>162</v>
      </c>
      <c r="C43" s="149">
        <f>IFERROR(__xludf.DUMMYFUNCTION("""COMPUTED_VALUE"""),259.0)</f>
        <v>259</v>
      </c>
      <c r="D43" s="149">
        <f>IFERROR(__xludf.DUMMYFUNCTION("""COMPUTED_VALUE"""),3418.0)</f>
        <v>3418</v>
      </c>
      <c r="E43" s="149">
        <f>IFERROR(__xludf.DUMMYFUNCTION("""COMPUTED_VALUE"""),940.0)</f>
        <v>940</v>
      </c>
      <c r="F43" s="149">
        <f>IFERROR(__xludf.DUMMYFUNCTION("""COMPUTED_VALUE"""),21293.0)</f>
        <v>21293</v>
      </c>
      <c r="G43" s="149">
        <f>IFERROR(__xludf.DUMMYFUNCTION("""COMPUTED_VALUE"""),1102.0)</f>
        <v>1102</v>
      </c>
      <c r="H43" s="149">
        <f>IFERROR(__xludf.DUMMYFUNCTION("""COMPUTED_VALUE"""),24711.0)</f>
        <v>24711</v>
      </c>
      <c r="I43" s="149">
        <f>IFERROR(__xludf.DUMMYFUNCTION("""COMPUTED_VALUE"""),187.0)</f>
        <v>187</v>
      </c>
      <c r="J43" s="149">
        <f>IFERROR(__xludf.DUMMYFUNCTION("""COMPUTED_VALUE"""),252.0)</f>
        <v>252</v>
      </c>
      <c r="K43" s="149">
        <f>IFERROR(__xludf.DUMMYFUNCTION("""COMPUTED_VALUE"""),3329.0)</f>
        <v>3329</v>
      </c>
      <c r="L43" s="149">
        <f>IFERROR(__xludf.DUMMYFUNCTION("""COMPUTED_VALUE"""),838.0)</f>
        <v>838</v>
      </c>
      <c r="M43" s="149">
        <f>IFERROR(__xludf.DUMMYFUNCTION("""COMPUTED_VALUE"""),19338.0)</f>
        <v>19338</v>
      </c>
      <c r="N43" s="149">
        <f>IFERROR(__xludf.DUMMYFUNCTION("""COMPUTED_VALUE"""),22667.0)</f>
        <v>22667</v>
      </c>
      <c r="O43" s="149">
        <f>IFERROR(__xludf.DUMMYFUNCTION("""COMPUTED_VALUE"""),35.0)</f>
        <v>35</v>
      </c>
      <c r="P43" s="149">
        <f>IFERROR(__xludf.DUMMYFUNCTION("""COMPUTED_VALUE"""),461.0)</f>
        <v>461</v>
      </c>
      <c r="Q43" s="149">
        <f>IFERROR(__xludf.DUMMYFUNCTION("""COMPUTED_VALUE"""),13.0)</f>
        <v>13</v>
      </c>
      <c r="R43" s="149">
        <f>IFERROR(__xludf.DUMMYFUNCTION("""COMPUTED_VALUE"""),144.0)</f>
        <v>144</v>
      </c>
      <c r="S43" s="149">
        <f>IFERROR(__xludf.DUMMYFUNCTION("""COMPUTED_VALUE"""),3.0)</f>
        <v>3</v>
      </c>
      <c r="T43" s="149">
        <f>IFERROR(__xludf.DUMMYFUNCTION("""COMPUTED_VALUE"""),40.0)</f>
        <v>40</v>
      </c>
      <c r="U43" s="149">
        <f>IFERROR(__xludf.DUMMYFUNCTION("""COMPUTED_VALUE"""),277.0)</f>
        <v>277</v>
      </c>
      <c r="V43" s="149">
        <f>IFERROR(__xludf.DUMMYFUNCTION("""COMPUTED_VALUE"""),259.0)</f>
        <v>259</v>
      </c>
      <c r="W43" s="149">
        <f>IFERROR(__xludf.DUMMYFUNCTION("""COMPUTED_VALUE"""),64.0)</f>
        <v>64</v>
      </c>
      <c r="X43" s="149">
        <f>IFERROR(__xludf.DUMMYFUNCTION("""COMPUTED_VALUE"""),54.0)</f>
        <v>54</v>
      </c>
      <c r="Y43" s="149">
        <f>IFERROR(__xludf.DUMMYFUNCTION("""COMPUTED_VALUE"""),9.0)</f>
        <v>9</v>
      </c>
      <c r="Z43" s="149">
        <f>IFERROR(__xludf.DUMMYFUNCTION("""COMPUTED_VALUE"""),100.0)</f>
        <v>100</v>
      </c>
    </row>
    <row r="44">
      <c r="A44" s="187">
        <f>IFERROR(__xludf.DUMMYFUNCTION("""COMPUTED_VALUE"""),43935.0)</f>
        <v>43935</v>
      </c>
      <c r="B44" s="149">
        <f>IFERROR(__xludf.DUMMYFUNCTION("""COMPUTED_VALUE"""),290.0)</f>
        <v>290</v>
      </c>
      <c r="C44" s="149">
        <f>IFERROR(__xludf.DUMMYFUNCTION("""COMPUTED_VALUE"""),256.0)</f>
        <v>256</v>
      </c>
      <c r="D44" s="149">
        <f>IFERROR(__xludf.DUMMYFUNCTION("""COMPUTED_VALUE"""),3708.0)</f>
        <v>3708</v>
      </c>
      <c r="E44" s="149">
        <f>IFERROR(__xludf.DUMMYFUNCTION("""COMPUTED_VALUE"""),1805.0)</f>
        <v>1805</v>
      </c>
      <c r="F44" s="149">
        <f>IFERROR(__xludf.DUMMYFUNCTION("""COMPUTED_VALUE"""),23098.0)</f>
        <v>23098</v>
      </c>
      <c r="G44" s="149">
        <f>IFERROR(__xludf.DUMMYFUNCTION("""COMPUTED_VALUE"""),2095.0)</f>
        <v>2095</v>
      </c>
      <c r="H44" s="149">
        <f>IFERROR(__xludf.DUMMYFUNCTION("""COMPUTED_VALUE"""),26806.0)</f>
        <v>26806</v>
      </c>
      <c r="I44" s="149">
        <f>IFERROR(__xludf.DUMMYFUNCTION("""COMPUTED_VALUE"""),265.0)</f>
        <v>265</v>
      </c>
      <c r="J44" s="149">
        <f>IFERROR(__xludf.DUMMYFUNCTION("""COMPUTED_VALUE"""),247.0)</f>
        <v>247</v>
      </c>
      <c r="K44" s="149">
        <f>IFERROR(__xludf.DUMMYFUNCTION("""COMPUTED_VALUE"""),3594.0)</f>
        <v>3594</v>
      </c>
      <c r="L44" s="149">
        <f>IFERROR(__xludf.DUMMYFUNCTION("""COMPUTED_VALUE"""),1528.0)</f>
        <v>1528</v>
      </c>
      <c r="M44" s="149">
        <f>IFERROR(__xludf.DUMMYFUNCTION("""COMPUTED_VALUE"""),20866.0)</f>
        <v>20866</v>
      </c>
      <c r="N44" s="149">
        <f>IFERROR(__xludf.DUMMYFUNCTION("""COMPUTED_VALUE"""),24460.0)</f>
        <v>24460</v>
      </c>
      <c r="O44" s="149">
        <f>IFERROR(__xludf.DUMMYFUNCTION("""COMPUTED_VALUE"""),27.0)</f>
        <v>27</v>
      </c>
      <c r="P44" s="149">
        <f>IFERROR(__xludf.DUMMYFUNCTION("""COMPUTED_VALUE"""),488.0)</f>
        <v>488</v>
      </c>
      <c r="Q44" s="149">
        <f>IFERROR(__xludf.DUMMYFUNCTION("""COMPUTED_VALUE"""),17.0)</f>
        <v>17</v>
      </c>
      <c r="R44" s="149">
        <f>IFERROR(__xludf.DUMMYFUNCTION("""COMPUTED_VALUE"""),161.0)</f>
        <v>161</v>
      </c>
      <c r="S44" s="149">
        <f>IFERROR(__xludf.DUMMYFUNCTION("""COMPUTED_VALUE"""),5.0)</f>
        <v>5</v>
      </c>
      <c r="T44" s="149">
        <f>IFERROR(__xludf.DUMMYFUNCTION("""COMPUTED_VALUE"""),45.0)</f>
        <v>45</v>
      </c>
      <c r="U44" s="149">
        <f>IFERROR(__xludf.DUMMYFUNCTION("""COMPUTED_VALUE"""),282.0)</f>
        <v>282</v>
      </c>
      <c r="V44" s="149">
        <f>IFERROR(__xludf.DUMMYFUNCTION("""COMPUTED_VALUE"""),272.0)</f>
        <v>272</v>
      </c>
      <c r="W44" s="149">
        <f>IFERROR(__xludf.DUMMYFUNCTION("""COMPUTED_VALUE"""),72.0)</f>
        <v>72</v>
      </c>
      <c r="X44" s="149">
        <f>IFERROR(__xludf.DUMMYFUNCTION("""COMPUTED_VALUE"""),53.0)</f>
        <v>53</v>
      </c>
      <c r="Y44" s="149">
        <f>IFERROR(__xludf.DUMMYFUNCTION("""COMPUTED_VALUE"""),8.0)</f>
        <v>8</v>
      </c>
      <c r="Z44" s="149">
        <f>IFERROR(__xludf.DUMMYFUNCTION("""COMPUTED_VALUE"""),108.0)</f>
        <v>108</v>
      </c>
    </row>
    <row r="45">
      <c r="A45" s="187">
        <f>IFERROR(__xludf.DUMMYFUNCTION("""COMPUTED_VALUE"""),43936.0)</f>
        <v>43936</v>
      </c>
      <c r="B45" s="149">
        <f>IFERROR(__xludf.DUMMYFUNCTION("""COMPUTED_VALUE"""),353.0)</f>
        <v>353</v>
      </c>
      <c r="C45" s="149">
        <f>IFERROR(__xludf.DUMMYFUNCTION("""COMPUTED_VALUE"""),268.0)</f>
        <v>268</v>
      </c>
      <c r="D45" s="149">
        <f>IFERROR(__xludf.DUMMYFUNCTION("""COMPUTED_VALUE"""),4061.0)</f>
        <v>4061</v>
      </c>
      <c r="E45" s="149">
        <f>IFERROR(__xludf.DUMMYFUNCTION("""COMPUTED_VALUE"""),1805.0)</f>
        <v>1805</v>
      </c>
      <c r="F45" s="149">
        <f>IFERROR(__xludf.DUMMYFUNCTION("""COMPUTED_VALUE"""),24903.0)</f>
        <v>24903</v>
      </c>
      <c r="G45" s="149">
        <f>IFERROR(__xludf.DUMMYFUNCTION("""COMPUTED_VALUE"""),2158.0)</f>
        <v>2158</v>
      </c>
      <c r="H45" s="149">
        <f>IFERROR(__xludf.DUMMYFUNCTION("""COMPUTED_VALUE"""),28964.0)</f>
        <v>28964</v>
      </c>
      <c r="I45" s="149">
        <f>IFERROR(__xludf.DUMMYFUNCTION("""COMPUTED_VALUE"""),307.0)</f>
        <v>307</v>
      </c>
      <c r="J45" s="149">
        <f>IFERROR(__xludf.DUMMYFUNCTION("""COMPUTED_VALUE"""),253.0)</f>
        <v>253</v>
      </c>
      <c r="K45" s="149">
        <f>IFERROR(__xludf.DUMMYFUNCTION("""COMPUTED_VALUE"""),3901.0)</f>
        <v>3901</v>
      </c>
      <c r="L45" s="149">
        <f>IFERROR(__xludf.DUMMYFUNCTION("""COMPUTED_VALUE"""),1559.0)</f>
        <v>1559</v>
      </c>
      <c r="M45" s="149">
        <f>IFERROR(__xludf.DUMMYFUNCTION("""COMPUTED_VALUE"""),22425.0)</f>
        <v>22425</v>
      </c>
      <c r="N45" s="149">
        <f>IFERROR(__xludf.DUMMYFUNCTION("""COMPUTED_VALUE"""),26326.0)</f>
        <v>26326</v>
      </c>
      <c r="O45" s="149">
        <f>IFERROR(__xludf.DUMMYFUNCTION("""COMPUTED_VALUE"""),31.0)</f>
        <v>31</v>
      </c>
      <c r="P45" s="149">
        <f>IFERROR(__xludf.DUMMYFUNCTION("""COMPUTED_VALUE"""),519.0)</f>
        <v>519</v>
      </c>
      <c r="Q45" s="149">
        <f>IFERROR(__xludf.DUMMYFUNCTION("""COMPUTED_VALUE"""),20.0)</f>
        <v>20</v>
      </c>
      <c r="R45" s="149">
        <f>IFERROR(__xludf.DUMMYFUNCTION("""COMPUTED_VALUE"""),181.0)</f>
        <v>181</v>
      </c>
      <c r="S45" s="149">
        <f>IFERROR(__xludf.DUMMYFUNCTION("""COMPUTED_VALUE"""),3.0)</f>
        <v>3</v>
      </c>
      <c r="T45" s="149">
        <f>IFERROR(__xludf.DUMMYFUNCTION("""COMPUTED_VALUE"""),48.0)</f>
        <v>48</v>
      </c>
      <c r="U45" s="149">
        <f>IFERROR(__xludf.DUMMYFUNCTION("""COMPUTED_VALUE"""),290.0)</f>
        <v>290</v>
      </c>
      <c r="V45" s="149">
        <f>IFERROR(__xludf.DUMMYFUNCTION("""COMPUTED_VALUE"""),283.0)</f>
        <v>283</v>
      </c>
      <c r="W45" s="149">
        <f>IFERROR(__xludf.DUMMYFUNCTION("""COMPUTED_VALUE"""),72.0)</f>
        <v>72</v>
      </c>
      <c r="X45" s="149">
        <f>IFERROR(__xludf.DUMMYFUNCTION("""COMPUTED_VALUE"""),54.0)</f>
        <v>54</v>
      </c>
      <c r="Y45" s="149">
        <f>IFERROR(__xludf.DUMMYFUNCTION("""COMPUTED_VALUE"""),17.0)</f>
        <v>17</v>
      </c>
      <c r="Z45" s="149">
        <f>IFERROR(__xludf.DUMMYFUNCTION("""COMPUTED_VALUE"""),125.0)</f>
        <v>125</v>
      </c>
    </row>
    <row r="46">
      <c r="A46" s="187">
        <f>IFERROR(__xludf.DUMMYFUNCTION("""COMPUTED_VALUE"""),43937.0)</f>
        <v>43937</v>
      </c>
      <c r="B46" s="149">
        <f>IFERROR(__xludf.DUMMYFUNCTION("""COMPUTED_VALUE"""),449.0)</f>
        <v>449</v>
      </c>
      <c r="C46" s="149">
        <f>IFERROR(__xludf.DUMMYFUNCTION("""COMPUTED_VALUE"""),364.0)</f>
        <v>364</v>
      </c>
      <c r="D46" s="149">
        <f>IFERROR(__xludf.DUMMYFUNCTION("""COMPUTED_VALUE"""),4510.0)</f>
        <v>4510</v>
      </c>
      <c r="E46" s="149">
        <f>IFERROR(__xludf.DUMMYFUNCTION("""COMPUTED_VALUE"""),2503.0)</f>
        <v>2503</v>
      </c>
      <c r="F46" s="149">
        <f>IFERROR(__xludf.DUMMYFUNCTION("""COMPUTED_VALUE"""),27406.0)</f>
        <v>27406</v>
      </c>
      <c r="G46" s="149">
        <f>IFERROR(__xludf.DUMMYFUNCTION("""COMPUTED_VALUE"""),2952.0)</f>
        <v>2952</v>
      </c>
      <c r="H46" s="149">
        <f>IFERROR(__xludf.DUMMYFUNCTION("""COMPUTED_VALUE"""),31916.0)</f>
        <v>31916</v>
      </c>
      <c r="I46" s="149">
        <f>IFERROR(__xludf.DUMMYFUNCTION("""COMPUTED_VALUE"""),389.0)</f>
        <v>389</v>
      </c>
      <c r="J46" s="149">
        <f>IFERROR(__xludf.DUMMYFUNCTION("""COMPUTED_VALUE"""),320.0)</f>
        <v>320</v>
      </c>
      <c r="K46" s="149">
        <f>IFERROR(__xludf.DUMMYFUNCTION("""COMPUTED_VALUE"""),4290.0)</f>
        <v>4290</v>
      </c>
      <c r="L46" s="149">
        <f>IFERROR(__xludf.DUMMYFUNCTION("""COMPUTED_VALUE"""),2080.0)</f>
        <v>2080</v>
      </c>
      <c r="M46" s="149">
        <f>IFERROR(__xludf.DUMMYFUNCTION("""COMPUTED_VALUE"""),24505.0)</f>
        <v>24505</v>
      </c>
      <c r="N46" s="149">
        <f>IFERROR(__xludf.DUMMYFUNCTION("""COMPUTED_VALUE"""),28795.0)</f>
        <v>28795</v>
      </c>
      <c r="O46" s="149">
        <f>IFERROR(__xludf.DUMMYFUNCTION("""COMPUTED_VALUE"""),36.0)</f>
        <v>36</v>
      </c>
      <c r="P46" s="149">
        <f>IFERROR(__xludf.DUMMYFUNCTION("""COMPUTED_VALUE"""),555.0)</f>
        <v>555</v>
      </c>
      <c r="Q46" s="149">
        <f>IFERROR(__xludf.DUMMYFUNCTION("""COMPUTED_VALUE"""),25.0)</f>
        <v>25</v>
      </c>
      <c r="R46" s="149">
        <f>IFERROR(__xludf.DUMMYFUNCTION("""COMPUTED_VALUE"""),206.0)</f>
        <v>206</v>
      </c>
      <c r="S46" s="149">
        <f>IFERROR(__xludf.DUMMYFUNCTION("""COMPUTED_VALUE"""),6.0)</f>
        <v>6</v>
      </c>
      <c r="T46" s="149">
        <f>IFERROR(__xludf.DUMMYFUNCTION("""COMPUTED_VALUE"""),54.0)</f>
        <v>54</v>
      </c>
      <c r="U46" s="149">
        <f>IFERROR(__xludf.DUMMYFUNCTION("""COMPUTED_VALUE"""),295.0)</f>
        <v>295</v>
      </c>
      <c r="V46" s="149">
        <f>IFERROR(__xludf.DUMMYFUNCTION("""COMPUTED_VALUE"""),289.0)</f>
        <v>289</v>
      </c>
      <c r="W46" s="149">
        <f>IFERROR(__xludf.DUMMYFUNCTION("""COMPUTED_VALUE"""),72.0)</f>
        <v>72</v>
      </c>
      <c r="X46" s="149">
        <f>IFERROR(__xludf.DUMMYFUNCTION("""COMPUTED_VALUE"""),53.0)</f>
        <v>53</v>
      </c>
      <c r="Y46" s="149">
        <f>IFERROR(__xludf.DUMMYFUNCTION("""COMPUTED_VALUE"""),14.0)</f>
        <v>14</v>
      </c>
      <c r="Z46" s="149">
        <f>IFERROR(__xludf.DUMMYFUNCTION("""COMPUTED_VALUE"""),139.0)</f>
        <v>139</v>
      </c>
    </row>
    <row r="47">
      <c r="A47" s="187">
        <f>IFERROR(__xludf.DUMMYFUNCTION("""COMPUTED_VALUE"""),43938.0)</f>
        <v>43938</v>
      </c>
      <c r="B47" s="149">
        <f>IFERROR(__xludf.DUMMYFUNCTION("""COMPUTED_VALUE"""),309.0)</f>
        <v>309</v>
      </c>
      <c r="C47" s="149">
        <f>IFERROR(__xludf.DUMMYFUNCTION("""COMPUTED_VALUE"""),370.0)</f>
        <v>370</v>
      </c>
      <c r="D47" s="149">
        <f>IFERROR(__xludf.DUMMYFUNCTION("""COMPUTED_VALUE"""),4819.0)</f>
        <v>4819</v>
      </c>
      <c r="E47" s="149">
        <f>IFERROR(__xludf.DUMMYFUNCTION("""COMPUTED_VALUE"""),1826.0)</f>
        <v>1826</v>
      </c>
      <c r="F47" s="149">
        <f>IFERROR(__xludf.DUMMYFUNCTION("""COMPUTED_VALUE"""),29232.0)</f>
        <v>29232</v>
      </c>
      <c r="G47" s="149">
        <f>IFERROR(__xludf.DUMMYFUNCTION("""COMPUTED_VALUE"""),2135.0)</f>
        <v>2135</v>
      </c>
      <c r="H47" s="149">
        <f>IFERROR(__xludf.DUMMYFUNCTION("""COMPUTED_VALUE"""),34051.0)</f>
        <v>34051</v>
      </c>
      <c r="I47" s="149">
        <f>IFERROR(__xludf.DUMMYFUNCTION("""COMPUTED_VALUE"""),293.0)</f>
        <v>293</v>
      </c>
      <c r="J47" s="149">
        <f>IFERROR(__xludf.DUMMYFUNCTION("""COMPUTED_VALUE"""),330.0)</f>
        <v>330</v>
      </c>
      <c r="K47" s="149">
        <f>IFERROR(__xludf.DUMMYFUNCTION("""COMPUTED_VALUE"""),4583.0)</f>
        <v>4583</v>
      </c>
      <c r="L47" s="149">
        <f>IFERROR(__xludf.DUMMYFUNCTION("""COMPUTED_VALUE"""),1449.0)</f>
        <v>1449</v>
      </c>
      <c r="M47" s="149">
        <f>IFERROR(__xludf.DUMMYFUNCTION("""COMPUTED_VALUE"""),25954.0)</f>
        <v>25954</v>
      </c>
      <c r="N47" s="149">
        <f>IFERROR(__xludf.DUMMYFUNCTION("""COMPUTED_VALUE"""),30537.0)</f>
        <v>30537</v>
      </c>
      <c r="O47" s="149">
        <f>IFERROR(__xludf.DUMMYFUNCTION("""COMPUTED_VALUE"""),32.0)</f>
        <v>32</v>
      </c>
      <c r="P47" s="149">
        <f>IFERROR(__xludf.DUMMYFUNCTION("""COMPUTED_VALUE"""),587.0)</f>
        <v>587</v>
      </c>
      <c r="Q47" s="149">
        <f>IFERROR(__xludf.DUMMYFUNCTION("""COMPUTED_VALUE"""),20.0)</f>
        <v>20</v>
      </c>
      <c r="R47" s="149">
        <f>IFERROR(__xludf.DUMMYFUNCTION("""COMPUTED_VALUE"""),226.0)</f>
        <v>226</v>
      </c>
      <c r="S47" s="149">
        <f>IFERROR(__xludf.DUMMYFUNCTION("""COMPUTED_VALUE"""),7.0)</f>
        <v>7</v>
      </c>
      <c r="T47" s="149">
        <f>IFERROR(__xludf.DUMMYFUNCTION("""COMPUTED_VALUE"""),61.0)</f>
        <v>61</v>
      </c>
      <c r="U47" s="149">
        <f>IFERROR(__xludf.DUMMYFUNCTION("""COMPUTED_VALUE"""),300.0)</f>
        <v>300</v>
      </c>
      <c r="V47" s="149">
        <f>IFERROR(__xludf.DUMMYFUNCTION("""COMPUTED_VALUE"""),295.0)</f>
        <v>295</v>
      </c>
      <c r="W47" s="149">
        <f>IFERROR(__xludf.DUMMYFUNCTION("""COMPUTED_VALUE"""),66.0)</f>
        <v>66</v>
      </c>
      <c r="X47" s="149">
        <f>IFERROR(__xludf.DUMMYFUNCTION("""COMPUTED_VALUE"""),45.0)</f>
        <v>45</v>
      </c>
      <c r="Y47" s="149">
        <f>IFERROR(__xludf.DUMMYFUNCTION("""COMPUTED_VALUE"""),21.0)</f>
        <v>21</v>
      </c>
      <c r="Z47" s="149">
        <f>IFERROR(__xludf.DUMMYFUNCTION("""COMPUTED_VALUE"""),160.0)</f>
        <v>160</v>
      </c>
    </row>
    <row r="48">
      <c r="A48" s="187">
        <f>IFERROR(__xludf.DUMMYFUNCTION("""COMPUTED_VALUE"""),43939.0)</f>
        <v>43939</v>
      </c>
      <c r="B48" s="149">
        <f>IFERROR(__xludf.DUMMYFUNCTION("""COMPUTED_VALUE"""),323.0)</f>
        <v>323</v>
      </c>
      <c r="C48" s="149">
        <f>IFERROR(__xludf.DUMMYFUNCTION("""COMPUTED_VALUE"""),360.0)</f>
        <v>360</v>
      </c>
      <c r="D48" s="149">
        <f>IFERROR(__xludf.DUMMYFUNCTION("""COMPUTED_VALUE"""),5142.0)</f>
        <v>5142</v>
      </c>
      <c r="E48" s="149">
        <f>IFERROR(__xludf.DUMMYFUNCTION("""COMPUTED_VALUE"""),1730.0)</f>
        <v>1730</v>
      </c>
      <c r="F48" s="149">
        <f>IFERROR(__xludf.DUMMYFUNCTION("""COMPUTED_VALUE"""),30962.0)</f>
        <v>30962</v>
      </c>
      <c r="G48" s="149">
        <f>IFERROR(__xludf.DUMMYFUNCTION("""COMPUTED_VALUE"""),2053.0)</f>
        <v>2053</v>
      </c>
      <c r="H48" s="149">
        <f>IFERROR(__xludf.DUMMYFUNCTION("""COMPUTED_VALUE"""),36104.0)</f>
        <v>36104</v>
      </c>
      <c r="I48" s="149">
        <f>IFERROR(__xludf.DUMMYFUNCTION("""COMPUTED_VALUE"""),286.0)</f>
        <v>286</v>
      </c>
      <c r="J48" s="149">
        <f>IFERROR(__xludf.DUMMYFUNCTION("""COMPUTED_VALUE"""),323.0)</f>
        <v>323</v>
      </c>
      <c r="K48" s="149">
        <f>IFERROR(__xludf.DUMMYFUNCTION("""COMPUTED_VALUE"""),4869.0)</f>
        <v>4869</v>
      </c>
      <c r="L48" s="149">
        <f>IFERROR(__xludf.DUMMYFUNCTION("""COMPUTED_VALUE"""),1328.0)</f>
        <v>1328</v>
      </c>
      <c r="M48" s="149">
        <f>IFERROR(__xludf.DUMMYFUNCTION("""COMPUTED_VALUE"""),27282.0)</f>
        <v>27282</v>
      </c>
      <c r="N48" s="149">
        <f>IFERROR(__xludf.DUMMYFUNCTION("""COMPUTED_VALUE"""),32151.0)</f>
        <v>32151</v>
      </c>
      <c r="O48" s="149">
        <f>IFERROR(__xludf.DUMMYFUNCTION("""COMPUTED_VALUE"""),26.0)</f>
        <v>26</v>
      </c>
      <c r="P48" s="149">
        <f>IFERROR(__xludf.DUMMYFUNCTION("""COMPUTED_VALUE"""),613.0)</f>
        <v>613</v>
      </c>
      <c r="Q48" s="149">
        <f>IFERROR(__xludf.DUMMYFUNCTION("""COMPUTED_VALUE"""),18.0)</f>
        <v>18</v>
      </c>
      <c r="R48" s="149">
        <f>IFERROR(__xludf.DUMMYFUNCTION("""COMPUTED_VALUE"""),244.0)</f>
        <v>244</v>
      </c>
      <c r="S48" s="149">
        <f>IFERROR(__xludf.DUMMYFUNCTION("""COMPUTED_VALUE"""),4.0)</f>
        <v>4</v>
      </c>
      <c r="T48" s="149">
        <f>IFERROR(__xludf.DUMMYFUNCTION("""COMPUTED_VALUE"""),65.0)</f>
        <v>65</v>
      </c>
      <c r="U48" s="149">
        <f>IFERROR(__xludf.DUMMYFUNCTION("""COMPUTED_VALUE"""),304.0)</f>
        <v>304</v>
      </c>
      <c r="V48" s="149">
        <f>IFERROR(__xludf.DUMMYFUNCTION("""COMPUTED_VALUE"""),300.0)</f>
        <v>300</v>
      </c>
      <c r="W48" s="149">
        <f>IFERROR(__xludf.DUMMYFUNCTION("""COMPUTED_VALUE"""),63.0)</f>
        <v>63</v>
      </c>
      <c r="X48" s="149">
        <f>IFERROR(__xludf.DUMMYFUNCTION("""COMPUTED_VALUE"""),49.0)</f>
        <v>49</v>
      </c>
      <c r="Y48" s="149">
        <f>IFERROR(__xludf.DUMMYFUNCTION("""COMPUTED_VALUE"""),15.0)</f>
        <v>15</v>
      </c>
      <c r="Z48" s="149">
        <f>IFERROR(__xludf.DUMMYFUNCTION("""COMPUTED_VALUE"""),175.0)</f>
        <v>175</v>
      </c>
    </row>
    <row r="49">
      <c r="A49" s="187">
        <f>IFERROR(__xludf.DUMMYFUNCTION("""COMPUTED_VALUE"""),43940.0)</f>
        <v>43940</v>
      </c>
      <c r="B49" s="149">
        <f>IFERROR(__xludf.DUMMYFUNCTION("""COMPUTED_VALUE"""),383.0)</f>
        <v>383</v>
      </c>
      <c r="C49" s="149">
        <f>IFERROR(__xludf.DUMMYFUNCTION("""COMPUTED_VALUE"""),338.0)</f>
        <v>338</v>
      </c>
      <c r="D49" s="149">
        <f>IFERROR(__xludf.DUMMYFUNCTION("""COMPUTED_VALUE"""),5525.0)</f>
        <v>5525</v>
      </c>
      <c r="E49" s="149">
        <f>IFERROR(__xludf.DUMMYFUNCTION("""COMPUTED_VALUE"""),2060.0)</f>
        <v>2060</v>
      </c>
      <c r="F49" s="149">
        <f>IFERROR(__xludf.DUMMYFUNCTION("""COMPUTED_VALUE"""),33022.0)</f>
        <v>33022</v>
      </c>
      <c r="G49" s="149">
        <f>IFERROR(__xludf.DUMMYFUNCTION("""COMPUTED_VALUE"""),2443.0)</f>
        <v>2443</v>
      </c>
      <c r="H49" s="149">
        <f>IFERROR(__xludf.DUMMYFUNCTION("""COMPUTED_VALUE"""),38547.0)</f>
        <v>38547</v>
      </c>
      <c r="I49" s="149">
        <f>IFERROR(__xludf.DUMMYFUNCTION("""COMPUTED_VALUE"""),338.0)</f>
        <v>338</v>
      </c>
      <c r="J49" s="149">
        <f>IFERROR(__xludf.DUMMYFUNCTION("""COMPUTED_VALUE"""),306.0)</f>
        <v>306</v>
      </c>
      <c r="K49" s="149">
        <f>IFERROR(__xludf.DUMMYFUNCTION("""COMPUTED_VALUE"""),5207.0)</f>
        <v>5207</v>
      </c>
      <c r="L49" s="149">
        <f>IFERROR(__xludf.DUMMYFUNCTION("""COMPUTED_VALUE"""),1743.0)</f>
        <v>1743</v>
      </c>
      <c r="M49" s="149">
        <f>IFERROR(__xludf.DUMMYFUNCTION("""COMPUTED_VALUE"""),29025.0)</f>
        <v>29025</v>
      </c>
      <c r="N49" s="149">
        <f>IFERROR(__xludf.DUMMYFUNCTION("""COMPUTED_VALUE"""),34232.0)</f>
        <v>34232</v>
      </c>
      <c r="O49" s="149">
        <f>IFERROR(__xludf.DUMMYFUNCTION("""COMPUTED_VALUE"""),23.0)</f>
        <v>23</v>
      </c>
      <c r="P49" s="149">
        <f>IFERROR(__xludf.DUMMYFUNCTION("""COMPUTED_VALUE"""),636.0)</f>
        <v>636</v>
      </c>
      <c r="Q49" s="149">
        <f>IFERROR(__xludf.DUMMYFUNCTION("""COMPUTED_VALUE"""),26.0)</f>
        <v>26</v>
      </c>
      <c r="R49" s="149">
        <f>IFERROR(__xludf.DUMMYFUNCTION("""COMPUTED_VALUE"""),270.0)</f>
        <v>270</v>
      </c>
      <c r="S49" s="149">
        <f>IFERROR(__xludf.DUMMYFUNCTION("""COMPUTED_VALUE"""),1.0)</f>
        <v>1</v>
      </c>
      <c r="T49" s="149">
        <f>IFERROR(__xludf.DUMMYFUNCTION("""COMPUTED_VALUE"""),66.0)</f>
        <v>66</v>
      </c>
      <c r="U49" s="149">
        <f>IFERROR(__xludf.DUMMYFUNCTION("""COMPUTED_VALUE"""),300.0)</f>
        <v>300</v>
      </c>
      <c r="V49" s="149">
        <f>IFERROR(__xludf.DUMMYFUNCTION("""COMPUTED_VALUE"""),301.0)</f>
        <v>301</v>
      </c>
      <c r="W49" s="149">
        <f>IFERROR(__xludf.DUMMYFUNCTION("""COMPUTED_VALUE"""),65.0)</f>
        <v>65</v>
      </c>
      <c r="X49" s="149">
        <f>IFERROR(__xludf.DUMMYFUNCTION("""COMPUTED_VALUE"""),55.0)</f>
        <v>55</v>
      </c>
      <c r="Y49" s="149">
        <f>IFERROR(__xludf.DUMMYFUNCTION("""COMPUTED_VALUE"""),11.0)</f>
        <v>11</v>
      </c>
      <c r="Z49" s="149">
        <f>IFERROR(__xludf.DUMMYFUNCTION("""COMPUTED_VALUE"""),186.0)</f>
        <v>186</v>
      </c>
    </row>
    <row r="50">
      <c r="A50" s="187">
        <f>IFERROR(__xludf.DUMMYFUNCTION("""COMPUTED_VALUE"""),43941.0)</f>
        <v>43941</v>
      </c>
      <c r="B50" s="149">
        <f>IFERROR(__xludf.DUMMYFUNCTION("""COMPUTED_VALUE"""),396.0)</f>
        <v>396</v>
      </c>
      <c r="C50" s="149">
        <f>IFERROR(__xludf.DUMMYFUNCTION("""COMPUTED_VALUE"""),367.0)</f>
        <v>367</v>
      </c>
      <c r="D50" s="149">
        <f>IFERROR(__xludf.DUMMYFUNCTION("""COMPUTED_VALUE"""),5921.0)</f>
        <v>5921</v>
      </c>
      <c r="E50" s="149">
        <f>IFERROR(__xludf.DUMMYFUNCTION("""COMPUTED_VALUE"""),1909.0)</f>
        <v>1909</v>
      </c>
      <c r="F50" s="149">
        <f>IFERROR(__xludf.DUMMYFUNCTION("""COMPUTED_VALUE"""),34931.0)</f>
        <v>34931</v>
      </c>
      <c r="G50" s="149">
        <f>IFERROR(__xludf.DUMMYFUNCTION("""COMPUTED_VALUE"""),2305.0)</f>
        <v>2305</v>
      </c>
      <c r="H50" s="149">
        <f>IFERROR(__xludf.DUMMYFUNCTION("""COMPUTED_VALUE"""),40852.0)</f>
        <v>40852</v>
      </c>
      <c r="I50" s="149">
        <f>IFERROR(__xludf.DUMMYFUNCTION("""COMPUTED_VALUE"""),377.0)</f>
        <v>377</v>
      </c>
      <c r="J50" s="149">
        <f>IFERROR(__xludf.DUMMYFUNCTION("""COMPUTED_VALUE"""),334.0)</f>
        <v>334</v>
      </c>
      <c r="K50" s="149">
        <f>IFERROR(__xludf.DUMMYFUNCTION("""COMPUTED_VALUE"""),5584.0)</f>
        <v>5584</v>
      </c>
      <c r="L50" s="149">
        <f>IFERROR(__xludf.DUMMYFUNCTION("""COMPUTED_VALUE"""),1574.0)</f>
        <v>1574</v>
      </c>
      <c r="M50" s="149">
        <f>IFERROR(__xludf.DUMMYFUNCTION("""COMPUTED_VALUE"""),30599.0)</f>
        <v>30599</v>
      </c>
      <c r="N50" s="149">
        <f>IFERROR(__xludf.DUMMYFUNCTION("""COMPUTED_VALUE"""),36183.0)</f>
        <v>36183</v>
      </c>
      <c r="O50" s="149">
        <f>IFERROR(__xludf.DUMMYFUNCTION("""COMPUTED_VALUE"""),46.0)</f>
        <v>46</v>
      </c>
      <c r="P50" s="149">
        <f>IFERROR(__xludf.DUMMYFUNCTION("""COMPUTED_VALUE"""),682.0)</f>
        <v>682</v>
      </c>
      <c r="Q50" s="149">
        <f>IFERROR(__xludf.DUMMYFUNCTION("""COMPUTED_VALUE"""),29.0)</f>
        <v>29</v>
      </c>
      <c r="R50" s="149">
        <f>IFERROR(__xludf.DUMMYFUNCTION("""COMPUTED_VALUE"""),299.0)</f>
        <v>299</v>
      </c>
      <c r="S50" s="149">
        <f>IFERROR(__xludf.DUMMYFUNCTION("""COMPUTED_VALUE"""),2.0)</f>
        <v>2</v>
      </c>
      <c r="T50" s="149">
        <f>IFERROR(__xludf.DUMMYFUNCTION("""COMPUTED_VALUE"""),68.0)</f>
        <v>68</v>
      </c>
      <c r="U50" s="149">
        <f>IFERROR(__xludf.DUMMYFUNCTION("""COMPUTED_VALUE"""),315.0)</f>
        <v>315</v>
      </c>
      <c r="V50" s="149">
        <f>IFERROR(__xludf.DUMMYFUNCTION("""COMPUTED_VALUE"""),306.0)</f>
        <v>306</v>
      </c>
      <c r="W50" s="149">
        <f>IFERROR(__xludf.DUMMYFUNCTION("""COMPUTED_VALUE"""),75.0)</f>
        <v>75</v>
      </c>
      <c r="X50" s="149">
        <f>IFERROR(__xludf.DUMMYFUNCTION("""COMPUTED_VALUE"""),56.0)</f>
        <v>56</v>
      </c>
      <c r="Y50" s="149">
        <f>IFERROR(__xludf.DUMMYFUNCTION("""COMPUTED_VALUE"""),10.0)</f>
        <v>10</v>
      </c>
      <c r="Z50" s="149">
        <f>IFERROR(__xludf.DUMMYFUNCTION("""COMPUTED_VALUE"""),196.0)</f>
        <v>196</v>
      </c>
    </row>
    <row r="51">
      <c r="A51" s="187">
        <f>IFERROR(__xludf.DUMMYFUNCTION("""COMPUTED_VALUE"""),43942.0)</f>
        <v>43942</v>
      </c>
      <c r="B51" s="149">
        <f>IFERROR(__xludf.DUMMYFUNCTION("""COMPUTED_VALUE"""),445.0)</f>
        <v>445</v>
      </c>
      <c r="C51" s="149">
        <f>IFERROR(__xludf.DUMMYFUNCTION("""COMPUTED_VALUE"""),408.0)</f>
        <v>408</v>
      </c>
      <c r="D51" s="149">
        <f>IFERROR(__xludf.DUMMYFUNCTION("""COMPUTED_VALUE"""),6366.0)</f>
        <v>6366</v>
      </c>
      <c r="E51" s="149">
        <f>IFERROR(__xludf.DUMMYFUNCTION("""COMPUTED_VALUE"""),2117.0)</f>
        <v>2117</v>
      </c>
      <c r="F51" s="149">
        <f>IFERROR(__xludf.DUMMYFUNCTION("""COMPUTED_VALUE"""),37048.0)</f>
        <v>37048</v>
      </c>
      <c r="G51" s="149">
        <f>IFERROR(__xludf.DUMMYFUNCTION("""COMPUTED_VALUE"""),2562.0)</f>
        <v>2562</v>
      </c>
      <c r="H51" s="149">
        <f>IFERROR(__xludf.DUMMYFUNCTION("""COMPUTED_VALUE"""),43414.0)</f>
        <v>43414</v>
      </c>
      <c r="I51" s="149">
        <f>IFERROR(__xludf.DUMMYFUNCTION("""COMPUTED_VALUE"""),391.0)</f>
        <v>391</v>
      </c>
      <c r="J51" s="149">
        <f>IFERROR(__xludf.DUMMYFUNCTION("""COMPUTED_VALUE"""),369.0)</f>
        <v>369</v>
      </c>
      <c r="K51" s="149">
        <f>IFERROR(__xludf.DUMMYFUNCTION("""COMPUTED_VALUE"""),5975.0)</f>
        <v>5975</v>
      </c>
      <c r="L51" s="149">
        <f>IFERROR(__xludf.DUMMYFUNCTION("""COMPUTED_VALUE"""),1715.0)</f>
        <v>1715</v>
      </c>
      <c r="M51" s="149">
        <f>IFERROR(__xludf.DUMMYFUNCTION("""COMPUTED_VALUE"""),32314.0)</f>
        <v>32314</v>
      </c>
      <c r="N51" s="149">
        <f>IFERROR(__xludf.DUMMYFUNCTION("""COMPUTED_VALUE"""),38289.0)</f>
        <v>38289</v>
      </c>
      <c r="O51" s="149">
        <f>IFERROR(__xludf.DUMMYFUNCTION("""COMPUTED_VALUE"""),45.0)</f>
        <v>45</v>
      </c>
      <c r="P51" s="149">
        <f>IFERROR(__xludf.DUMMYFUNCTION("""COMPUTED_VALUE"""),727.0)</f>
        <v>727</v>
      </c>
      <c r="Q51" s="149">
        <f>IFERROR(__xludf.DUMMYFUNCTION("""COMPUTED_VALUE"""),31.0)</f>
        <v>31</v>
      </c>
      <c r="R51" s="149">
        <f>IFERROR(__xludf.DUMMYFUNCTION("""COMPUTED_VALUE"""),330.0)</f>
        <v>330</v>
      </c>
      <c r="S51" s="149">
        <f>IFERROR(__xludf.DUMMYFUNCTION("""COMPUTED_VALUE"""),5.0)</f>
        <v>5</v>
      </c>
      <c r="T51" s="149">
        <f>IFERROR(__xludf.DUMMYFUNCTION("""COMPUTED_VALUE"""),73.0)</f>
        <v>73</v>
      </c>
      <c r="U51" s="149">
        <f>IFERROR(__xludf.DUMMYFUNCTION("""COMPUTED_VALUE"""),324.0)</f>
        <v>324</v>
      </c>
      <c r="V51" s="149">
        <f>IFERROR(__xludf.DUMMYFUNCTION("""COMPUTED_VALUE"""),313.0)</f>
        <v>313</v>
      </c>
      <c r="W51" s="149">
        <f>IFERROR(__xludf.DUMMYFUNCTION("""COMPUTED_VALUE"""),72.0)</f>
        <v>72</v>
      </c>
      <c r="X51" s="149">
        <f>IFERROR(__xludf.DUMMYFUNCTION("""COMPUTED_VALUE"""),56.0)</f>
        <v>56</v>
      </c>
      <c r="Y51" s="149">
        <f>IFERROR(__xludf.DUMMYFUNCTION("""COMPUTED_VALUE"""),18.0)</f>
        <v>18</v>
      </c>
      <c r="Z51" s="149">
        <f>IFERROR(__xludf.DUMMYFUNCTION("""COMPUTED_VALUE"""),214.0)</f>
        <v>214</v>
      </c>
    </row>
    <row r="52">
      <c r="A52" s="187">
        <f>IFERROR(__xludf.DUMMYFUNCTION("""COMPUTED_VALUE"""),43943.0)</f>
        <v>43943</v>
      </c>
      <c r="B52" s="149">
        <f>IFERROR(__xludf.DUMMYFUNCTION("""COMPUTED_VALUE"""),421.0)</f>
        <v>421</v>
      </c>
      <c r="C52" s="149">
        <f>IFERROR(__xludf.DUMMYFUNCTION("""COMPUTED_VALUE"""),421.0)</f>
        <v>421</v>
      </c>
      <c r="D52" s="149">
        <f>IFERROR(__xludf.DUMMYFUNCTION("""COMPUTED_VALUE"""),6787.0)</f>
        <v>6787</v>
      </c>
      <c r="E52" s="149">
        <f>IFERROR(__xludf.DUMMYFUNCTION("""COMPUTED_VALUE"""),2401.0)</f>
        <v>2401</v>
      </c>
      <c r="F52" s="149">
        <f>IFERROR(__xludf.DUMMYFUNCTION("""COMPUTED_VALUE"""),39449.0)</f>
        <v>39449</v>
      </c>
      <c r="G52" s="149">
        <f>IFERROR(__xludf.DUMMYFUNCTION("""COMPUTED_VALUE"""),2822.0)</f>
        <v>2822</v>
      </c>
      <c r="H52" s="149">
        <f>IFERROR(__xludf.DUMMYFUNCTION("""COMPUTED_VALUE"""),46236.0)</f>
        <v>46236</v>
      </c>
      <c r="I52" s="149">
        <f>IFERROR(__xludf.DUMMYFUNCTION("""COMPUTED_VALUE"""),385.0)</f>
        <v>385</v>
      </c>
      <c r="J52" s="149">
        <f>IFERROR(__xludf.DUMMYFUNCTION("""COMPUTED_VALUE"""),384.0)</f>
        <v>384</v>
      </c>
      <c r="K52" s="149">
        <f>IFERROR(__xludf.DUMMYFUNCTION("""COMPUTED_VALUE"""),6360.0)</f>
        <v>6360</v>
      </c>
      <c r="L52" s="149">
        <f>IFERROR(__xludf.DUMMYFUNCTION("""COMPUTED_VALUE"""),1916.0)</f>
        <v>1916</v>
      </c>
      <c r="M52" s="149">
        <f>IFERROR(__xludf.DUMMYFUNCTION("""COMPUTED_VALUE"""),34230.0)</f>
        <v>34230</v>
      </c>
      <c r="N52" s="149">
        <f>IFERROR(__xludf.DUMMYFUNCTION("""COMPUTED_VALUE"""),40590.0)</f>
        <v>40590</v>
      </c>
      <c r="O52" s="149">
        <f>IFERROR(__xludf.DUMMYFUNCTION("""COMPUTED_VALUE"""),41.0)</f>
        <v>41</v>
      </c>
      <c r="P52" s="149">
        <f>IFERROR(__xludf.DUMMYFUNCTION("""COMPUTED_VALUE"""),768.0)</f>
        <v>768</v>
      </c>
      <c r="Q52" s="149">
        <f>IFERROR(__xludf.DUMMYFUNCTION("""COMPUTED_VALUE"""),32.0)</f>
        <v>32</v>
      </c>
      <c r="R52" s="149">
        <f>IFERROR(__xludf.DUMMYFUNCTION("""COMPUTED_VALUE"""),362.0)</f>
        <v>362</v>
      </c>
      <c r="S52" s="149">
        <f>IFERROR(__xludf.DUMMYFUNCTION("""COMPUTED_VALUE"""),5.0)</f>
        <v>5</v>
      </c>
      <c r="T52" s="149">
        <f>IFERROR(__xludf.DUMMYFUNCTION("""COMPUTED_VALUE"""),78.0)</f>
        <v>78</v>
      </c>
      <c r="U52" s="149">
        <f>IFERROR(__xludf.DUMMYFUNCTION("""COMPUTED_VALUE"""),328.0)</f>
        <v>328</v>
      </c>
      <c r="V52" s="149">
        <f>IFERROR(__xludf.DUMMYFUNCTION("""COMPUTED_VALUE"""),322.0)</f>
        <v>322</v>
      </c>
      <c r="W52" s="149">
        <f>IFERROR(__xludf.DUMMYFUNCTION("""COMPUTED_VALUE"""),73.0)</f>
        <v>73</v>
      </c>
      <c r="X52" s="149">
        <f>IFERROR(__xludf.DUMMYFUNCTION("""COMPUTED_VALUE"""),58.0)</f>
        <v>58</v>
      </c>
      <c r="Y52" s="149">
        <f>IFERROR(__xludf.DUMMYFUNCTION("""COMPUTED_VALUE"""),18.0)</f>
        <v>18</v>
      </c>
      <c r="Z52" s="149">
        <f>IFERROR(__xludf.DUMMYFUNCTION("""COMPUTED_VALUE"""),232.0)</f>
        <v>232</v>
      </c>
    </row>
    <row r="53">
      <c r="A53" s="187">
        <f>IFERROR(__xludf.DUMMYFUNCTION("""COMPUTED_VALUE"""),43944.0)</f>
        <v>43944</v>
      </c>
      <c r="B53" s="149">
        <f>IFERROR(__xludf.DUMMYFUNCTION("""COMPUTED_VALUE"""),482.0)</f>
        <v>482</v>
      </c>
      <c r="C53" s="149">
        <f>IFERROR(__xludf.DUMMYFUNCTION("""COMPUTED_VALUE"""),449.0)</f>
        <v>449</v>
      </c>
      <c r="D53" s="149">
        <f>IFERROR(__xludf.DUMMYFUNCTION("""COMPUTED_VALUE"""),7269.0)</f>
        <v>7269</v>
      </c>
      <c r="E53" s="149">
        <f>IFERROR(__xludf.DUMMYFUNCTION("""COMPUTED_VALUE"""),2473.0)</f>
        <v>2473</v>
      </c>
      <c r="F53" s="149">
        <f>IFERROR(__xludf.DUMMYFUNCTION("""COMPUTED_VALUE"""),41922.0)</f>
        <v>41922</v>
      </c>
      <c r="G53" s="149">
        <f>IFERROR(__xludf.DUMMYFUNCTION("""COMPUTED_VALUE"""),2955.0)</f>
        <v>2955</v>
      </c>
      <c r="H53" s="149">
        <f>IFERROR(__xludf.DUMMYFUNCTION("""COMPUTED_VALUE"""),49191.0)</f>
        <v>49191</v>
      </c>
      <c r="I53" s="149">
        <f>IFERROR(__xludf.DUMMYFUNCTION("""COMPUTED_VALUE"""),420.0)</f>
        <v>420</v>
      </c>
      <c r="J53" s="149">
        <f>IFERROR(__xludf.DUMMYFUNCTION("""COMPUTED_VALUE"""),399.0)</f>
        <v>399</v>
      </c>
      <c r="K53" s="149">
        <f>IFERROR(__xludf.DUMMYFUNCTION("""COMPUTED_VALUE"""),6780.0)</f>
        <v>6780</v>
      </c>
      <c r="L53" s="149">
        <f>IFERROR(__xludf.DUMMYFUNCTION("""COMPUTED_VALUE"""),1861.0)</f>
        <v>1861</v>
      </c>
      <c r="M53" s="149">
        <f>IFERROR(__xludf.DUMMYFUNCTION("""COMPUTED_VALUE"""),36091.0)</f>
        <v>36091</v>
      </c>
      <c r="N53" s="149">
        <f>IFERROR(__xludf.DUMMYFUNCTION("""COMPUTED_VALUE"""),42871.0)</f>
        <v>42871</v>
      </c>
      <c r="O53" s="149">
        <f>IFERROR(__xludf.DUMMYFUNCTION("""COMPUTED_VALUE"""),32.0)</f>
        <v>32</v>
      </c>
      <c r="P53" s="149">
        <f>IFERROR(__xludf.DUMMYFUNCTION("""COMPUTED_VALUE"""),800.0)</f>
        <v>800</v>
      </c>
      <c r="Q53" s="149">
        <f>IFERROR(__xludf.DUMMYFUNCTION("""COMPUTED_VALUE"""),28.0)</f>
        <v>28</v>
      </c>
      <c r="R53" s="149">
        <f>IFERROR(__xludf.DUMMYFUNCTION("""COMPUTED_VALUE"""),390.0)</f>
        <v>390</v>
      </c>
      <c r="S53" s="149">
        <f>IFERROR(__xludf.DUMMYFUNCTION("""COMPUTED_VALUE"""),5.0)</f>
        <v>5</v>
      </c>
      <c r="T53" s="149">
        <f>IFERROR(__xludf.DUMMYFUNCTION("""COMPUTED_VALUE"""),83.0)</f>
        <v>83</v>
      </c>
      <c r="U53" s="149">
        <f>IFERROR(__xludf.DUMMYFUNCTION("""COMPUTED_VALUE"""),327.0)</f>
        <v>327</v>
      </c>
      <c r="V53" s="149">
        <f>IFERROR(__xludf.DUMMYFUNCTION("""COMPUTED_VALUE"""),326.0)</f>
        <v>326</v>
      </c>
      <c r="W53" s="149">
        <f>IFERROR(__xludf.DUMMYFUNCTION("""COMPUTED_VALUE"""),76.0)</f>
        <v>76</v>
      </c>
      <c r="X53" s="149">
        <f>IFERROR(__xludf.DUMMYFUNCTION("""COMPUTED_VALUE"""),62.0)</f>
        <v>62</v>
      </c>
      <c r="Y53" s="149">
        <f>IFERROR(__xludf.DUMMYFUNCTION("""COMPUTED_VALUE"""),15.0)</f>
        <v>15</v>
      </c>
      <c r="Z53" s="149">
        <f>IFERROR(__xludf.DUMMYFUNCTION("""COMPUTED_VALUE"""),247.0)</f>
        <v>247</v>
      </c>
    </row>
    <row r="54">
      <c r="A54" s="187">
        <f>IFERROR(__xludf.DUMMYFUNCTION("""COMPUTED_VALUE"""),43945.0)</f>
        <v>43945</v>
      </c>
      <c r="B54" s="149">
        <f>IFERROR(__xludf.DUMMYFUNCTION("""COMPUTED_VALUE"""),494.0)</f>
        <v>494</v>
      </c>
      <c r="C54" s="149">
        <f>IFERROR(__xludf.DUMMYFUNCTION("""COMPUTED_VALUE"""),466.0)</f>
        <v>466</v>
      </c>
      <c r="D54" s="149">
        <f>IFERROR(__xludf.DUMMYFUNCTION("""COMPUTED_VALUE"""),7763.0)</f>
        <v>7763</v>
      </c>
      <c r="E54" s="149">
        <f>IFERROR(__xludf.DUMMYFUNCTION("""COMPUTED_VALUE"""),3294.0)</f>
        <v>3294</v>
      </c>
      <c r="F54" s="149">
        <f>IFERROR(__xludf.DUMMYFUNCTION("""COMPUTED_VALUE"""),45216.0)</f>
        <v>45216</v>
      </c>
      <c r="G54" s="149">
        <f>IFERROR(__xludf.DUMMYFUNCTION("""COMPUTED_VALUE"""),3788.0)</f>
        <v>3788</v>
      </c>
      <c r="H54" s="149">
        <f>IFERROR(__xludf.DUMMYFUNCTION("""COMPUTED_VALUE"""),52979.0)</f>
        <v>52979</v>
      </c>
      <c r="I54" s="149">
        <f>IFERROR(__xludf.DUMMYFUNCTION("""COMPUTED_VALUE"""),416.0)</f>
        <v>416</v>
      </c>
      <c r="J54" s="149">
        <f>IFERROR(__xludf.DUMMYFUNCTION("""COMPUTED_VALUE"""),407.0)</f>
        <v>407</v>
      </c>
      <c r="K54" s="149">
        <f>IFERROR(__xludf.DUMMYFUNCTION("""COMPUTED_VALUE"""),7196.0)</f>
        <v>7196</v>
      </c>
      <c r="L54" s="149">
        <f>IFERROR(__xludf.DUMMYFUNCTION("""COMPUTED_VALUE"""),2629.0)</f>
        <v>2629</v>
      </c>
      <c r="M54" s="149">
        <f>IFERROR(__xludf.DUMMYFUNCTION("""COMPUTED_VALUE"""),38720.0)</f>
        <v>38720</v>
      </c>
      <c r="N54" s="149">
        <f>IFERROR(__xludf.DUMMYFUNCTION("""COMPUTED_VALUE"""),45916.0)</f>
        <v>45916</v>
      </c>
      <c r="O54" s="149">
        <f>IFERROR(__xludf.DUMMYFUNCTION("""COMPUTED_VALUE"""),35.0)</f>
        <v>35</v>
      </c>
      <c r="P54" s="149">
        <f>IFERROR(__xludf.DUMMYFUNCTION("""COMPUTED_VALUE"""),835.0)</f>
        <v>835</v>
      </c>
      <c r="Q54" s="149">
        <f>IFERROR(__xludf.DUMMYFUNCTION("""COMPUTED_VALUE"""),27.0)</f>
        <v>27</v>
      </c>
      <c r="R54" s="149">
        <f>IFERROR(__xludf.DUMMYFUNCTION("""COMPUTED_VALUE"""),417.0)</f>
        <v>417</v>
      </c>
      <c r="S54" s="149">
        <f>IFERROR(__xludf.DUMMYFUNCTION("""COMPUTED_VALUE"""),4.0)</f>
        <v>4</v>
      </c>
      <c r="T54" s="149">
        <f>IFERROR(__xludf.DUMMYFUNCTION("""COMPUTED_VALUE"""),87.0)</f>
        <v>87</v>
      </c>
      <c r="U54" s="149">
        <f>IFERROR(__xludf.DUMMYFUNCTION("""COMPUTED_VALUE"""),331.0)</f>
        <v>331</v>
      </c>
      <c r="V54" s="149">
        <f>IFERROR(__xludf.DUMMYFUNCTION("""COMPUTED_VALUE"""),329.0)</f>
        <v>329</v>
      </c>
      <c r="W54" s="149">
        <f>IFERROR(__xludf.DUMMYFUNCTION("""COMPUTED_VALUE"""),85.0)</f>
        <v>85</v>
      </c>
      <c r="X54" s="149">
        <f>IFERROR(__xludf.DUMMYFUNCTION("""COMPUTED_VALUE"""),63.0)</f>
        <v>63</v>
      </c>
      <c r="Y54" s="149">
        <f>IFERROR(__xludf.DUMMYFUNCTION("""COMPUTED_VALUE"""),15.0)</f>
        <v>15</v>
      </c>
      <c r="Z54" s="149">
        <f>IFERROR(__xludf.DUMMYFUNCTION("""COMPUTED_VALUE"""),262.0)</f>
        <v>262</v>
      </c>
    </row>
    <row r="55">
      <c r="A55" s="187">
        <f>IFERROR(__xludf.DUMMYFUNCTION("""COMPUTED_VALUE"""),43946.0)</f>
        <v>43946</v>
      </c>
      <c r="B55" s="149">
        <f>IFERROR(__xludf.DUMMYFUNCTION("""COMPUTED_VALUE"""),395.0)</f>
        <v>395</v>
      </c>
      <c r="C55" s="149">
        <f>IFERROR(__xludf.DUMMYFUNCTION("""COMPUTED_VALUE"""),457.0)</f>
        <v>457</v>
      </c>
      <c r="D55" s="149">
        <f>IFERROR(__xludf.DUMMYFUNCTION("""COMPUTED_VALUE"""),8158.0)</f>
        <v>8158</v>
      </c>
      <c r="E55" s="149">
        <f>IFERROR(__xludf.DUMMYFUNCTION("""COMPUTED_VALUE"""),2210.0)</f>
        <v>2210</v>
      </c>
      <c r="F55" s="149">
        <f>IFERROR(__xludf.DUMMYFUNCTION("""COMPUTED_VALUE"""),47426.0)</f>
        <v>47426</v>
      </c>
      <c r="G55" s="149">
        <f>IFERROR(__xludf.DUMMYFUNCTION("""COMPUTED_VALUE"""),2605.0)</f>
        <v>2605</v>
      </c>
      <c r="H55" s="149">
        <f>IFERROR(__xludf.DUMMYFUNCTION("""COMPUTED_VALUE"""),55584.0)</f>
        <v>55584</v>
      </c>
      <c r="I55" s="149">
        <f>IFERROR(__xludf.DUMMYFUNCTION("""COMPUTED_VALUE"""),304.0)</f>
        <v>304</v>
      </c>
      <c r="J55" s="149">
        <f>IFERROR(__xludf.DUMMYFUNCTION("""COMPUTED_VALUE"""),380.0)</f>
        <v>380</v>
      </c>
      <c r="K55" s="149">
        <f>IFERROR(__xludf.DUMMYFUNCTION("""COMPUTED_VALUE"""),7500.0)</f>
        <v>7500</v>
      </c>
      <c r="L55" s="149">
        <f>IFERROR(__xludf.DUMMYFUNCTION("""COMPUTED_VALUE"""),1774.0)</f>
        <v>1774</v>
      </c>
      <c r="M55" s="149">
        <f>IFERROR(__xludf.DUMMYFUNCTION("""COMPUTED_VALUE"""),40494.0)</f>
        <v>40494</v>
      </c>
      <c r="N55" s="149">
        <f>IFERROR(__xludf.DUMMYFUNCTION("""COMPUTED_VALUE"""),47994.0)</f>
        <v>47994</v>
      </c>
      <c r="O55" s="149">
        <f>IFERROR(__xludf.DUMMYFUNCTION("""COMPUTED_VALUE"""),34.0)</f>
        <v>34</v>
      </c>
      <c r="P55" s="149">
        <f>IFERROR(__xludf.DUMMYFUNCTION("""COMPUTED_VALUE"""),869.0)</f>
        <v>869</v>
      </c>
      <c r="Q55" s="149">
        <f>IFERROR(__xludf.DUMMYFUNCTION("""COMPUTED_VALUE"""),17.0)</f>
        <v>17</v>
      </c>
      <c r="R55" s="149">
        <f>IFERROR(__xludf.DUMMYFUNCTION("""COMPUTED_VALUE"""),434.0)</f>
        <v>434</v>
      </c>
      <c r="S55" s="149">
        <f>IFERROR(__xludf.DUMMYFUNCTION("""COMPUTED_VALUE"""),5.0)</f>
        <v>5</v>
      </c>
      <c r="T55" s="149">
        <f>IFERROR(__xludf.DUMMYFUNCTION("""COMPUTED_VALUE"""),92.0)</f>
        <v>92</v>
      </c>
      <c r="U55" s="149">
        <f>IFERROR(__xludf.DUMMYFUNCTION("""COMPUTED_VALUE"""),343.0)</f>
        <v>343</v>
      </c>
      <c r="V55" s="149">
        <f>IFERROR(__xludf.DUMMYFUNCTION("""COMPUTED_VALUE"""),334.0)</f>
        <v>334</v>
      </c>
      <c r="W55" s="149">
        <f>IFERROR(__xludf.DUMMYFUNCTION("""COMPUTED_VALUE"""),85.0)</f>
        <v>85</v>
      </c>
      <c r="X55" s="149">
        <f>IFERROR(__xludf.DUMMYFUNCTION("""COMPUTED_VALUE"""),62.0)</f>
        <v>62</v>
      </c>
      <c r="Y55" s="149">
        <f>IFERROR(__xludf.DUMMYFUNCTION("""COMPUTED_VALUE"""),14.0)</f>
        <v>14</v>
      </c>
      <c r="Z55" s="149">
        <f>IFERROR(__xludf.DUMMYFUNCTION("""COMPUTED_VALUE"""),276.0)</f>
        <v>276</v>
      </c>
    </row>
    <row r="56">
      <c r="A56" s="187">
        <f>IFERROR(__xludf.DUMMYFUNCTION("""COMPUTED_VALUE"""),43947.0)</f>
        <v>43947</v>
      </c>
      <c r="B56" s="149">
        <f>IFERROR(__xludf.DUMMYFUNCTION("""COMPUTED_VALUE"""),316.0)</f>
        <v>316</v>
      </c>
      <c r="C56" s="149">
        <f>IFERROR(__xludf.DUMMYFUNCTION("""COMPUTED_VALUE"""),402.0)</f>
        <v>402</v>
      </c>
      <c r="D56" s="149">
        <f>IFERROR(__xludf.DUMMYFUNCTION("""COMPUTED_VALUE"""),8474.0)</f>
        <v>8474</v>
      </c>
      <c r="E56" s="149">
        <f>IFERROR(__xludf.DUMMYFUNCTION("""COMPUTED_VALUE"""),2314.0)</f>
        <v>2314</v>
      </c>
      <c r="F56" s="149">
        <f>IFERROR(__xludf.DUMMYFUNCTION("""COMPUTED_VALUE"""),49740.0)</f>
        <v>49740</v>
      </c>
      <c r="G56" s="149">
        <f>IFERROR(__xludf.DUMMYFUNCTION("""COMPUTED_VALUE"""),2630.0)</f>
        <v>2630</v>
      </c>
      <c r="H56" s="149">
        <f>IFERROR(__xludf.DUMMYFUNCTION("""COMPUTED_VALUE"""),58214.0)</f>
        <v>58214</v>
      </c>
      <c r="I56" s="149">
        <f>IFERROR(__xludf.DUMMYFUNCTION("""COMPUTED_VALUE"""),275.0)</f>
        <v>275</v>
      </c>
      <c r="J56" s="149">
        <f>IFERROR(__xludf.DUMMYFUNCTION("""COMPUTED_VALUE"""),332.0)</f>
        <v>332</v>
      </c>
      <c r="K56" s="149">
        <f>IFERROR(__xludf.DUMMYFUNCTION("""COMPUTED_VALUE"""),7775.0)</f>
        <v>7775</v>
      </c>
      <c r="L56" s="149">
        <f>IFERROR(__xludf.DUMMYFUNCTION("""COMPUTED_VALUE"""),1881.0)</f>
        <v>1881</v>
      </c>
      <c r="M56" s="149">
        <f>IFERROR(__xludf.DUMMYFUNCTION("""COMPUTED_VALUE"""),42375.0)</f>
        <v>42375</v>
      </c>
      <c r="N56" s="149">
        <f>IFERROR(__xludf.DUMMYFUNCTION("""COMPUTED_VALUE"""),50150.0)</f>
        <v>50150</v>
      </c>
      <c r="O56" s="149">
        <f>IFERROR(__xludf.DUMMYFUNCTION("""COMPUTED_VALUE"""),33.0)</f>
        <v>33</v>
      </c>
      <c r="P56" s="149">
        <f>IFERROR(__xludf.DUMMYFUNCTION("""COMPUTED_VALUE"""),902.0)</f>
        <v>902</v>
      </c>
      <c r="Q56" s="149">
        <f>IFERROR(__xludf.DUMMYFUNCTION("""COMPUTED_VALUE"""),15.0)</f>
        <v>15</v>
      </c>
      <c r="R56" s="149">
        <f>IFERROR(__xludf.DUMMYFUNCTION("""COMPUTED_VALUE"""),449.0)</f>
        <v>449</v>
      </c>
      <c r="S56" s="149">
        <f>IFERROR(__xludf.DUMMYFUNCTION("""COMPUTED_VALUE"""),3.0)</f>
        <v>3</v>
      </c>
      <c r="T56" s="149">
        <f>IFERROR(__xludf.DUMMYFUNCTION("""COMPUTED_VALUE"""),95.0)</f>
        <v>95</v>
      </c>
      <c r="U56" s="149">
        <f>IFERROR(__xludf.DUMMYFUNCTION("""COMPUTED_VALUE"""),358.0)</f>
        <v>358</v>
      </c>
      <c r="V56" s="149">
        <f>IFERROR(__xludf.DUMMYFUNCTION("""COMPUTED_VALUE"""),344.0)</f>
        <v>344</v>
      </c>
      <c r="W56" s="149">
        <f>IFERROR(__xludf.DUMMYFUNCTION("""COMPUTED_VALUE"""),86.0)</f>
        <v>86</v>
      </c>
      <c r="X56" s="149">
        <f>IFERROR(__xludf.DUMMYFUNCTION("""COMPUTED_VALUE"""),59.0)</f>
        <v>59</v>
      </c>
      <c r="Y56" s="149">
        <f>IFERROR(__xludf.DUMMYFUNCTION("""COMPUTED_VALUE"""),14.0)</f>
        <v>14</v>
      </c>
      <c r="Z56" s="149">
        <f>IFERROR(__xludf.DUMMYFUNCTION("""COMPUTED_VALUE"""),290.0)</f>
        <v>290</v>
      </c>
    </row>
    <row r="57">
      <c r="A57" s="187">
        <f>IFERROR(__xludf.DUMMYFUNCTION("""COMPUTED_VALUE"""),43948.0)</f>
        <v>43948</v>
      </c>
      <c r="B57" s="149">
        <f>IFERROR(__xludf.DUMMYFUNCTION("""COMPUTED_VALUE"""),250.0)</f>
        <v>250</v>
      </c>
      <c r="C57" s="149">
        <f>IFERROR(__xludf.DUMMYFUNCTION("""COMPUTED_VALUE"""),320.0)</f>
        <v>320</v>
      </c>
      <c r="D57" s="149">
        <f>IFERROR(__xludf.DUMMYFUNCTION("""COMPUTED_VALUE"""),8724.0)</f>
        <v>8724</v>
      </c>
      <c r="E57" s="149">
        <f>IFERROR(__xludf.DUMMYFUNCTION("""COMPUTED_VALUE"""),1625.0)</f>
        <v>1625</v>
      </c>
      <c r="F57" s="149">
        <f>IFERROR(__xludf.DUMMYFUNCTION("""COMPUTED_VALUE"""),51365.0)</f>
        <v>51365</v>
      </c>
      <c r="G57" s="149">
        <f>IFERROR(__xludf.DUMMYFUNCTION("""COMPUTED_VALUE"""),1875.0)</f>
        <v>1875</v>
      </c>
      <c r="H57" s="149">
        <f>IFERROR(__xludf.DUMMYFUNCTION("""COMPUTED_VALUE"""),60089.0)</f>
        <v>60089</v>
      </c>
      <c r="I57" s="149">
        <f>IFERROR(__xludf.DUMMYFUNCTION("""COMPUTED_VALUE"""),204.0)</f>
        <v>204</v>
      </c>
      <c r="J57" s="149">
        <f>IFERROR(__xludf.DUMMYFUNCTION("""COMPUTED_VALUE"""),261.0)</f>
        <v>261</v>
      </c>
      <c r="K57" s="149">
        <f>IFERROR(__xludf.DUMMYFUNCTION("""COMPUTED_VALUE"""),7979.0)</f>
        <v>7979</v>
      </c>
      <c r="L57" s="149">
        <f>IFERROR(__xludf.DUMMYFUNCTION("""COMPUTED_VALUE"""),1163.0)</f>
        <v>1163</v>
      </c>
      <c r="M57" s="149">
        <f>IFERROR(__xludf.DUMMYFUNCTION("""COMPUTED_VALUE"""),43538.0)</f>
        <v>43538</v>
      </c>
      <c r="N57" s="149">
        <f>IFERROR(__xludf.DUMMYFUNCTION("""COMPUTED_VALUE"""),51517.0)</f>
        <v>51517</v>
      </c>
      <c r="O57" s="149">
        <f>IFERROR(__xludf.DUMMYFUNCTION("""COMPUTED_VALUE"""),29.0)</f>
        <v>29</v>
      </c>
      <c r="P57" s="149">
        <f>IFERROR(__xludf.DUMMYFUNCTION("""COMPUTED_VALUE"""),931.0)</f>
        <v>931</v>
      </c>
      <c r="Q57" s="149">
        <f>IFERROR(__xludf.DUMMYFUNCTION("""COMPUTED_VALUE"""),21.0)</f>
        <v>21</v>
      </c>
      <c r="R57" s="149">
        <f>IFERROR(__xludf.DUMMYFUNCTION("""COMPUTED_VALUE"""),470.0)</f>
        <v>470</v>
      </c>
      <c r="S57" s="149">
        <f>IFERROR(__xludf.DUMMYFUNCTION("""COMPUTED_VALUE"""),4.0)</f>
        <v>4</v>
      </c>
      <c r="T57" s="149">
        <f>IFERROR(__xludf.DUMMYFUNCTION("""COMPUTED_VALUE"""),99.0)</f>
        <v>99</v>
      </c>
      <c r="U57" s="149">
        <f>IFERROR(__xludf.DUMMYFUNCTION("""COMPUTED_VALUE"""),362.0)</f>
        <v>362</v>
      </c>
      <c r="V57" s="149">
        <f>IFERROR(__xludf.DUMMYFUNCTION("""COMPUTED_VALUE"""),354.0)</f>
        <v>354</v>
      </c>
      <c r="W57" s="149">
        <f>IFERROR(__xludf.DUMMYFUNCTION("""COMPUTED_VALUE"""),86.0)</f>
        <v>86</v>
      </c>
      <c r="X57" s="149">
        <f>IFERROR(__xludf.DUMMYFUNCTION("""COMPUTED_VALUE"""),61.0)</f>
        <v>61</v>
      </c>
      <c r="Y57" s="149">
        <f>IFERROR(__xludf.DUMMYFUNCTION("""COMPUTED_VALUE"""),10.0)</f>
        <v>10</v>
      </c>
      <c r="Z57" s="149">
        <f>IFERROR(__xludf.DUMMYFUNCTION("""COMPUTED_VALUE"""),300.0)</f>
        <v>300</v>
      </c>
    </row>
    <row r="58">
      <c r="A58" s="187">
        <f>IFERROR(__xludf.DUMMYFUNCTION("""COMPUTED_VALUE"""),43949.0)</f>
        <v>43949</v>
      </c>
      <c r="B58" s="149">
        <f>IFERROR(__xludf.DUMMYFUNCTION("""COMPUTED_VALUE"""),411.0)</f>
        <v>411</v>
      </c>
      <c r="C58" s="149">
        <f>IFERROR(__xludf.DUMMYFUNCTION("""COMPUTED_VALUE"""),326.0)</f>
        <v>326</v>
      </c>
      <c r="D58" s="149">
        <f>IFERROR(__xludf.DUMMYFUNCTION("""COMPUTED_VALUE"""),9135.0)</f>
        <v>9135</v>
      </c>
      <c r="E58" s="149">
        <f>IFERROR(__xludf.DUMMYFUNCTION("""COMPUTED_VALUE"""),2270.0)</f>
        <v>2270</v>
      </c>
      <c r="F58" s="149">
        <f>IFERROR(__xludf.DUMMYFUNCTION("""COMPUTED_VALUE"""),53635.0)</f>
        <v>53635</v>
      </c>
      <c r="G58" s="149">
        <f>IFERROR(__xludf.DUMMYFUNCTION("""COMPUTED_VALUE"""),2681.0)</f>
        <v>2681</v>
      </c>
      <c r="H58" s="149">
        <f>IFERROR(__xludf.DUMMYFUNCTION("""COMPUTED_VALUE"""),62770.0)</f>
        <v>62770</v>
      </c>
      <c r="I58" s="149">
        <f>IFERROR(__xludf.DUMMYFUNCTION("""COMPUTED_VALUE"""),330.0)</f>
        <v>330</v>
      </c>
      <c r="J58" s="149">
        <f>IFERROR(__xludf.DUMMYFUNCTION("""COMPUTED_VALUE"""),270.0)</f>
        <v>270</v>
      </c>
      <c r="K58" s="149">
        <f>IFERROR(__xludf.DUMMYFUNCTION("""COMPUTED_VALUE"""),8309.0)</f>
        <v>8309</v>
      </c>
      <c r="L58" s="149">
        <f>IFERROR(__xludf.DUMMYFUNCTION("""COMPUTED_VALUE"""),1765.0)</f>
        <v>1765</v>
      </c>
      <c r="M58" s="149">
        <f>IFERROR(__xludf.DUMMYFUNCTION("""COMPUTED_VALUE"""),45303.0)</f>
        <v>45303</v>
      </c>
      <c r="N58" s="149">
        <f>IFERROR(__xludf.DUMMYFUNCTION("""COMPUTED_VALUE"""),53612.0)</f>
        <v>53612</v>
      </c>
      <c r="O58" s="149">
        <f>IFERROR(__xludf.DUMMYFUNCTION("""COMPUTED_VALUE"""),44.0)</f>
        <v>44</v>
      </c>
      <c r="P58" s="149">
        <f>IFERROR(__xludf.DUMMYFUNCTION("""COMPUTED_VALUE"""),975.0)</f>
        <v>975</v>
      </c>
      <c r="Q58" s="149">
        <f>IFERROR(__xludf.DUMMYFUNCTION("""COMPUTED_VALUE"""),24.0)</f>
        <v>24</v>
      </c>
      <c r="R58" s="149">
        <f>IFERROR(__xludf.DUMMYFUNCTION("""COMPUTED_VALUE"""),494.0)</f>
        <v>494</v>
      </c>
      <c r="S58" s="149">
        <f>IFERROR(__xludf.DUMMYFUNCTION("""COMPUTED_VALUE"""),3.0)</f>
        <v>3</v>
      </c>
      <c r="T58" s="149">
        <f>IFERROR(__xludf.DUMMYFUNCTION("""COMPUTED_VALUE"""),102.0)</f>
        <v>102</v>
      </c>
      <c r="U58" s="149">
        <f>IFERROR(__xludf.DUMMYFUNCTION("""COMPUTED_VALUE"""),379.0)</f>
        <v>379</v>
      </c>
      <c r="V58" s="149">
        <f>IFERROR(__xludf.DUMMYFUNCTION("""COMPUTED_VALUE"""),366.0)</f>
        <v>366</v>
      </c>
      <c r="W58" s="149">
        <f>IFERROR(__xludf.DUMMYFUNCTION("""COMPUTED_VALUE"""),88.0)</f>
        <v>88</v>
      </c>
      <c r="X58" s="149">
        <f>IFERROR(__xludf.DUMMYFUNCTION("""COMPUTED_VALUE"""),59.0)</f>
        <v>59</v>
      </c>
      <c r="Y58" s="149">
        <f>IFERROR(__xludf.DUMMYFUNCTION("""COMPUTED_VALUE"""),22.0)</f>
        <v>22</v>
      </c>
      <c r="Z58" s="149">
        <f>IFERROR(__xludf.DUMMYFUNCTION("""COMPUTED_VALUE"""),322.0)</f>
        <v>322</v>
      </c>
    </row>
    <row r="59">
      <c r="A59" s="187">
        <f>IFERROR(__xludf.DUMMYFUNCTION("""COMPUTED_VALUE"""),43950.0)</f>
        <v>43950</v>
      </c>
      <c r="B59" s="149">
        <f>IFERROR(__xludf.DUMMYFUNCTION("""COMPUTED_VALUE"""),476.0)</f>
        <v>476</v>
      </c>
      <c r="C59" s="149">
        <f>IFERROR(__xludf.DUMMYFUNCTION("""COMPUTED_VALUE"""),379.0)</f>
        <v>379</v>
      </c>
      <c r="D59" s="149">
        <f>IFERROR(__xludf.DUMMYFUNCTION("""COMPUTED_VALUE"""),9611.0)</f>
        <v>9611</v>
      </c>
      <c r="E59" s="149">
        <f>IFERROR(__xludf.DUMMYFUNCTION("""COMPUTED_VALUE"""),3352.0)</f>
        <v>3352</v>
      </c>
      <c r="F59" s="149">
        <f>IFERROR(__xludf.DUMMYFUNCTION("""COMPUTED_VALUE"""),56987.0)</f>
        <v>56987</v>
      </c>
      <c r="G59" s="149">
        <f>IFERROR(__xludf.DUMMYFUNCTION("""COMPUTED_VALUE"""),3828.0)</f>
        <v>3828</v>
      </c>
      <c r="H59" s="149">
        <f>IFERROR(__xludf.DUMMYFUNCTION("""COMPUTED_VALUE"""),66598.0)</f>
        <v>66598</v>
      </c>
      <c r="I59" s="149">
        <f>IFERROR(__xludf.DUMMYFUNCTION("""COMPUTED_VALUE"""),373.0)</f>
        <v>373</v>
      </c>
      <c r="J59" s="149">
        <f>IFERROR(__xludf.DUMMYFUNCTION("""COMPUTED_VALUE"""),302.0)</f>
        <v>302</v>
      </c>
      <c r="K59" s="149">
        <f>IFERROR(__xludf.DUMMYFUNCTION("""COMPUTED_VALUE"""),8682.0)</f>
        <v>8682</v>
      </c>
      <c r="L59" s="149">
        <f>IFERROR(__xludf.DUMMYFUNCTION("""COMPUTED_VALUE"""),2426.0)</f>
        <v>2426</v>
      </c>
      <c r="M59" s="149">
        <f>IFERROR(__xludf.DUMMYFUNCTION("""COMPUTED_VALUE"""),47729.0)</f>
        <v>47729</v>
      </c>
      <c r="N59" s="149">
        <f>IFERROR(__xludf.DUMMYFUNCTION("""COMPUTED_VALUE"""),56411.0)</f>
        <v>56411</v>
      </c>
      <c r="O59" s="149">
        <f>IFERROR(__xludf.DUMMYFUNCTION("""COMPUTED_VALUE"""),36.0)</f>
        <v>36</v>
      </c>
      <c r="P59" s="149">
        <f>IFERROR(__xludf.DUMMYFUNCTION("""COMPUTED_VALUE"""),1011.0)</f>
        <v>1011</v>
      </c>
      <c r="Q59" s="149">
        <f>IFERROR(__xludf.DUMMYFUNCTION("""COMPUTED_VALUE"""),38.0)</f>
        <v>38</v>
      </c>
      <c r="R59" s="149">
        <f>IFERROR(__xludf.DUMMYFUNCTION("""COMPUTED_VALUE"""),532.0)</f>
        <v>532</v>
      </c>
      <c r="S59" s="149">
        <f>IFERROR(__xludf.DUMMYFUNCTION("""COMPUTED_VALUE"""),11.0)</f>
        <v>11</v>
      </c>
      <c r="T59" s="149">
        <f>IFERROR(__xludf.DUMMYFUNCTION("""COMPUTED_VALUE"""),113.0)</f>
        <v>113</v>
      </c>
      <c r="U59" s="149">
        <f>IFERROR(__xludf.DUMMYFUNCTION("""COMPUTED_VALUE"""),366.0)</f>
        <v>366</v>
      </c>
      <c r="V59" s="149">
        <f>IFERROR(__xludf.DUMMYFUNCTION("""COMPUTED_VALUE"""),369.0)</f>
        <v>369</v>
      </c>
      <c r="W59" s="149">
        <f>IFERROR(__xludf.DUMMYFUNCTION("""COMPUTED_VALUE"""),78.0)</f>
        <v>78</v>
      </c>
      <c r="X59" s="149">
        <f>IFERROR(__xludf.DUMMYFUNCTION("""COMPUTED_VALUE"""),53.0)</f>
        <v>53</v>
      </c>
      <c r="Y59" s="149">
        <f>IFERROR(__xludf.DUMMYFUNCTION("""COMPUTED_VALUE"""),18.0)</f>
        <v>18</v>
      </c>
      <c r="Z59" s="149">
        <f>IFERROR(__xludf.DUMMYFUNCTION("""COMPUTED_VALUE"""),340.0)</f>
        <v>340</v>
      </c>
    </row>
    <row r="60">
      <c r="A60" s="187">
        <f>IFERROR(__xludf.DUMMYFUNCTION("""COMPUTED_VALUE"""),43951.0)</f>
        <v>43951</v>
      </c>
      <c r="B60" s="149">
        <f>IFERROR(__xludf.DUMMYFUNCTION("""COMPUTED_VALUE"""),432.0)</f>
        <v>432</v>
      </c>
      <c r="C60" s="149">
        <f>IFERROR(__xludf.DUMMYFUNCTION("""COMPUTED_VALUE"""),440.0)</f>
        <v>440</v>
      </c>
      <c r="D60" s="149">
        <f>IFERROR(__xludf.DUMMYFUNCTION("""COMPUTED_VALUE"""),10043.0)</f>
        <v>10043</v>
      </c>
      <c r="E60" s="149">
        <f>IFERROR(__xludf.DUMMYFUNCTION("""COMPUTED_VALUE"""),2775.0)</f>
        <v>2775</v>
      </c>
      <c r="F60" s="149">
        <f>IFERROR(__xludf.DUMMYFUNCTION("""COMPUTED_VALUE"""),59762.0)</f>
        <v>59762</v>
      </c>
      <c r="G60" s="149">
        <f>IFERROR(__xludf.DUMMYFUNCTION("""COMPUTED_VALUE"""),3207.0)</f>
        <v>3207</v>
      </c>
      <c r="H60" s="149">
        <f>IFERROR(__xludf.DUMMYFUNCTION("""COMPUTED_VALUE"""),69805.0)</f>
        <v>69805</v>
      </c>
      <c r="I60" s="149">
        <f>IFERROR(__xludf.DUMMYFUNCTION("""COMPUTED_VALUE"""),353.0)</f>
        <v>353</v>
      </c>
      <c r="J60" s="149">
        <f>IFERROR(__xludf.DUMMYFUNCTION("""COMPUTED_VALUE"""),352.0)</f>
        <v>352</v>
      </c>
      <c r="K60" s="149">
        <f>IFERROR(__xludf.DUMMYFUNCTION("""COMPUTED_VALUE"""),9035.0)</f>
        <v>9035</v>
      </c>
      <c r="L60" s="149">
        <f>IFERROR(__xludf.DUMMYFUNCTION("""COMPUTED_VALUE"""),1942.0)</f>
        <v>1942</v>
      </c>
      <c r="M60" s="149">
        <f>IFERROR(__xludf.DUMMYFUNCTION("""COMPUTED_VALUE"""),49671.0)</f>
        <v>49671</v>
      </c>
      <c r="N60" s="149">
        <f>IFERROR(__xludf.DUMMYFUNCTION("""COMPUTED_VALUE"""),58706.0)</f>
        <v>58706</v>
      </c>
      <c r="O60" s="149">
        <f>IFERROR(__xludf.DUMMYFUNCTION("""COMPUTED_VALUE"""),33.0)</f>
        <v>33</v>
      </c>
      <c r="P60" s="149">
        <f>IFERROR(__xludf.DUMMYFUNCTION("""COMPUTED_VALUE"""),1044.0)</f>
        <v>1044</v>
      </c>
      <c r="Q60" s="149">
        <f>IFERROR(__xludf.DUMMYFUNCTION("""COMPUTED_VALUE"""),38.0)</f>
        <v>38</v>
      </c>
      <c r="R60" s="149">
        <f>IFERROR(__xludf.DUMMYFUNCTION("""COMPUTED_VALUE"""),570.0)</f>
        <v>570</v>
      </c>
      <c r="S60" s="149">
        <f>IFERROR(__xludf.DUMMYFUNCTION("""COMPUTED_VALUE"""),6.0)</f>
        <v>6</v>
      </c>
      <c r="T60" s="149">
        <f>IFERROR(__xludf.DUMMYFUNCTION("""COMPUTED_VALUE"""),119.0)</f>
        <v>119</v>
      </c>
      <c r="U60" s="149">
        <f>IFERROR(__xludf.DUMMYFUNCTION("""COMPUTED_VALUE"""),355.0)</f>
        <v>355</v>
      </c>
      <c r="V60" s="149">
        <f>IFERROR(__xludf.DUMMYFUNCTION("""COMPUTED_VALUE"""),367.0)</f>
        <v>367</v>
      </c>
      <c r="W60" s="149">
        <f>IFERROR(__xludf.DUMMYFUNCTION("""COMPUTED_VALUE"""),83.0)</f>
        <v>83</v>
      </c>
      <c r="X60" s="149">
        <f>IFERROR(__xludf.DUMMYFUNCTION("""COMPUTED_VALUE"""),57.0)</f>
        <v>57</v>
      </c>
      <c r="Y60" s="149">
        <f>IFERROR(__xludf.DUMMYFUNCTION("""COMPUTED_VALUE"""),24.0)</f>
        <v>24</v>
      </c>
      <c r="Z60" s="149">
        <f>IFERROR(__xludf.DUMMYFUNCTION("""COMPUTED_VALUE"""),364.0)</f>
        <v>364</v>
      </c>
    </row>
    <row r="61">
      <c r="A61" s="187">
        <f>IFERROR(__xludf.DUMMYFUNCTION("""COMPUTED_VALUE"""),43952.0)</f>
        <v>43952</v>
      </c>
      <c r="B61" s="149">
        <f>IFERROR(__xludf.DUMMYFUNCTION("""COMPUTED_VALUE"""),457.0)</f>
        <v>457</v>
      </c>
      <c r="C61" s="149">
        <f>IFERROR(__xludf.DUMMYFUNCTION("""COMPUTED_VALUE"""),455.0)</f>
        <v>455</v>
      </c>
      <c r="D61" s="149">
        <f>IFERROR(__xludf.DUMMYFUNCTION("""COMPUTED_VALUE"""),10500.0)</f>
        <v>10500</v>
      </c>
      <c r="E61" s="149">
        <f>IFERROR(__xludf.DUMMYFUNCTION("""COMPUTED_VALUE"""),3091.0)</f>
        <v>3091</v>
      </c>
      <c r="F61" s="149">
        <f>IFERROR(__xludf.DUMMYFUNCTION("""COMPUTED_VALUE"""),62853.0)</f>
        <v>62853</v>
      </c>
      <c r="G61" s="149">
        <f>IFERROR(__xludf.DUMMYFUNCTION("""COMPUTED_VALUE"""),3548.0)</f>
        <v>3548</v>
      </c>
      <c r="H61" s="149">
        <f>IFERROR(__xludf.DUMMYFUNCTION("""COMPUTED_VALUE"""),73353.0)</f>
        <v>73353</v>
      </c>
      <c r="I61" s="149">
        <f>IFERROR(__xludf.DUMMYFUNCTION("""COMPUTED_VALUE"""),320.0)</f>
        <v>320</v>
      </c>
      <c r="J61" s="149">
        <f>IFERROR(__xludf.DUMMYFUNCTION("""COMPUTED_VALUE"""),349.0)</f>
        <v>349</v>
      </c>
      <c r="K61" s="149">
        <f>IFERROR(__xludf.DUMMYFUNCTION("""COMPUTED_VALUE"""),9355.0)</f>
        <v>9355</v>
      </c>
      <c r="L61" s="149">
        <f>IFERROR(__xludf.DUMMYFUNCTION("""COMPUTED_VALUE"""),2201.0)</f>
        <v>2201</v>
      </c>
      <c r="M61" s="149">
        <f>IFERROR(__xludf.DUMMYFUNCTION("""COMPUTED_VALUE"""),51872.0)</f>
        <v>51872</v>
      </c>
      <c r="N61" s="149">
        <f>IFERROR(__xludf.DUMMYFUNCTION("""COMPUTED_VALUE"""),61227.0)</f>
        <v>61227</v>
      </c>
      <c r="O61" s="149">
        <f>IFERROR(__xludf.DUMMYFUNCTION("""COMPUTED_VALUE"""),51.0)</f>
        <v>51</v>
      </c>
      <c r="P61" s="149">
        <f>IFERROR(__xludf.DUMMYFUNCTION("""COMPUTED_VALUE"""),1095.0)</f>
        <v>1095</v>
      </c>
      <c r="Q61" s="149">
        <f>IFERROR(__xludf.DUMMYFUNCTION("""COMPUTED_VALUE"""),39.0)</f>
        <v>39</v>
      </c>
      <c r="R61" s="149">
        <f>IFERROR(__xludf.DUMMYFUNCTION("""COMPUTED_VALUE"""),609.0)</f>
        <v>609</v>
      </c>
      <c r="S61" s="149">
        <f>IFERROR(__xludf.DUMMYFUNCTION("""COMPUTED_VALUE"""),3.0)</f>
        <v>3</v>
      </c>
      <c r="T61" s="149">
        <f>IFERROR(__xludf.DUMMYFUNCTION("""COMPUTED_VALUE"""),122.0)</f>
        <v>122</v>
      </c>
      <c r="U61" s="149">
        <f>IFERROR(__xludf.DUMMYFUNCTION("""COMPUTED_VALUE"""),364.0)</f>
        <v>364</v>
      </c>
      <c r="V61" s="149">
        <f>IFERROR(__xludf.DUMMYFUNCTION("""COMPUTED_VALUE"""),362.0)</f>
        <v>362</v>
      </c>
      <c r="W61" s="149">
        <f>IFERROR(__xludf.DUMMYFUNCTION("""COMPUTED_VALUE"""),84.0)</f>
        <v>84</v>
      </c>
      <c r="X61" s="149">
        <f>IFERROR(__xludf.DUMMYFUNCTION("""COMPUTED_VALUE"""),58.0)</f>
        <v>58</v>
      </c>
      <c r="Y61" s="149">
        <f>IFERROR(__xludf.DUMMYFUNCTION("""COMPUTED_VALUE"""),14.0)</f>
        <v>14</v>
      </c>
      <c r="Z61" s="149">
        <f>IFERROR(__xludf.DUMMYFUNCTION("""COMPUTED_VALUE"""),378.0)</f>
        <v>378</v>
      </c>
    </row>
    <row r="62">
      <c r="A62" s="187">
        <f>IFERROR(__xludf.DUMMYFUNCTION("""COMPUTED_VALUE"""),43953.0)</f>
        <v>43953</v>
      </c>
      <c r="B62" s="149">
        <f>IFERROR(__xludf.DUMMYFUNCTION("""COMPUTED_VALUE"""),260.0)</f>
        <v>260</v>
      </c>
      <c r="C62" s="149">
        <f>IFERROR(__xludf.DUMMYFUNCTION("""COMPUTED_VALUE"""),383.0)</f>
        <v>383</v>
      </c>
      <c r="D62" s="149">
        <f>IFERROR(__xludf.DUMMYFUNCTION("""COMPUTED_VALUE"""),10760.0)</f>
        <v>10760</v>
      </c>
      <c r="E62" s="149">
        <f>IFERROR(__xludf.DUMMYFUNCTION("""COMPUTED_VALUE"""),1930.0)</f>
        <v>1930</v>
      </c>
      <c r="F62" s="149">
        <f>IFERROR(__xludf.DUMMYFUNCTION("""COMPUTED_VALUE"""),64783.0)</f>
        <v>64783</v>
      </c>
      <c r="G62" s="149">
        <f>IFERROR(__xludf.DUMMYFUNCTION("""COMPUTED_VALUE"""),2190.0)</f>
        <v>2190</v>
      </c>
      <c r="H62" s="149">
        <f>IFERROR(__xludf.DUMMYFUNCTION("""COMPUTED_VALUE"""),75543.0)</f>
        <v>75543</v>
      </c>
      <c r="I62" s="149">
        <f>IFERROR(__xludf.DUMMYFUNCTION("""COMPUTED_VALUE"""),189.0)</f>
        <v>189</v>
      </c>
      <c r="J62" s="149">
        <f>IFERROR(__xludf.DUMMYFUNCTION("""COMPUTED_VALUE"""),287.0)</f>
        <v>287</v>
      </c>
      <c r="K62" s="149">
        <f>IFERROR(__xludf.DUMMYFUNCTION("""COMPUTED_VALUE"""),9544.0)</f>
        <v>9544</v>
      </c>
      <c r="L62" s="149">
        <f>IFERROR(__xludf.DUMMYFUNCTION("""COMPUTED_VALUE"""),1289.0)</f>
        <v>1289</v>
      </c>
      <c r="M62" s="149">
        <f>IFERROR(__xludf.DUMMYFUNCTION("""COMPUTED_VALUE"""),53161.0)</f>
        <v>53161</v>
      </c>
      <c r="N62" s="149">
        <f>IFERROR(__xludf.DUMMYFUNCTION("""COMPUTED_VALUE"""),62705.0)</f>
        <v>62705</v>
      </c>
      <c r="O62" s="149">
        <f>IFERROR(__xludf.DUMMYFUNCTION("""COMPUTED_VALUE"""),36.0)</f>
        <v>36</v>
      </c>
      <c r="P62" s="149">
        <f>IFERROR(__xludf.DUMMYFUNCTION("""COMPUTED_VALUE"""),1131.0)</f>
        <v>1131</v>
      </c>
      <c r="Q62" s="149">
        <f>IFERROR(__xludf.DUMMYFUNCTION("""COMPUTED_VALUE"""),39.0)</f>
        <v>39</v>
      </c>
      <c r="R62" s="149">
        <f>IFERROR(__xludf.DUMMYFUNCTION("""COMPUTED_VALUE"""),648.0)</f>
        <v>648</v>
      </c>
      <c r="S62" s="149">
        <f>IFERROR(__xludf.DUMMYFUNCTION("""COMPUTED_VALUE"""),5.0)</f>
        <v>5</v>
      </c>
      <c r="T62" s="149">
        <f>IFERROR(__xludf.DUMMYFUNCTION("""COMPUTED_VALUE"""),127.0)</f>
        <v>127</v>
      </c>
      <c r="U62" s="149">
        <f>IFERROR(__xludf.DUMMYFUNCTION("""COMPUTED_VALUE"""),356.0)</f>
        <v>356</v>
      </c>
      <c r="V62" s="149">
        <f>IFERROR(__xludf.DUMMYFUNCTION("""COMPUTED_VALUE"""),358.0)</f>
        <v>358</v>
      </c>
      <c r="W62" s="149">
        <f>IFERROR(__xludf.DUMMYFUNCTION("""COMPUTED_VALUE"""),91.0)</f>
        <v>91</v>
      </c>
      <c r="X62" s="149">
        <f>IFERROR(__xludf.DUMMYFUNCTION("""COMPUTED_VALUE"""),62.0)</f>
        <v>62</v>
      </c>
      <c r="Y62" s="149">
        <f>IFERROR(__xludf.DUMMYFUNCTION("""COMPUTED_VALUE"""),24.0)</f>
        <v>24</v>
      </c>
      <c r="Z62" s="149">
        <f>IFERROR(__xludf.DUMMYFUNCTION("""COMPUTED_VALUE"""),402.0)</f>
        <v>402</v>
      </c>
    </row>
    <row r="63">
      <c r="A63" s="187">
        <f>IFERROR(__xludf.DUMMYFUNCTION("""COMPUTED_VALUE"""),43954.0)</f>
        <v>43954</v>
      </c>
      <c r="B63" s="149">
        <f>IFERROR(__xludf.DUMMYFUNCTION("""COMPUTED_VALUE"""),284.0)</f>
        <v>284</v>
      </c>
      <c r="C63" s="149">
        <f>IFERROR(__xludf.DUMMYFUNCTION("""COMPUTED_VALUE"""),334.0)</f>
        <v>334</v>
      </c>
      <c r="D63" s="149">
        <f>IFERROR(__xludf.DUMMYFUNCTION("""COMPUTED_VALUE"""),11044.0)</f>
        <v>11044</v>
      </c>
      <c r="E63" s="149">
        <f>IFERROR(__xludf.DUMMYFUNCTION("""COMPUTED_VALUE"""),2169.0)</f>
        <v>2169</v>
      </c>
      <c r="F63" s="149">
        <f>IFERROR(__xludf.DUMMYFUNCTION("""COMPUTED_VALUE"""),66952.0)</f>
        <v>66952</v>
      </c>
      <c r="G63" s="149">
        <f>IFERROR(__xludf.DUMMYFUNCTION("""COMPUTED_VALUE"""),2453.0)</f>
        <v>2453</v>
      </c>
      <c r="H63" s="149">
        <f>IFERROR(__xludf.DUMMYFUNCTION("""COMPUTED_VALUE"""),77996.0)</f>
        <v>77996</v>
      </c>
      <c r="I63" s="149">
        <f>IFERROR(__xludf.DUMMYFUNCTION("""COMPUTED_VALUE"""),182.0)</f>
        <v>182</v>
      </c>
      <c r="J63" s="149">
        <f>IFERROR(__xludf.DUMMYFUNCTION("""COMPUTED_VALUE"""),230.0)</f>
        <v>230</v>
      </c>
      <c r="K63" s="149">
        <f>IFERROR(__xludf.DUMMYFUNCTION("""COMPUTED_VALUE"""),9726.0)</f>
        <v>9726</v>
      </c>
      <c r="L63" s="149">
        <f>IFERROR(__xludf.DUMMYFUNCTION("""COMPUTED_VALUE"""),1598.0)</f>
        <v>1598</v>
      </c>
      <c r="M63" s="149">
        <f>IFERROR(__xludf.DUMMYFUNCTION("""COMPUTED_VALUE"""),54759.0)</f>
        <v>54759</v>
      </c>
      <c r="N63" s="149">
        <f>IFERROR(__xludf.DUMMYFUNCTION("""COMPUTED_VALUE"""),64485.0)</f>
        <v>64485</v>
      </c>
      <c r="O63" s="149">
        <f>IFERROR(__xludf.DUMMYFUNCTION("""COMPUTED_VALUE"""),31.0)</f>
        <v>31</v>
      </c>
      <c r="P63" s="149">
        <f>IFERROR(__xludf.DUMMYFUNCTION("""COMPUTED_VALUE"""),1162.0)</f>
        <v>1162</v>
      </c>
      <c r="Q63" s="149">
        <f>IFERROR(__xludf.DUMMYFUNCTION("""COMPUTED_VALUE"""),27.0)</f>
        <v>27</v>
      </c>
      <c r="R63" s="149">
        <f>IFERROR(__xludf.DUMMYFUNCTION("""COMPUTED_VALUE"""),675.0)</f>
        <v>675</v>
      </c>
      <c r="S63" s="149">
        <f>IFERROR(__xludf.DUMMYFUNCTION("""COMPUTED_VALUE"""),8.0)</f>
        <v>8</v>
      </c>
      <c r="T63" s="149">
        <f>IFERROR(__xludf.DUMMYFUNCTION("""COMPUTED_VALUE"""),135.0)</f>
        <v>135</v>
      </c>
      <c r="U63" s="149">
        <f>IFERROR(__xludf.DUMMYFUNCTION("""COMPUTED_VALUE"""),352.0)</f>
        <v>352</v>
      </c>
      <c r="V63" s="149">
        <f>IFERROR(__xludf.DUMMYFUNCTION("""COMPUTED_VALUE"""),357.0)</f>
        <v>357</v>
      </c>
      <c r="W63" s="149">
        <f>IFERROR(__xludf.DUMMYFUNCTION("""COMPUTED_VALUE"""),90.0)</f>
        <v>90</v>
      </c>
      <c r="X63" s="149">
        <f>IFERROR(__xludf.DUMMYFUNCTION("""COMPUTED_VALUE"""),61.0)</f>
        <v>61</v>
      </c>
      <c r="Y63" s="149">
        <f>IFERROR(__xludf.DUMMYFUNCTION("""COMPUTED_VALUE"""),21.0)</f>
        <v>21</v>
      </c>
      <c r="Z63" s="149">
        <f>IFERROR(__xludf.DUMMYFUNCTION("""COMPUTED_VALUE"""),423.0)</f>
        <v>423</v>
      </c>
    </row>
    <row r="64">
      <c r="A64" s="187">
        <f>IFERROR(__xludf.DUMMYFUNCTION("""COMPUTED_VALUE"""),43955.0)</f>
        <v>43955</v>
      </c>
      <c r="B64" s="149">
        <f>IFERROR(__xludf.DUMMYFUNCTION("""COMPUTED_VALUE"""),388.0)</f>
        <v>388</v>
      </c>
      <c r="C64" s="149">
        <f>IFERROR(__xludf.DUMMYFUNCTION("""COMPUTED_VALUE"""),311.0)</f>
        <v>311</v>
      </c>
      <c r="D64" s="149">
        <f>IFERROR(__xludf.DUMMYFUNCTION("""COMPUTED_VALUE"""),11432.0)</f>
        <v>11432</v>
      </c>
      <c r="E64" s="149">
        <f>IFERROR(__xludf.DUMMYFUNCTION("""COMPUTED_VALUE"""),2103.0)</f>
        <v>2103</v>
      </c>
      <c r="F64" s="149">
        <f>IFERROR(__xludf.DUMMYFUNCTION("""COMPUTED_VALUE"""),69055.0)</f>
        <v>69055</v>
      </c>
      <c r="G64" s="149">
        <f>IFERROR(__xludf.DUMMYFUNCTION("""COMPUTED_VALUE"""),2491.0)</f>
        <v>2491</v>
      </c>
      <c r="H64" s="149">
        <f>IFERROR(__xludf.DUMMYFUNCTION("""COMPUTED_VALUE"""),80487.0)</f>
        <v>80487</v>
      </c>
      <c r="I64" s="149">
        <f>IFERROR(__xludf.DUMMYFUNCTION("""COMPUTED_VALUE"""),293.0)</f>
        <v>293</v>
      </c>
      <c r="J64" s="149">
        <f>IFERROR(__xludf.DUMMYFUNCTION("""COMPUTED_VALUE"""),221.0)</f>
        <v>221</v>
      </c>
      <c r="K64" s="149">
        <f>IFERROR(__xludf.DUMMYFUNCTION("""COMPUTED_VALUE"""),10019.0)</f>
        <v>10019</v>
      </c>
      <c r="L64" s="149">
        <f>IFERROR(__xludf.DUMMYFUNCTION("""COMPUTED_VALUE"""),1569.0)</f>
        <v>1569</v>
      </c>
      <c r="M64" s="149">
        <f>IFERROR(__xludf.DUMMYFUNCTION("""COMPUTED_VALUE"""),56328.0)</f>
        <v>56328</v>
      </c>
      <c r="N64" s="149">
        <f>IFERROR(__xludf.DUMMYFUNCTION("""COMPUTED_VALUE"""),66347.0)</f>
        <v>66347</v>
      </c>
      <c r="O64" s="149">
        <f>IFERROR(__xludf.DUMMYFUNCTION("""COMPUTED_VALUE"""),30.0)</f>
        <v>30</v>
      </c>
      <c r="P64" s="149">
        <f>IFERROR(__xludf.DUMMYFUNCTION("""COMPUTED_VALUE"""),1192.0)</f>
        <v>1192</v>
      </c>
      <c r="Q64" s="149">
        <f>IFERROR(__xludf.DUMMYFUNCTION("""COMPUTED_VALUE"""),31.0)</f>
        <v>31</v>
      </c>
      <c r="R64" s="149">
        <f>IFERROR(__xludf.DUMMYFUNCTION("""COMPUTED_VALUE"""),706.0)</f>
        <v>706</v>
      </c>
      <c r="S64" s="149">
        <f>IFERROR(__xludf.DUMMYFUNCTION("""COMPUTED_VALUE"""),5.0)</f>
        <v>5</v>
      </c>
      <c r="T64" s="149">
        <f>IFERROR(__xludf.DUMMYFUNCTION("""COMPUTED_VALUE"""),140.0)</f>
        <v>140</v>
      </c>
      <c r="U64" s="149">
        <f>IFERROR(__xludf.DUMMYFUNCTION("""COMPUTED_VALUE"""),346.0)</f>
        <v>346</v>
      </c>
      <c r="V64" s="149">
        <f>IFERROR(__xludf.DUMMYFUNCTION("""COMPUTED_VALUE"""),351.0)</f>
        <v>351</v>
      </c>
      <c r="W64" s="149">
        <f>IFERROR(__xludf.DUMMYFUNCTION("""COMPUTED_VALUE"""),88.0)</f>
        <v>88</v>
      </c>
      <c r="X64" s="149">
        <f>IFERROR(__xludf.DUMMYFUNCTION("""COMPUTED_VALUE"""),57.0)</f>
        <v>57</v>
      </c>
      <c r="Y64" s="149">
        <f>IFERROR(__xludf.DUMMYFUNCTION("""COMPUTED_VALUE"""),18.0)</f>
        <v>18</v>
      </c>
      <c r="Z64" s="149">
        <f>IFERROR(__xludf.DUMMYFUNCTION("""COMPUTED_VALUE"""),441.0)</f>
        <v>441</v>
      </c>
    </row>
    <row r="65">
      <c r="A65" s="187">
        <f>IFERROR(__xludf.DUMMYFUNCTION("""COMPUTED_VALUE"""),43956.0)</f>
        <v>43956</v>
      </c>
      <c r="B65" s="149">
        <f>IFERROR(__xludf.DUMMYFUNCTION("""COMPUTED_VALUE"""),436.0)</f>
        <v>436</v>
      </c>
      <c r="C65" s="149">
        <f>IFERROR(__xludf.DUMMYFUNCTION("""COMPUTED_VALUE"""),369.0)</f>
        <v>369</v>
      </c>
      <c r="D65" s="149">
        <f>IFERROR(__xludf.DUMMYFUNCTION("""COMPUTED_VALUE"""),11868.0)</f>
        <v>11868</v>
      </c>
      <c r="E65" s="149">
        <f>IFERROR(__xludf.DUMMYFUNCTION("""COMPUTED_VALUE"""),2878.0)</f>
        <v>2878</v>
      </c>
      <c r="F65" s="149">
        <f>IFERROR(__xludf.DUMMYFUNCTION("""COMPUTED_VALUE"""),71933.0)</f>
        <v>71933</v>
      </c>
      <c r="G65" s="149">
        <f>IFERROR(__xludf.DUMMYFUNCTION("""COMPUTED_VALUE"""),3314.0)</f>
        <v>3314</v>
      </c>
      <c r="H65" s="149">
        <f>IFERROR(__xludf.DUMMYFUNCTION("""COMPUTED_VALUE"""),83801.0)</f>
        <v>83801</v>
      </c>
      <c r="I65" s="149">
        <f>IFERROR(__xludf.DUMMYFUNCTION("""COMPUTED_VALUE"""),308.0)</f>
        <v>308</v>
      </c>
      <c r="J65" s="149">
        <f>IFERROR(__xludf.DUMMYFUNCTION("""COMPUTED_VALUE"""),261.0)</f>
        <v>261</v>
      </c>
      <c r="K65" s="149">
        <f>IFERROR(__xludf.DUMMYFUNCTION("""COMPUTED_VALUE"""),10327.0)</f>
        <v>10327</v>
      </c>
      <c r="L65" s="149">
        <f>IFERROR(__xludf.DUMMYFUNCTION("""COMPUTED_VALUE"""),1966.0)</f>
        <v>1966</v>
      </c>
      <c r="M65" s="149">
        <f>IFERROR(__xludf.DUMMYFUNCTION("""COMPUTED_VALUE"""),58294.0)</f>
        <v>58294</v>
      </c>
      <c r="N65" s="149">
        <f>IFERROR(__xludf.DUMMYFUNCTION("""COMPUTED_VALUE"""),68621.0)</f>
        <v>68621</v>
      </c>
      <c r="O65" s="149">
        <f>IFERROR(__xludf.DUMMYFUNCTION("""COMPUTED_VALUE"""),29.0)</f>
        <v>29</v>
      </c>
      <c r="P65" s="149">
        <f>IFERROR(__xludf.DUMMYFUNCTION("""COMPUTED_VALUE"""),1221.0)</f>
        <v>1221</v>
      </c>
      <c r="Q65" s="149">
        <f>IFERROR(__xludf.DUMMYFUNCTION("""COMPUTED_VALUE"""),32.0)</f>
        <v>32</v>
      </c>
      <c r="R65" s="149">
        <f>IFERROR(__xludf.DUMMYFUNCTION("""COMPUTED_VALUE"""),738.0)</f>
        <v>738</v>
      </c>
      <c r="S65" s="149">
        <f>IFERROR(__xludf.DUMMYFUNCTION("""COMPUTED_VALUE"""),6.0)</f>
        <v>6</v>
      </c>
      <c r="T65" s="149">
        <f>IFERROR(__xludf.DUMMYFUNCTION("""COMPUTED_VALUE"""),146.0)</f>
        <v>146</v>
      </c>
      <c r="U65" s="149">
        <f>IFERROR(__xludf.DUMMYFUNCTION("""COMPUTED_VALUE"""),337.0)</f>
        <v>337</v>
      </c>
      <c r="V65" s="149">
        <f>IFERROR(__xludf.DUMMYFUNCTION("""COMPUTED_VALUE"""),345.0)</f>
        <v>345</v>
      </c>
      <c r="W65" s="149">
        <f>IFERROR(__xludf.DUMMYFUNCTION("""COMPUTED_VALUE"""),82.0)</f>
        <v>82</v>
      </c>
      <c r="X65" s="149">
        <f>IFERROR(__xludf.DUMMYFUNCTION("""COMPUTED_VALUE"""),54.0)</f>
        <v>54</v>
      </c>
      <c r="Y65" s="149">
        <f>IFERROR(__xludf.DUMMYFUNCTION("""COMPUTED_VALUE"""),16.0)</f>
        <v>16</v>
      </c>
      <c r="Z65" s="149">
        <f>IFERROR(__xludf.DUMMYFUNCTION("""COMPUTED_VALUE"""),457.0)</f>
        <v>457</v>
      </c>
    </row>
    <row r="66">
      <c r="A66" s="187">
        <f>IFERROR(__xludf.DUMMYFUNCTION("""COMPUTED_VALUE"""),43957.0)</f>
        <v>43957</v>
      </c>
      <c r="B66" s="149">
        <f>IFERROR(__xludf.DUMMYFUNCTION("""COMPUTED_VALUE"""),490.0)</f>
        <v>490</v>
      </c>
      <c r="C66" s="149">
        <f>IFERROR(__xludf.DUMMYFUNCTION("""COMPUTED_VALUE"""),438.0)</f>
        <v>438</v>
      </c>
      <c r="D66" s="149">
        <f>IFERROR(__xludf.DUMMYFUNCTION("""COMPUTED_VALUE"""),12358.0)</f>
        <v>12358</v>
      </c>
      <c r="E66" s="149">
        <f>IFERROR(__xludf.DUMMYFUNCTION("""COMPUTED_VALUE"""),2838.0)</f>
        <v>2838</v>
      </c>
      <c r="F66" s="149">
        <f>IFERROR(__xludf.DUMMYFUNCTION("""COMPUTED_VALUE"""),74771.0)</f>
        <v>74771</v>
      </c>
      <c r="G66" s="149">
        <f>IFERROR(__xludf.DUMMYFUNCTION("""COMPUTED_VALUE"""),3328.0)</f>
        <v>3328</v>
      </c>
      <c r="H66" s="149">
        <f>IFERROR(__xludf.DUMMYFUNCTION("""COMPUTED_VALUE"""),87129.0)</f>
        <v>87129</v>
      </c>
      <c r="I66" s="149">
        <f>IFERROR(__xludf.DUMMYFUNCTION("""COMPUTED_VALUE"""),342.0)</f>
        <v>342</v>
      </c>
      <c r="J66" s="149">
        <f>IFERROR(__xludf.DUMMYFUNCTION("""COMPUTED_VALUE"""),314.0)</f>
        <v>314</v>
      </c>
      <c r="K66" s="149">
        <f>IFERROR(__xludf.DUMMYFUNCTION("""COMPUTED_VALUE"""),10669.0)</f>
        <v>10669</v>
      </c>
      <c r="L66" s="149">
        <f>IFERROR(__xludf.DUMMYFUNCTION("""COMPUTED_VALUE"""),1921.0)</f>
        <v>1921</v>
      </c>
      <c r="M66" s="149">
        <f>IFERROR(__xludf.DUMMYFUNCTION("""COMPUTED_VALUE"""),60215.0)</f>
        <v>60215</v>
      </c>
      <c r="N66" s="149">
        <f>IFERROR(__xludf.DUMMYFUNCTION("""COMPUTED_VALUE"""),70884.0)</f>
        <v>70884</v>
      </c>
      <c r="O66" s="149">
        <f>IFERROR(__xludf.DUMMYFUNCTION("""COMPUTED_VALUE"""),28.0)</f>
        <v>28</v>
      </c>
      <c r="P66" s="149">
        <f>IFERROR(__xludf.DUMMYFUNCTION("""COMPUTED_VALUE"""),1249.0)</f>
        <v>1249</v>
      </c>
      <c r="Q66" s="149">
        <f>IFERROR(__xludf.DUMMYFUNCTION("""COMPUTED_VALUE"""),44.0)</f>
        <v>44</v>
      </c>
      <c r="R66" s="149">
        <f>IFERROR(__xludf.DUMMYFUNCTION("""COMPUTED_VALUE"""),782.0)</f>
        <v>782</v>
      </c>
      <c r="S66" s="149">
        <f>IFERROR(__xludf.DUMMYFUNCTION("""COMPUTED_VALUE"""),9.0)</f>
        <v>9</v>
      </c>
      <c r="T66" s="149">
        <f>IFERROR(__xludf.DUMMYFUNCTION("""COMPUTED_VALUE"""),155.0)</f>
        <v>155</v>
      </c>
      <c r="U66" s="149">
        <f>IFERROR(__xludf.DUMMYFUNCTION("""COMPUTED_VALUE"""),312.0)</f>
        <v>312</v>
      </c>
      <c r="V66" s="149">
        <f>IFERROR(__xludf.DUMMYFUNCTION("""COMPUTED_VALUE"""),332.0)</f>
        <v>332</v>
      </c>
      <c r="W66" s="149">
        <f>IFERROR(__xludf.DUMMYFUNCTION("""COMPUTED_VALUE"""),79.0)</f>
        <v>79</v>
      </c>
      <c r="X66" s="149">
        <f>IFERROR(__xludf.DUMMYFUNCTION("""COMPUTED_VALUE"""),54.0)</f>
        <v>54</v>
      </c>
      <c r="Y66" s="149">
        <f>IFERROR(__xludf.DUMMYFUNCTION("""COMPUTED_VALUE"""),21.0)</f>
        <v>21</v>
      </c>
      <c r="Z66" s="149">
        <f>IFERROR(__xludf.DUMMYFUNCTION("""COMPUTED_VALUE"""),478.0)</f>
        <v>478</v>
      </c>
    </row>
    <row r="67">
      <c r="A67" s="187">
        <f>IFERROR(__xludf.DUMMYFUNCTION("""COMPUTED_VALUE"""),43958.0)</f>
        <v>43958</v>
      </c>
      <c r="B67" s="149">
        <f>IFERROR(__xludf.DUMMYFUNCTION("""COMPUTED_VALUE"""),425.0)</f>
        <v>425</v>
      </c>
      <c r="C67" s="149">
        <f>IFERROR(__xludf.DUMMYFUNCTION("""COMPUTED_VALUE"""),450.0)</f>
        <v>450</v>
      </c>
      <c r="D67" s="149">
        <f>IFERROR(__xludf.DUMMYFUNCTION("""COMPUTED_VALUE"""),12783.0)</f>
        <v>12783</v>
      </c>
      <c r="E67" s="149">
        <f>IFERROR(__xludf.DUMMYFUNCTION("""COMPUTED_VALUE"""),2976.0)</f>
        <v>2976</v>
      </c>
      <c r="F67" s="149">
        <f>IFERROR(__xludf.DUMMYFUNCTION("""COMPUTED_VALUE"""),77747.0)</f>
        <v>77747</v>
      </c>
      <c r="G67" s="149">
        <f>IFERROR(__xludf.DUMMYFUNCTION("""COMPUTED_VALUE"""),3401.0)</f>
        <v>3401</v>
      </c>
      <c r="H67" s="149">
        <f>IFERROR(__xludf.DUMMYFUNCTION("""COMPUTED_VALUE"""),90530.0)</f>
        <v>90530</v>
      </c>
      <c r="I67" s="149">
        <f>IFERROR(__xludf.DUMMYFUNCTION("""COMPUTED_VALUE"""),274.0)</f>
        <v>274</v>
      </c>
      <c r="J67" s="149">
        <f>IFERROR(__xludf.DUMMYFUNCTION("""COMPUTED_VALUE"""),308.0)</f>
        <v>308</v>
      </c>
      <c r="K67" s="149">
        <f>IFERROR(__xludf.DUMMYFUNCTION("""COMPUTED_VALUE"""),10943.0)</f>
        <v>10943</v>
      </c>
      <c r="L67" s="149">
        <f>IFERROR(__xludf.DUMMYFUNCTION("""COMPUTED_VALUE"""),1970.0)</f>
        <v>1970</v>
      </c>
      <c r="M67" s="149">
        <f>IFERROR(__xludf.DUMMYFUNCTION("""COMPUTED_VALUE"""),62185.0)</f>
        <v>62185</v>
      </c>
      <c r="N67" s="149">
        <f>IFERROR(__xludf.DUMMYFUNCTION("""COMPUTED_VALUE"""),73128.0)</f>
        <v>73128</v>
      </c>
      <c r="O67" s="149">
        <f>IFERROR(__xludf.DUMMYFUNCTION("""COMPUTED_VALUE"""),36.0)</f>
        <v>36</v>
      </c>
      <c r="P67" s="149">
        <f>IFERROR(__xludf.DUMMYFUNCTION("""COMPUTED_VALUE"""),1285.0)</f>
        <v>1285</v>
      </c>
      <c r="Q67" s="149">
        <f>IFERROR(__xludf.DUMMYFUNCTION("""COMPUTED_VALUE"""),42.0)</f>
        <v>42</v>
      </c>
      <c r="R67" s="149">
        <f>IFERROR(__xludf.DUMMYFUNCTION("""COMPUTED_VALUE"""),824.0)</f>
        <v>824</v>
      </c>
      <c r="S67" s="149">
        <f>IFERROR(__xludf.DUMMYFUNCTION("""COMPUTED_VALUE"""),5.0)</f>
        <v>5</v>
      </c>
      <c r="T67" s="149">
        <f>IFERROR(__xludf.DUMMYFUNCTION("""COMPUTED_VALUE"""),160.0)</f>
        <v>160</v>
      </c>
      <c r="U67" s="149">
        <f>IFERROR(__xludf.DUMMYFUNCTION("""COMPUTED_VALUE"""),301.0)</f>
        <v>301</v>
      </c>
      <c r="V67" s="149">
        <f>IFERROR(__xludf.DUMMYFUNCTION("""COMPUTED_VALUE"""),317.0)</f>
        <v>317</v>
      </c>
      <c r="W67" s="149">
        <f>IFERROR(__xludf.DUMMYFUNCTION("""COMPUTED_VALUE"""),71.0)</f>
        <v>71</v>
      </c>
      <c r="X67" s="149">
        <f>IFERROR(__xludf.DUMMYFUNCTION("""COMPUTED_VALUE"""),52.0)</f>
        <v>52</v>
      </c>
      <c r="Y67" s="149">
        <f>IFERROR(__xludf.DUMMYFUNCTION("""COMPUTED_VALUE"""),21.0)</f>
        <v>21</v>
      </c>
      <c r="Z67" s="149">
        <f>IFERROR(__xludf.DUMMYFUNCTION("""COMPUTED_VALUE"""),499.0)</f>
        <v>499</v>
      </c>
    </row>
    <row r="68">
      <c r="A68" s="187">
        <f>IFERROR(__xludf.DUMMYFUNCTION("""COMPUTED_VALUE"""),43959.0)</f>
        <v>43959</v>
      </c>
      <c r="B68" s="149">
        <f>IFERROR(__xludf.DUMMYFUNCTION("""COMPUTED_VALUE"""),360.0)</f>
        <v>360</v>
      </c>
      <c r="C68" s="149">
        <f>IFERROR(__xludf.DUMMYFUNCTION("""COMPUTED_VALUE"""),425.0)</f>
        <v>425</v>
      </c>
      <c r="D68" s="149">
        <f>IFERROR(__xludf.DUMMYFUNCTION("""COMPUTED_VALUE"""),13143.0)</f>
        <v>13143</v>
      </c>
      <c r="E68" s="149">
        <f>IFERROR(__xludf.DUMMYFUNCTION("""COMPUTED_VALUE"""),2605.0)</f>
        <v>2605</v>
      </c>
      <c r="F68" s="149">
        <f>IFERROR(__xludf.DUMMYFUNCTION("""COMPUTED_VALUE"""),80352.0)</f>
        <v>80352</v>
      </c>
      <c r="G68" s="149">
        <f>IFERROR(__xludf.DUMMYFUNCTION("""COMPUTED_VALUE"""),2965.0)</f>
        <v>2965</v>
      </c>
      <c r="H68" s="149">
        <f>IFERROR(__xludf.DUMMYFUNCTION("""COMPUTED_VALUE"""),93495.0)</f>
        <v>93495</v>
      </c>
      <c r="I68" s="149">
        <f>IFERROR(__xludf.DUMMYFUNCTION("""COMPUTED_VALUE"""),233.0)</f>
        <v>233</v>
      </c>
      <c r="J68" s="149">
        <f>IFERROR(__xludf.DUMMYFUNCTION("""COMPUTED_VALUE"""),283.0)</f>
        <v>283</v>
      </c>
      <c r="K68" s="149">
        <f>IFERROR(__xludf.DUMMYFUNCTION("""COMPUTED_VALUE"""),11176.0)</f>
        <v>11176</v>
      </c>
      <c r="L68" s="149">
        <f>IFERROR(__xludf.DUMMYFUNCTION("""COMPUTED_VALUE"""),1742.0)</f>
        <v>1742</v>
      </c>
      <c r="M68" s="149">
        <f>IFERROR(__xludf.DUMMYFUNCTION("""COMPUTED_VALUE"""),63927.0)</f>
        <v>63927</v>
      </c>
      <c r="N68" s="149">
        <f>IFERROR(__xludf.DUMMYFUNCTION("""COMPUTED_VALUE"""),75103.0)</f>
        <v>75103</v>
      </c>
      <c r="O68" s="149">
        <f>IFERROR(__xludf.DUMMYFUNCTION("""COMPUTED_VALUE"""),30.0)</f>
        <v>30</v>
      </c>
      <c r="P68" s="149">
        <f>IFERROR(__xludf.DUMMYFUNCTION("""COMPUTED_VALUE"""),1315.0)</f>
        <v>1315</v>
      </c>
      <c r="Q68" s="149">
        <f>IFERROR(__xludf.DUMMYFUNCTION("""COMPUTED_VALUE"""),29.0)</f>
        <v>29</v>
      </c>
      <c r="R68" s="149">
        <f>IFERROR(__xludf.DUMMYFUNCTION("""COMPUTED_VALUE"""),853.0)</f>
        <v>853</v>
      </c>
      <c r="S68" s="149">
        <f>IFERROR(__xludf.DUMMYFUNCTION("""COMPUTED_VALUE"""),5.0)</f>
        <v>5</v>
      </c>
      <c r="T68" s="149">
        <f>IFERROR(__xludf.DUMMYFUNCTION("""COMPUTED_VALUE"""),165.0)</f>
        <v>165</v>
      </c>
      <c r="U68" s="149">
        <f>IFERROR(__xludf.DUMMYFUNCTION("""COMPUTED_VALUE"""),297.0)</f>
        <v>297</v>
      </c>
      <c r="V68" s="149">
        <f>IFERROR(__xludf.DUMMYFUNCTION("""COMPUTED_VALUE"""),303.0)</f>
        <v>303</v>
      </c>
      <c r="W68" s="149">
        <f>IFERROR(__xludf.DUMMYFUNCTION("""COMPUTED_VALUE"""),71.0)</f>
        <v>71</v>
      </c>
      <c r="X68" s="149">
        <f>IFERROR(__xludf.DUMMYFUNCTION("""COMPUTED_VALUE"""),53.0)</f>
        <v>53</v>
      </c>
      <c r="Y68" s="149">
        <f>IFERROR(__xludf.DUMMYFUNCTION("""COMPUTED_VALUE"""),22.0)</f>
        <v>22</v>
      </c>
      <c r="Z68" s="149">
        <f>IFERROR(__xludf.DUMMYFUNCTION("""COMPUTED_VALUE"""),521.0)</f>
        <v>521</v>
      </c>
    </row>
    <row r="69">
      <c r="A69" s="187">
        <f>IFERROR(__xludf.DUMMYFUNCTION("""COMPUTED_VALUE"""),43960.0)</f>
        <v>43960</v>
      </c>
      <c r="B69" s="149">
        <f>IFERROR(__xludf.DUMMYFUNCTION("""COMPUTED_VALUE"""),470.0)</f>
        <v>470</v>
      </c>
      <c r="C69" s="149">
        <f>IFERROR(__xludf.DUMMYFUNCTION("""COMPUTED_VALUE"""),418.0)</f>
        <v>418</v>
      </c>
      <c r="D69" s="149">
        <f>IFERROR(__xludf.DUMMYFUNCTION("""COMPUTED_VALUE"""),13613.0)</f>
        <v>13613</v>
      </c>
      <c r="E69" s="149">
        <f>IFERROR(__xludf.DUMMYFUNCTION("""COMPUTED_VALUE"""),3361.0)</f>
        <v>3361</v>
      </c>
      <c r="F69" s="149">
        <f>IFERROR(__xludf.DUMMYFUNCTION("""COMPUTED_VALUE"""),83713.0)</f>
        <v>83713</v>
      </c>
      <c r="G69" s="149">
        <f>IFERROR(__xludf.DUMMYFUNCTION("""COMPUTED_VALUE"""),3831.0)</f>
        <v>3831</v>
      </c>
      <c r="H69" s="149">
        <f>IFERROR(__xludf.DUMMYFUNCTION("""COMPUTED_VALUE"""),97326.0)</f>
        <v>97326</v>
      </c>
      <c r="I69" s="149">
        <f>IFERROR(__xludf.DUMMYFUNCTION("""COMPUTED_VALUE"""),291.0)</f>
        <v>291</v>
      </c>
      <c r="J69" s="149">
        <f>IFERROR(__xludf.DUMMYFUNCTION("""COMPUTED_VALUE"""),266.0)</f>
        <v>266</v>
      </c>
      <c r="K69" s="149">
        <f>IFERROR(__xludf.DUMMYFUNCTION("""COMPUTED_VALUE"""),11467.0)</f>
        <v>11467</v>
      </c>
      <c r="L69" s="149">
        <f>IFERROR(__xludf.DUMMYFUNCTION("""COMPUTED_VALUE"""),2264.0)</f>
        <v>2264</v>
      </c>
      <c r="M69" s="149">
        <f>IFERROR(__xludf.DUMMYFUNCTION("""COMPUTED_VALUE"""),66191.0)</f>
        <v>66191</v>
      </c>
      <c r="N69" s="149">
        <f>IFERROR(__xludf.DUMMYFUNCTION("""COMPUTED_VALUE"""),77658.0)</f>
        <v>77658</v>
      </c>
      <c r="O69" s="149">
        <f>IFERROR(__xludf.DUMMYFUNCTION("""COMPUTED_VALUE"""),22.0)</f>
        <v>22</v>
      </c>
      <c r="P69" s="149">
        <f>IFERROR(__xludf.DUMMYFUNCTION("""COMPUTED_VALUE"""),1337.0)</f>
        <v>1337</v>
      </c>
      <c r="Q69" s="149">
        <f>IFERROR(__xludf.DUMMYFUNCTION("""COMPUTED_VALUE"""),21.0)</f>
        <v>21</v>
      </c>
      <c r="R69" s="149">
        <f>IFERROR(__xludf.DUMMYFUNCTION("""COMPUTED_VALUE"""),874.0)</f>
        <v>874</v>
      </c>
      <c r="S69" s="149">
        <f>IFERROR(__xludf.DUMMYFUNCTION("""COMPUTED_VALUE"""),4.0)</f>
        <v>4</v>
      </c>
      <c r="T69" s="149">
        <f>IFERROR(__xludf.DUMMYFUNCTION("""COMPUTED_VALUE"""),169.0)</f>
        <v>169</v>
      </c>
      <c r="U69" s="149">
        <f>IFERROR(__xludf.DUMMYFUNCTION("""COMPUTED_VALUE"""),294.0)</f>
        <v>294</v>
      </c>
      <c r="V69" s="149">
        <f>IFERROR(__xludf.DUMMYFUNCTION("""COMPUTED_VALUE"""),297.0)</f>
        <v>297</v>
      </c>
      <c r="W69" s="149">
        <f>IFERROR(__xludf.DUMMYFUNCTION("""COMPUTED_VALUE"""),69.0)</f>
        <v>69</v>
      </c>
      <c r="X69" s="149">
        <f>IFERROR(__xludf.DUMMYFUNCTION("""COMPUTED_VALUE"""),51.0)</f>
        <v>51</v>
      </c>
      <c r="Y69" s="149">
        <f>IFERROR(__xludf.DUMMYFUNCTION("""COMPUTED_VALUE"""),15.0)</f>
        <v>15</v>
      </c>
      <c r="Z69" s="149">
        <f>IFERROR(__xludf.DUMMYFUNCTION("""COMPUTED_VALUE"""),536.0)</f>
        <v>536</v>
      </c>
    </row>
    <row r="70">
      <c r="A70" s="187">
        <f>IFERROR(__xludf.DUMMYFUNCTION("""COMPUTED_VALUE"""),43961.0)</f>
        <v>43961</v>
      </c>
      <c r="B70" s="149">
        <f>IFERROR(__xludf.DUMMYFUNCTION("""COMPUTED_VALUE"""),285.0)</f>
        <v>285</v>
      </c>
      <c r="C70" s="149">
        <f>IFERROR(__xludf.DUMMYFUNCTION("""COMPUTED_VALUE"""),372.0)</f>
        <v>372</v>
      </c>
      <c r="D70" s="149">
        <f>IFERROR(__xludf.DUMMYFUNCTION("""COMPUTED_VALUE"""),13898.0)</f>
        <v>13898</v>
      </c>
      <c r="E70" s="149">
        <f>IFERROR(__xludf.DUMMYFUNCTION("""COMPUTED_VALUE"""),2124.0)</f>
        <v>2124</v>
      </c>
      <c r="F70" s="149">
        <f>IFERROR(__xludf.DUMMYFUNCTION("""COMPUTED_VALUE"""),85837.0)</f>
        <v>85837</v>
      </c>
      <c r="G70" s="149">
        <f>IFERROR(__xludf.DUMMYFUNCTION("""COMPUTED_VALUE"""),2409.0)</f>
        <v>2409</v>
      </c>
      <c r="H70" s="149">
        <f>IFERROR(__xludf.DUMMYFUNCTION("""COMPUTED_VALUE"""),99735.0)</f>
        <v>99735</v>
      </c>
      <c r="I70" s="149">
        <f>IFERROR(__xludf.DUMMYFUNCTION("""COMPUTED_VALUE"""),188.0)</f>
        <v>188</v>
      </c>
      <c r="J70" s="149">
        <f>IFERROR(__xludf.DUMMYFUNCTION("""COMPUTED_VALUE"""),237.0)</f>
        <v>237</v>
      </c>
      <c r="K70" s="149">
        <f>IFERROR(__xludf.DUMMYFUNCTION("""COMPUTED_VALUE"""),11655.0)</f>
        <v>11655</v>
      </c>
      <c r="L70" s="149">
        <f>IFERROR(__xludf.DUMMYFUNCTION("""COMPUTED_VALUE"""),1523.0)</f>
        <v>1523</v>
      </c>
      <c r="M70" s="149">
        <f>IFERROR(__xludf.DUMMYFUNCTION("""COMPUTED_VALUE"""),67714.0)</f>
        <v>67714</v>
      </c>
      <c r="N70" s="149">
        <f>IFERROR(__xludf.DUMMYFUNCTION("""COMPUTED_VALUE"""),79369.0)</f>
        <v>79369</v>
      </c>
      <c r="O70" s="149">
        <f>IFERROR(__xludf.DUMMYFUNCTION("""COMPUTED_VALUE"""),20.0)</f>
        <v>20</v>
      </c>
      <c r="P70" s="149">
        <f>IFERROR(__xludf.DUMMYFUNCTION("""COMPUTED_VALUE"""),1357.0)</f>
        <v>1357</v>
      </c>
      <c r="Q70" s="149">
        <f>IFERROR(__xludf.DUMMYFUNCTION("""COMPUTED_VALUE"""),23.0)</f>
        <v>23</v>
      </c>
      <c r="R70" s="149">
        <f>IFERROR(__xludf.DUMMYFUNCTION("""COMPUTED_VALUE"""),897.0)</f>
        <v>897</v>
      </c>
      <c r="S70" s="149">
        <f>IFERROR(__xludf.DUMMYFUNCTION("""COMPUTED_VALUE"""),6.0)</f>
        <v>6</v>
      </c>
      <c r="T70" s="149">
        <f>IFERROR(__xludf.DUMMYFUNCTION("""COMPUTED_VALUE"""),175.0)</f>
        <v>175</v>
      </c>
      <c r="U70" s="149">
        <f>IFERROR(__xludf.DUMMYFUNCTION("""COMPUTED_VALUE"""),285.0)</f>
        <v>285</v>
      </c>
      <c r="V70" s="149">
        <f>IFERROR(__xludf.DUMMYFUNCTION("""COMPUTED_VALUE"""),292.0)</f>
        <v>292</v>
      </c>
      <c r="W70" s="149">
        <f>IFERROR(__xludf.DUMMYFUNCTION("""COMPUTED_VALUE"""),70.0)</f>
        <v>70</v>
      </c>
      <c r="X70" s="149">
        <f>IFERROR(__xludf.DUMMYFUNCTION("""COMPUTED_VALUE"""),49.0)</f>
        <v>49</v>
      </c>
      <c r="Y70" s="149">
        <f>IFERROR(__xludf.DUMMYFUNCTION("""COMPUTED_VALUE"""),13.0)</f>
        <v>13</v>
      </c>
      <c r="Z70" s="149">
        <f>IFERROR(__xludf.DUMMYFUNCTION("""COMPUTED_VALUE"""),549.0)</f>
        <v>549</v>
      </c>
    </row>
    <row r="71">
      <c r="A71" s="187">
        <f>IFERROR(__xludf.DUMMYFUNCTION("""COMPUTED_VALUE"""),43962.0)</f>
        <v>43962</v>
      </c>
      <c r="B71" s="149">
        <f>IFERROR(__xludf.DUMMYFUNCTION("""COMPUTED_VALUE"""),259.0)</f>
        <v>259</v>
      </c>
      <c r="C71" s="149">
        <f>IFERROR(__xludf.DUMMYFUNCTION("""COMPUTED_VALUE"""),338.0)</f>
        <v>338</v>
      </c>
      <c r="D71" s="149">
        <f>IFERROR(__xludf.DUMMYFUNCTION("""COMPUTED_VALUE"""),14157.0)</f>
        <v>14157</v>
      </c>
      <c r="E71" s="149">
        <f>IFERROR(__xludf.DUMMYFUNCTION("""COMPUTED_VALUE"""),1863.0)</f>
        <v>1863</v>
      </c>
      <c r="F71" s="149">
        <f>IFERROR(__xludf.DUMMYFUNCTION("""COMPUTED_VALUE"""),87700.0)</f>
        <v>87700</v>
      </c>
      <c r="G71" s="149">
        <f>IFERROR(__xludf.DUMMYFUNCTION("""COMPUTED_VALUE"""),2122.0)</f>
        <v>2122</v>
      </c>
      <c r="H71" s="149">
        <f>IFERROR(__xludf.DUMMYFUNCTION("""COMPUTED_VALUE"""),101857.0)</f>
        <v>101857</v>
      </c>
      <c r="I71" s="149">
        <f>IFERROR(__xludf.DUMMYFUNCTION("""COMPUTED_VALUE"""),178.0)</f>
        <v>178</v>
      </c>
      <c r="J71" s="149">
        <f>IFERROR(__xludf.DUMMYFUNCTION("""COMPUTED_VALUE"""),219.0)</f>
        <v>219</v>
      </c>
      <c r="K71" s="149">
        <f>IFERROR(__xludf.DUMMYFUNCTION("""COMPUTED_VALUE"""),11833.0)</f>
        <v>11833</v>
      </c>
      <c r="L71" s="149">
        <f>IFERROR(__xludf.DUMMYFUNCTION("""COMPUTED_VALUE"""),1304.0)</f>
        <v>1304</v>
      </c>
      <c r="M71" s="149">
        <f>IFERROR(__xludf.DUMMYFUNCTION("""COMPUTED_VALUE"""),69018.0)</f>
        <v>69018</v>
      </c>
      <c r="N71" s="149">
        <f>IFERROR(__xludf.DUMMYFUNCTION("""COMPUTED_VALUE"""),80851.0)</f>
        <v>80851</v>
      </c>
      <c r="O71" s="149">
        <f>IFERROR(__xludf.DUMMYFUNCTION("""COMPUTED_VALUE"""),31.0)</f>
        <v>31</v>
      </c>
      <c r="P71" s="149">
        <f>IFERROR(__xludf.DUMMYFUNCTION("""COMPUTED_VALUE"""),1388.0)</f>
        <v>1388</v>
      </c>
      <c r="Q71" s="149">
        <f>IFERROR(__xludf.DUMMYFUNCTION("""COMPUTED_VALUE"""),16.0)</f>
        <v>16</v>
      </c>
      <c r="R71" s="149">
        <f>IFERROR(__xludf.DUMMYFUNCTION("""COMPUTED_VALUE"""),913.0)</f>
        <v>913</v>
      </c>
      <c r="S71" s="149">
        <f>IFERROR(__xludf.DUMMYFUNCTION("""COMPUTED_VALUE"""),6.0)</f>
        <v>6</v>
      </c>
      <c r="T71" s="149">
        <f>IFERROR(__xludf.DUMMYFUNCTION("""COMPUTED_VALUE"""),181.0)</f>
        <v>181</v>
      </c>
      <c r="U71" s="149">
        <f>IFERROR(__xludf.DUMMYFUNCTION("""COMPUTED_VALUE"""),294.0)</f>
        <v>294</v>
      </c>
      <c r="V71" s="149">
        <f>IFERROR(__xludf.DUMMYFUNCTION("""COMPUTED_VALUE"""),291.0)</f>
        <v>291</v>
      </c>
      <c r="W71" s="149">
        <f>IFERROR(__xludf.DUMMYFUNCTION("""COMPUTED_VALUE"""),71.0)</f>
        <v>71</v>
      </c>
      <c r="X71" s="149">
        <f>IFERROR(__xludf.DUMMYFUNCTION("""COMPUTED_VALUE"""),49.0)</f>
        <v>49</v>
      </c>
      <c r="Y71" s="149">
        <f>IFERROR(__xludf.DUMMYFUNCTION("""COMPUTED_VALUE"""),15.0)</f>
        <v>15</v>
      </c>
      <c r="Z71" s="149">
        <f>IFERROR(__xludf.DUMMYFUNCTION("""COMPUTED_VALUE"""),564.0)</f>
        <v>564</v>
      </c>
    </row>
    <row r="72">
      <c r="A72" s="187">
        <f>IFERROR(__xludf.DUMMYFUNCTION("""COMPUTED_VALUE"""),43963.0)</f>
        <v>43963</v>
      </c>
      <c r="B72" s="149">
        <f>IFERROR(__xludf.DUMMYFUNCTION("""COMPUTED_VALUE"""),387.0)</f>
        <v>387</v>
      </c>
      <c r="C72" s="149">
        <f>IFERROR(__xludf.DUMMYFUNCTION("""COMPUTED_VALUE"""),310.0)</f>
        <v>310</v>
      </c>
      <c r="D72" s="149">
        <f>IFERROR(__xludf.DUMMYFUNCTION("""COMPUTED_VALUE"""),14544.0)</f>
        <v>14544</v>
      </c>
      <c r="E72" s="149">
        <f>IFERROR(__xludf.DUMMYFUNCTION("""COMPUTED_VALUE"""),2623.0)</f>
        <v>2623</v>
      </c>
      <c r="F72" s="149">
        <f>IFERROR(__xludf.DUMMYFUNCTION("""COMPUTED_VALUE"""),90323.0)</f>
        <v>90323</v>
      </c>
      <c r="G72" s="149">
        <f>IFERROR(__xludf.DUMMYFUNCTION("""COMPUTED_VALUE"""),3010.0)</f>
        <v>3010</v>
      </c>
      <c r="H72" s="149">
        <f>IFERROR(__xludf.DUMMYFUNCTION("""COMPUTED_VALUE"""),104867.0)</f>
        <v>104867</v>
      </c>
      <c r="I72" s="149">
        <f>IFERROR(__xludf.DUMMYFUNCTION("""COMPUTED_VALUE"""),218.0)</f>
        <v>218</v>
      </c>
      <c r="J72" s="149">
        <f>IFERROR(__xludf.DUMMYFUNCTION("""COMPUTED_VALUE"""),195.0)</f>
        <v>195</v>
      </c>
      <c r="K72" s="149">
        <f>IFERROR(__xludf.DUMMYFUNCTION("""COMPUTED_VALUE"""),12051.0)</f>
        <v>12051</v>
      </c>
      <c r="L72" s="149">
        <f>IFERROR(__xludf.DUMMYFUNCTION("""COMPUTED_VALUE"""),1711.0)</f>
        <v>1711</v>
      </c>
      <c r="M72" s="149">
        <f>IFERROR(__xludf.DUMMYFUNCTION("""COMPUTED_VALUE"""),70729.0)</f>
        <v>70729</v>
      </c>
      <c r="N72" s="149">
        <f>IFERROR(__xludf.DUMMYFUNCTION("""COMPUTED_VALUE"""),82780.0)</f>
        <v>82780</v>
      </c>
      <c r="O72" s="149">
        <f>IFERROR(__xludf.DUMMYFUNCTION("""COMPUTED_VALUE"""),23.0)</f>
        <v>23</v>
      </c>
      <c r="P72" s="149">
        <f>IFERROR(__xludf.DUMMYFUNCTION("""COMPUTED_VALUE"""),1411.0)</f>
        <v>1411</v>
      </c>
      <c r="Q72" s="149">
        <f>IFERROR(__xludf.DUMMYFUNCTION("""COMPUTED_VALUE"""),18.0)</f>
        <v>18</v>
      </c>
      <c r="R72" s="149">
        <f>IFERROR(__xludf.DUMMYFUNCTION("""COMPUTED_VALUE"""),931.0)</f>
        <v>931</v>
      </c>
      <c r="S72" s="149">
        <f>IFERROR(__xludf.DUMMYFUNCTION("""COMPUTED_VALUE"""),4.0)</f>
        <v>4</v>
      </c>
      <c r="T72" s="149">
        <f>IFERROR(__xludf.DUMMYFUNCTION("""COMPUTED_VALUE"""),185.0)</f>
        <v>185</v>
      </c>
      <c r="U72" s="149">
        <f>IFERROR(__xludf.DUMMYFUNCTION("""COMPUTED_VALUE"""),295.0)</f>
        <v>295</v>
      </c>
      <c r="V72" s="149">
        <f>IFERROR(__xludf.DUMMYFUNCTION("""COMPUTED_VALUE"""),291.0)</f>
        <v>291</v>
      </c>
      <c r="W72" s="149">
        <f>IFERROR(__xludf.DUMMYFUNCTION("""COMPUTED_VALUE"""),69.0)</f>
        <v>69</v>
      </c>
      <c r="X72" s="149">
        <f>IFERROR(__xludf.DUMMYFUNCTION("""COMPUTED_VALUE"""),48.0)</f>
        <v>48</v>
      </c>
      <c r="Y72" s="149">
        <f>IFERROR(__xludf.DUMMYFUNCTION("""COMPUTED_VALUE"""),22.0)</f>
        <v>22</v>
      </c>
      <c r="Z72" s="149">
        <f>IFERROR(__xludf.DUMMYFUNCTION("""COMPUTED_VALUE"""),586.0)</f>
        <v>586</v>
      </c>
    </row>
    <row r="73">
      <c r="A73" s="187">
        <f>IFERROR(__xludf.DUMMYFUNCTION("""COMPUTED_VALUE"""),43964.0)</f>
        <v>43964</v>
      </c>
      <c r="B73" s="149">
        <f>IFERROR(__xludf.DUMMYFUNCTION("""COMPUTED_VALUE"""),352.0)</f>
        <v>352</v>
      </c>
      <c r="C73" s="149">
        <f>IFERROR(__xludf.DUMMYFUNCTION("""COMPUTED_VALUE"""),333.0)</f>
        <v>333</v>
      </c>
      <c r="D73" s="149">
        <f>IFERROR(__xludf.DUMMYFUNCTION("""COMPUTED_VALUE"""),14896.0)</f>
        <v>14896</v>
      </c>
      <c r="E73" s="149">
        <f>IFERROR(__xludf.DUMMYFUNCTION("""COMPUTED_VALUE"""),3638.0)</f>
        <v>3638</v>
      </c>
      <c r="F73" s="149">
        <f>IFERROR(__xludf.DUMMYFUNCTION("""COMPUTED_VALUE"""),93961.0)</f>
        <v>93961</v>
      </c>
      <c r="G73" s="149">
        <f>IFERROR(__xludf.DUMMYFUNCTION("""COMPUTED_VALUE"""),3990.0)</f>
        <v>3990</v>
      </c>
      <c r="H73" s="149">
        <f>IFERROR(__xludf.DUMMYFUNCTION("""COMPUTED_VALUE"""),108857.0)</f>
        <v>108857</v>
      </c>
      <c r="I73" s="149">
        <f>IFERROR(__xludf.DUMMYFUNCTION("""COMPUTED_VALUE"""),199.0)</f>
        <v>199</v>
      </c>
      <c r="J73" s="149">
        <f>IFERROR(__xludf.DUMMYFUNCTION("""COMPUTED_VALUE"""),198.0)</f>
        <v>198</v>
      </c>
      <c r="K73" s="149">
        <f>IFERROR(__xludf.DUMMYFUNCTION("""COMPUTED_VALUE"""),12250.0)</f>
        <v>12250</v>
      </c>
      <c r="L73" s="149">
        <f>IFERROR(__xludf.DUMMYFUNCTION("""COMPUTED_VALUE"""),2009.0)</f>
        <v>2009</v>
      </c>
      <c r="M73" s="149">
        <f>IFERROR(__xludf.DUMMYFUNCTION("""COMPUTED_VALUE"""),72738.0)</f>
        <v>72738</v>
      </c>
      <c r="N73" s="149">
        <f>IFERROR(__xludf.DUMMYFUNCTION("""COMPUTED_VALUE"""),84988.0)</f>
        <v>84988</v>
      </c>
      <c r="O73" s="149">
        <f>IFERROR(__xludf.DUMMYFUNCTION("""COMPUTED_VALUE"""),23.0)</f>
        <v>23</v>
      </c>
      <c r="P73" s="149">
        <f>IFERROR(__xludf.DUMMYFUNCTION("""COMPUTED_VALUE"""),1434.0)</f>
        <v>1434</v>
      </c>
      <c r="Q73" s="149">
        <f>IFERROR(__xludf.DUMMYFUNCTION("""COMPUTED_VALUE"""),25.0)</f>
        <v>25</v>
      </c>
      <c r="R73" s="149">
        <f>IFERROR(__xludf.DUMMYFUNCTION("""COMPUTED_VALUE"""),956.0)</f>
        <v>956</v>
      </c>
      <c r="S73" s="149">
        <f>IFERROR(__xludf.DUMMYFUNCTION("""COMPUTED_VALUE"""),1.0)</f>
        <v>1</v>
      </c>
      <c r="T73" s="149">
        <f>IFERROR(__xludf.DUMMYFUNCTION("""COMPUTED_VALUE"""),186.0)</f>
        <v>186</v>
      </c>
      <c r="U73" s="149">
        <f>IFERROR(__xludf.DUMMYFUNCTION("""COMPUTED_VALUE"""),292.0)</f>
        <v>292</v>
      </c>
      <c r="V73" s="149">
        <f>IFERROR(__xludf.DUMMYFUNCTION("""COMPUTED_VALUE"""),294.0)</f>
        <v>294</v>
      </c>
      <c r="W73" s="149">
        <f>IFERROR(__xludf.DUMMYFUNCTION("""COMPUTED_VALUE"""),69.0)</f>
        <v>69</v>
      </c>
      <c r="X73" s="149">
        <f>IFERROR(__xludf.DUMMYFUNCTION("""COMPUTED_VALUE"""),49.0)</f>
        <v>49</v>
      </c>
      <c r="Y73" s="149">
        <f>IFERROR(__xludf.DUMMYFUNCTION("""COMPUTED_VALUE"""),13.0)</f>
        <v>13</v>
      </c>
      <c r="Z73" s="149">
        <f>IFERROR(__xludf.DUMMYFUNCTION("""COMPUTED_VALUE"""),599.0)</f>
        <v>599</v>
      </c>
    </row>
    <row r="74">
      <c r="A74" s="187">
        <f>IFERROR(__xludf.DUMMYFUNCTION("""COMPUTED_VALUE"""),43965.0)</f>
        <v>43965</v>
      </c>
      <c r="B74" s="149">
        <f>IFERROR(__xludf.DUMMYFUNCTION("""COMPUTED_VALUE"""),330.0)</f>
        <v>330</v>
      </c>
      <c r="C74" s="149">
        <f>IFERROR(__xludf.DUMMYFUNCTION("""COMPUTED_VALUE"""),356.0)</f>
        <v>356</v>
      </c>
      <c r="D74" s="149">
        <f>IFERROR(__xludf.DUMMYFUNCTION("""COMPUTED_VALUE"""),15226.0)</f>
        <v>15226</v>
      </c>
      <c r="E74" s="149">
        <f>IFERROR(__xludf.DUMMYFUNCTION("""COMPUTED_VALUE"""),3421.0)</f>
        <v>3421</v>
      </c>
      <c r="F74" s="149">
        <f>IFERROR(__xludf.DUMMYFUNCTION("""COMPUTED_VALUE"""),97382.0)</f>
        <v>97382</v>
      </c>
      <c r="G74" s="149">
        <f>IFERROR(__xludf.DUMMYFUNCTION("""COMPUTED_VALUE"""),3751.0)</f>
        <v>3751</v>
      </c>
      <c r="H74" s="149">
        <f>IFERROR(__xludf.DUMMYFUNCTION("""COMPUTED_VALUE"""),112608.0)</f>
        <v>112608</v>
      </c>
      <c r="I74" s="149">
        <f>IFERROR(__xludf.DUMMYFUNCTION("""COMPUTED_VALUE"""),232.0)</f>
        <v>232</v>
      </c>
      <c r="J74" s="149">
        <f>IFERROR(__xludf.DUMMYFUNCTION("""COMPUTED_VALUE"""),216.0)</f>
        <v>216</v>
      </c>
      <c r="K74" s="149">
        <f>IFERROR(__xludf.DUMMYFUNCTION("""COMPUTED_VALUE"""),12482.0)</f>
        <v>12482</v>
      </c>
      <c r="L74" s="149">
        <f>IFERROR(__xludf.DUMMYFUNCTION("""COMPUTED_VALUE"""),2019.0)</f>
        <v>2019</v>
      </c>
      <c r="M74" s="149">
        <f>IFERROR(__xludf.DUMMYFUNCTION("""COMPUTED_VALUE"""),74757.0)</f>
        <v>74757</v>
      </c>
      <c r="N74" s="149">
        <f>IFERROR(__xludf.DUMMYFUNCTION("""COMPUTED_VALUE"""),87239.0)</f>
        <v>87239</v>
      </c>
      <c r="O74" s="149">
        <f>IFERROR(__xludf.DUMMYFUNCTION("""COMPUTED_VALUE"""),19.0)</f>
        <v>19</v>
      </c>
      <c r="P74" s="149">
        <f>IFERROR(__xludf.DUMMYFUNCTION("""COMPUTED_VALUE"""),1453.0)</f>
        <v>1453</v>
      </c>
      <c r="Q74" s="149">
        <f>IFERROR(__xludf.DUMMYFUNCTION("""COMPUTED_VALUE"""),27.0)</f>
        <v>27</v>
      </c>
      <c r="R74" s="149">
        <f>IFERROR(__xludf.DUMMYFUNCTION("""COMPUTED_VALUE"""),983.0)</f>
        <v>983</v>
      </c>
      <c r="S74" s="149">
        <f>IFERROR(__xludf.DUMMYFUNCTION("""COMPUTED_VALUE"""),3.0)</f>
        <v>3</v>
      </c>
      <c r="T74" s="149">
        <f>IFERROR(__xludf.DUMMYFUNCTION("""COMPUTED_VALUE"""),189.0)</f>
        <v>189</v>
      </c>
      <c r="U74" s="149">
        <f>IFERROR(__xludf.DUMMYFUNCTION("""COMPUTED_VALUE"""),281.0)</f>
        <v>281</v>
      </c>
      <c r="V74" s="149">
        <f>IFERROR(__xludf.DUMMYFUNCTION("""COMPUTED_VALUE"""),289.0)</f>
        <v>289</v>
      </c>
      <c r="W74" s="149">
        <f>IFERROR(__xludf.DUMMYFUNCTION("""COMPUTED_VALUE"""),64.0)</f>
        <v>64</v>
      </c>
      <c r="X74" s="149">
        <f>IFERROR(__xludf.DUMMYFUNCTION("""COMPUTED_VALUE"""),45.0)</f>
        <v>45</v>
      </c>
      <c r="Y74" s="149">
        <f>IFERROR(__xludf.DUMMYFUNCTION("""COMPUTED_VALUE"""),15.0)</f>
        <v>15</v>
      </c>
      <c r="Z74" s="149">
        <f>IFERROR(__xludf.DUMMYFUNCTION("""COMPUTED_VALUE"""),614.0)</f>
        <v>614</v>
      </c>
    </row>
    <row r="75">
      <c r="A75" s="187">
        <f>IFERROR(__xludf.DUMMYFUNCTION("""COMPUTED_VALUE"""),43966.0)</f>
        <v>43966</v>
      </c>
      <c r="B75" s="149">
        <f>IFERROR(__xludf.DUMMYFUNCTION("""COMPUTED_VALUE"""),382.0)</f>
        <v>382</v>
      </c>
      <c r="C75" s="149">
        <f>IFERROR(__xludf.DUMMYFUNCTION("""COMPUTED_VALUE"""),355.0)</f>
        <v>355</v>
      </c>
      <c r="D75" s="149">
        <f>IFERROR(__xludf.DUMMYFUNCTION("""COMPUTED_VALUE"""),15608.0)</f>
        <v>15608</v>
      </c>
      <c r="E75" s="149">
        <f>IFERROR(__xludf.DUMMYFUNCTION("""COMPUTED_VALUE"""),3473.0)</f>
        <v>3473</v>
      </c>
      <c r="F75" s="149">
        <f>IFERROR(__xludf.DUMMYFUNCTION("""COMPUTED_VALUE"""),100855.0)</f>
        <v>100855</v>
      </c>
      <c r="G75" s="149">
        <f>IFERROR(__xludf.DUMMYFUNCTION("""COMPUTED_VALUE"""),3855.0)</f>
        <v>3855</v>
      </c>
      <c r="H75" s="149">
        <f>IFERROR(__xludf.DUMMYFUNCTION("""COMPUTED_VALUE"""),116463.0)</f>
        <v>116463</v>
      </c>
      <c r="I75" s="149">
        <f>IFERROR(__xludf.DUMMYFUNCTION("""COMPUTED_VALUE"""),237.0)</f>
        <v>237</v>
      </c>
      <c r="J75" s="149">
        <f>IFERROR(__xludf.DUMMYFUNCTION("""COMPUTED_VALUE"""),223.0)</f>
        <v>223</v>
      </c>
      <c r="K75" s="149">
        <f>IFERROR(__xludf.DUMMYFUNCTION("""COMPUTED_VALUE"""),12719.0)</f>
        <v>12719</v>
      </c>
      <c r="L75" s="149">
        <f>IFERROR(__xludf.DUMMYFUNCTION("""COMPUTED_VALUE"""),1811.0)</f>
        <v>1811</v>
      </c>
      <c r="M75" s="149">
        <f>IFERROR(__xludf.DUMMYFUNCTION("""COMPUTED_VALUE"""),76568.0)</f>
        <v>76568</v>
      </c>
      <c r="N75" s="149">
        <f>IFERROR(__xludf.DUMMYFUNCTION("""COMPUTED_VALUE"""),89287.0)</f>
        <v>89287</v>
      </c>
      <c r="O75" s="149">
        <f>IFERROR(__xludf.DUMMYFUNCTION("""COMPUTED_VALUE"""),24.0)</f>
        <v>24</v>
      </c>
      <c r="P75" s="149">
        <f>IFERROR(__xludf.DUMMYFUNCTION("""COMPUTED_VALUE"""),1477.0)</f>
        <v>1477</v>
      </c>
      <c r="Q75" s="149">
        <f>IFERROR(__xludf.DUMMYFUNCTION("""COMPUTED_VALUE"""),41.0)</f>
        <v>41</v>
      </c>
      <c r="R75" s="149">
        <f>IFERROR(__xludf.DUMMYFUNCTION("""COMPUTED_VALUE"""),1024.0)</f>
        <v>1024</v>
      </c>
      <c r="S75" s="149">
        <f>IFERROR(__xludf.DUMMYFUNCTION("""COMPUTED_VALUE"""),5.0)</f>
        <v>5</v>
      </c>
      <c r="T75" s="149">
        <f>IFERROR(__xludf.DUMMYFUNCTION("""COMPUTED_VALUE"""),194.0)</f>
        <v>194</v>
      </c>
      <c r="U75" s="149">
        <f>IFERROR(__xludf.DUMMYFUNCTION("""COMPUTED_VALUE"""),259.0)</f>
        <v>259</v>
      </c>
      <c r="V75" s="149">
        <f>IFERROR(__xludf.DUMMYFUNCTION("""COMPUTED_VALUE"""),277.0)</f>
        <v>277</v>
      </c>
      <c r="W75" s="149">
        <f>IFERROR(__xludf.DUMMYFUNCTION("""COMPUTED_VALUE"""),62.0)</f>
        <v>62</v>
      </c>
      <c r="X75" s="149">
        <f>IFERROR(__xludf.DUMMYFUNCTION("""COMPUTED_VALUE"""),45.0)</f>
        <v>45</v>
      </c>
      <c r="Y75" s="149">
        <f>IFERROR(__xludf.DUMMYFUNCTION("""COMPUTED_VALUE"""),13.0)</f>
        <v>13</v>
      </c>
      <c r="Z75" s="149">
        <f>IFERROR(__xludf.DUMMYFUNCTION("""COMPUTED_VALUE"""),627.0)</f>
        <v>627</v>
      </c>
    </row>
    <row r="76">
      <c r="A76" s="187">
        <f>IFERROR(__xludf.DUMMYFUNCTION("""COMPUTED_VALUE"""),43967.0)</f>
        <v>43967</v>
      </c>
      <c r="B76" s="149">
        <f>IFERROR(__xludf.DUMMYFUNCTION("""COMPUTED_VALUE"""),454.0)</f>
        <v>454</v>
      </c>
      <c r="C76" s="149">
        <f>IFERROR(__xludf.DUMMYFUNCTION("""COMPUTED_VALUE"""),389.0)</f>
        <v>389</v>
      </c>
      <c r="D76" s="149">
        <f>IFERROR(__xludf.DUMMYFUNCTION("""COMPUTED_VALUE"""),16062.0)</f>
        <v>16062</v>
      </c>
      <c r="E76" s="149">
        <f>IFERROR(__xludf.DUMMYFUNCTION("""COMPUTED_VALUE"""),4172.0)</f>
        <v>4172</v>
      </c>
      <c r="F76" s="149">
        <f>IFERROR(__xludf.DUMMYFUNCTION("""COMPUTED_VALUE"""),105027.0)</f>
        <v>105027</v>
      </c>
      <c r="G76" s="149">
        <f>IFERROR(__xludf.DUMMYFUNCTION("""COMPUTED_VALUE"""),4626.0)</f>
        <v>4626</v>
      </c>
      <c r="H76" s="149">
        <f>IFERROR(__xludf.DUMMYFUNCTION("""COMPUTED_VALUE"""),121089.0)</f>
        <v>121089</v>
      </c>
      <c r="I76" s="149">
        <f>IFERROR(__xludf.DUMMYFUNCTION("""COMPUTED_VALUE"""),252.0)</f>
        <v>252</v>
      </c>
      <c r="J76" s="149">
        <f>IFERROR(__xludf.DUMMYFUNCTION("""COMPUTED_VALUE"""),240.0)</f>
        <v>240</v>
      </c>
      <c r="K76" s="149">
        <f>IFERROR(__xludf.DUMMYFUNCTION("""COMPUTED_VALUE"""),12971.0)</f>
        <v>12971</v>
      </c>
      <c r="L76" s="149">
        <f>IFERROR(__xludf.DUMMYFUNCTION("""COMPUTED_VALUE"""),1964.0)</f>
        <v>1964</v>
      </c>
      <c r="M76" s="149">
        <f>IFERROR(__xludf.DUMMYFUNCTION("""COMPUTED_VALUE"""),78532.0)</f>
        <v>78532</v>
      </c>
      <c r="N76" s="149">
        <f>IFERROR(__xludf.DUMMYFUNCTION("""COMPUTED_VALUE"""),91503.0)</f>
        <v>91503</v>
      </c>
      <c r="O76" s="149">
        <f>IFERROR(__xludf.DUMMYFUNCTION("""COMPUTED_VALUE"""),25.0)</f>
        <v>25</v>
      </c>
      <c r="P76" s="149">
        <f>IFERROR(__xludf.DUMMYFUNCTION("""COMPUTED_VALUE"""),1502.0)</f>
        <v>1502</v>
      </c>
      <c r="Q76" s="149">
        <f>IFERROR(__xludf.DUMMYFUNCTION("""COMPUTED_VALUE"""),13.0)</f>
        <v>13</v>
      </c>
      <c r="R76" s="149">
        <f>IFERROR(__xludf.DUMMYFUNCTION("""COMPUTED_VALUE"""),1037.0)</f>
        <v>1037</v>
      </c>
      <c r="S76" s="149">
        <f>IFERROR(__xludf.DUMMYFUNCTION("""COMPUTED_VALUE"""),5.0)</f>
        <v>5</v>
      </c>
      <c r="T76" s="149">
        <f>IFERROR(__xludf.DUMMYFUNCTION("""COMPUTED_VALUE"""),199.0)</f>
        <v>199</v>
      </c>
      <c r="U76" s="149">
        <f>IFERROR(__xludf.DUMMYFUNCTION("""COMPUTED_VALUE"""),266.0)</f>
        <v>266</v>
      </c>
      <c r="V76" s="149">
        <f>IFERROR(__xludf.DUMMYFUNCTION("""COMPUTED_VALUE"""),269.0)</f>
        <v>269</v>
      </c>
      <c r="W76" s="149">
        <f>IFERROR(__xludf.DUMMYFUNCTION("""COMPUTED_VALUE"""),61.0)</f>
        <v>61</v>
      </c>
      <c r="X76" s="149">
        <f>IFERROR(__xludf.DUMMYFUNCTION("""COMPUTED_VALUE"""),46.0)</f>
        <v>46</v>
      </c>
      <c r="Y76" s="149">
        <f>IFERROR(__xludf.DUMMYFUNCTION("""COMPUTED_VALUE"""),15.0)</f>
        <v>15</v>
      </c>
      <c r="Z76" s="149">
        <f>IFERROR(__xludf.DUMMYFUNCTION("""COMPUTED_VALUE"""),642.0)</f>
        <v>642</v>
      </c>
    </row>
    <row r="77">
      <c r="A77" s="187">
        <f>IFERROR(__xludf.DUMMYFUNCTION("""COMPUTED_VALUE"""),43968.0)</f>
        <v>43968</v>
      </c>
      <c r="B77" s="149">
        <f>IFERROR(__xludf.DUMMYFUNCTION("""COMPUTED_VALUE"""),240.0)</f>
        <v>240</v>
      </c>
      <c r="C77" s="149">
        <f>IFERROR(__xludf.DUMMYFUNCTION("""COMPUTED_VALUE"""),359.0)</f>
        <v>359</v>
      </c>
      <c r="D77" s="149">
        <f>IFERROR(__xludf.DUMMYFUNCTION("""COMPUTED_VALUE"""),16302.0)</f>
        <v>16302</v>
      </c>
      <c r="E77" s="149">
        <f>IFERROR(__xludf.DUMMYFUNCTION("""COMPUTED_VALUE"""),2775.0)</f>
        <v>2775</v>
      </c>
      <c r="F77" s="149">
        <f>IFERROR(__xludf.DUMMYFUNCTION("""COMPUTED_VALUE"""),107802.0)</f>
        <v>107802</v>
      </c>
      <c r="G77" s="149">
        <f>IFERROR(__xludf.DUMMYFUNCTION("""COMPUTED_VALUE"""),3015.0)</f>
        <v>3015</v>
      </c>
      <c r="H77" s="149">
        <f>IFERROR(__xludf.DUMMYFUNCTION("""COMPUTED_VALUE"""),124104.0)</f>
        <v>124104</v>
      </c>
      <c r="I77" s="149">
        <f>IFERROR(__xludf.DUMMYFUNCTION("""COMPUTED_VALUE"""),129.0)</f>
        <v>129</v>
      </c>
      <c r="J77" s="149">
        <f>IFERROR(__xludf.DUMMYFUNCTION("""COMPUTED_VALUE"""),206.0)</f>
        <v>206</v>
      </c>
      <c r="K77" s="149">
        <f>IFERROR(__xludf.DUMMYFUNCTION("""COMPUTED_VALUE"""),13100.0)</f>
        <v>13100</v>
      </c>
      <c r="L77" s="149">
        <f>IFERROR(__xludf.DUMMYFUNCTION("""COMPUTED_VALUE"""),1559.0)</f>
        <v>1559</v>
      </c>
      <c r="M77" s="149">
        <f>IFERROR(__xludf.DUMMYFUNCTION("""COMPUTED_VALUE"""),80091.0)</f>
        <v>80091</v>
      </c>
      <c r="N77" s="149">
        <f>IFERROR(__xludf.DUMMYFUNCTION("""COMPUTED_VALUE"""),93191.0)</f>
        <v>93191</v>
      </c>
      <c r="O77" s="149">
        <f>IFERROR(__xludf.DUMMYFUNCTION("""COMPUTED_VALUE"""),17.0)</f>
        <v>17</v>
      </c>
      <c r="P77" s="149">
        <f>IFERROR(__xludf.DUMMYFUNCTION("""COMPUTED_VALUE"""),1519.0)</f>
        <v>1519</v>
      </c>
      <c r="Q77" s="149">
        <f>IFERROR(__xludf.DUMMYFUNCTION("""COMPUTED_VALUE"""),8.0)</f>
        <v>8</v>
      </c>
      <c r="R77" s="149">
        <f>IFERROR(__xludf.DUMMYFUNCTION("""COMPUTED_VALUE"""),1045.0)</f>
        <v>1045</v>
      </c>
      <c r="S77" s="149">
        <f>IFERROR(__xludf.DUMMYFUNCTION("""COMPUTED_VALUE"""),5.0)</f>
        <v>5</v>
      </c>
      <c r="T77" s="149">
        <f>IFERROR(__xludf.DUMMYFUNCTION("""COMPUTED_VALUE"""),204.0)</f>
        <v>204</v>
      </c>
      <c r="U77" s="149">
        <f>IFERROR(__xludf.DUMMYFUNCTION("""COMPUTED_VALUE"""),270.0)</f>
        <v>270</v>
      </c>
      <c r="V77" s="149">
        <f>IFERROR(__xludf.DUMMYFUNCTION("""COMPUTED_VALUE"""),265.0)</f>
        <v>265</v>
      </c>
      <c r="W77" s="149">
        <f>IFERROR(__xludf.DUMMYFUNCTION("""COMPUTED_VALUE"""),59.0)</f>
        <v>59</v>
      </c>
      <c r="X77" s="149">
        <f>IFERROR(__xludf.DUMMYFUNCTION("""COMPUTED_VALUE"""),45.0)</f>
        <v>45</v>
      </c>
      <c r="Y77" s="149">
        <f>IFERROR(__xludf.DUMMYFUNCTION("""COMPUTED_VALUE"""),10.0)</f>
        <v>10</v>
      </c>
      <c r="Z77" s="149">
        <f>IFERROR(__xludf.DUMMYFUNCTION("""COMPUTED_VALUE"""),652.0)</f>
        <v>652</v>
      </c>
    </row>
    <row r="78">
      <c r="A78" s="187">
        <f>IFERROR(__xludf.DUMMYFUNCTION("""COMPUTED_VALUE"""),43969.0)</f>
        <v>43969</v>
      </c>
      <c r="B78" s="149">
        <f>IFERROR(__xludf.DUMMYFUNCTION("""COMPUTED_VALUE"""),251.0)</f>
        <v>251</v>
      </c>
      <c r="C78" s="149">
        <f>IFERROR(__xludf.DUMMYFUNCTION("""COMPUTED_VALUE"""),315.0)</f>
        <v>315</v>
      </c>
      <c r="D78" s="149">
        <f>IFERROR(__xludf.DUMMYFUNCTION("""COMPUTED_VALUE"""),16553.0)</f>
        <v>16553</v>
      </c>
      <c r="E78" s="149">
        <f>IFERROR(__xludf.DUMMYFUNCTION("""COMPUTED_VALUE"""),2007.0)</f>
        <v>2007</v>
      </c>
      <c r="F78" s="149">
        <f>IFERROR(__xludf.DUMMYFUNCTION("""COMPUTED_VALUE"""),109809.0)</f>
        <v>109809</v>
      </c>
      <c r="G78" s="149">
        <f>IFERROR(__xludf.DUMMYFUNCTION("""COMPUTED_VALUE"""),2258.0)</f>
        <v>2258</v>
      </c>
      <c r="H78" s="149">
        <f>IFERROR(__xludf.DUMMYFUNCTION("""COMPUTED_VALUE"""),126362.0)</f>
        <v>126362</v>
      </c>
      <c r="I78" s="149">
        <f>IFERROR(__xludf.DUMMYFUNCTION("""COMPUTED_VALUE"""),140.0)</f>
        <v>140</v>
      </c>
      <c r="J78" s="149">
        <f>IFERROR(__xludf.DUMMYFUNCTION("""COMPUTED_VALUE"""),174.0)</f>
        <v>174</v>
      </c>
      <c r="K78" s="149">
        <f>IFERROR(__xludf.DUMMYFUNCTION("""COMPUTED_VALUE"""),13240.0)</f>
        <v>13240</v>
      </c>
      <c r="L78" s="149">
        <f>IFERROR(__xludf.DUMMYFUNCTION("""COMPUTED_VALUE"""),1371.0)</f>
        <v>1371</v>
      </c>
      <c r="M78" s="149">
        <f>IFERROR(__xludf.DUMMYFUNCTION("""COMPUTED_VALUE"""),81462.0)</f>
        <v>81462</v>
      </c>
      <c r="N78" s="149">
        <f>IFERROR(__xludf.DUMMYFUNCTION("""COMPUTED_VALUE"""),94702.0)</f>
        <v>94702</v>
      </c>
      <c r="O78" s="149">
        <f>IFERROR(__xludf.DUMMYFUNCTION("""COMPUTED_VALUE"""),19.0)</f>
        <v>19</v>
      </c>
      <c r="P78" s="149">
        <f>IFERROR(__xludf.DUMMYFUNCTION("""COMPUTED_VALUE"""),1538.0)</f>
        <v>1538</v>
      </c>
      <c r="Q78" s="149">
        <f>IFERROR(__xludf.DUMMYFUNCTION("""COMPUTED_VALUE"""),15.0)</f>
        <v>15</v>
      </c>
      <c r="R78" s="149">
        <f>IFERROR(__xludf.DUMMYFUNCTION("""COMPUTED_VALUE"""),1060.0)</f>
        <v>1060</v>
      </c>
      <c r="S78" s="149">
        <f>IFERROR(__xludf.DUMMYFUNCTION("""COMPUTED_VALUE"""),5.0)</f>
        <v>5</v>
      </c>
      <c r="T78" s="149">
        <f>IFERROR(__xludf.DUMMYFUNCTION("""COMPUTED_VALUE"""),209.0)</f>
        <v>209</v>
      </c>
      <c r="U78" s="149">
        <f>IFERROR(__xludf.DUMMYFUNCTION("""COMPUTED_VALUE"""),269.0)</f>
        <v>269</v>
      </c>
      <c r="V78" s="149">
        <f>IFERROR(__xludf.DUMMYFUNCTION("""COMPUTED_VALUE"""),268.0)</f>
        <v>268</v>
      </c>
      <c r="W78" s="149">
        <f>IFERROR(__xludf.DUMMYFUNCTION("""COMPUTED_VALUE"""),57.0)</f>
        <v>57</v>
      </c>
      <c r="X78" s="149">
        <f>IFERROR(__xludf.DUMMYFUNCTION("""COMPUTED_VALUE"""),40.0)</f>
        <v>40</v>
      </c>
      <c r="Y78" s="149">
        <f>IFERROR(__xludf.DUMMYFUNCTION("""COMPUTED_VALUE"""),18.0)</f>
        <v>18</v>
      </c>
      <c r="Z78" s="149">
        <f>IFERROR(__xludf.DUMMYFUNCTION("""COMPUTED_VALUE"""),670.0)</f>
        <v>670</v>
      </c>
    </row>
    <row r="79">
      <c r="A79" s="187">
        <f>IFERROR(__xludf.DUMMYFUNCTION("""COMPUTED_VALUE"""),43970.0)</f>
        <v>43970</v>
      </c>
      <c r="B79" s="149">
        <f>IFERROR(__xludf.DUMMYFUNCTION("""COMPUTED_VALUE"""),416.0)</f>
        <v>416</v>
      </c>
      <c r="C79" s="149">
        <f>IFERROR(__xludf.DUMMYFUNCTION("""COMPUTED_VALUE"""),302.0)</f>
        <v>302</v>
      </c>
      <c r="D79" s="149">
        <f>IFERROR(__xludf.DUMMYFUNCTION("""COMPUTED_VALUE"""),16969.0)</f>
        <v>16969</v>
      </c>
      <c r="E79" s="149">
        <f>IFERROR(__xludf.DUMMYFUNCTION("""COMPUTED_VALUE"""),3178.0)</f>
        <v>3178</v>
      </c>
      <c r="F79" s="149">
        <f>IFERROR(__xludf.DUMMYFUNCTION("""COMPUTED_VALUE"""),112987.0)</f>
        <v>112987</v>
      </c>
      <c r="G79" s="149">
        <f>IFERROR(__xludf.DUMMYFUNCTION("""COMPUTED_VALUE"""),3594.0)</f>
        <v>3594</v>
      </c>
      <c r="H79" s="149">
        <f>IFERROR(__xludf.DUMMYFUNCTION("""COMPUTED_VALUE"""),129956.0)</f>
        <v>129956</v>
      </c>
      <c r="I79" s="149">
        <f>IFERROR(__xludf.DUMMYFUNCTION("""COMPUTED_VALUE"""),214.0)</f>
        <v>214</v>
      </c>
      <c r="J79" s="149">
        <f>IFERROR(__xludf.DUMMYFUNCTION("""COMPUTED_VALUE"""),161.0)</f>
        <v>161</v>
      </c>
      <c r="K79" s="149">
        <f>IFERROR(__xludf.DUMMYFUNCTION("""COMPUTED_VALUE"""),13454.0)</f>
        <v>13454</v>
      </c>
      <c r="L79" s="149">
        <f>IFERROR(__xludf.DUMMYFUNCTION("""COMPUTED_VALUE"""),1932.0)</f>
        <v>1932</v>
      </c>
      <c r="M79" s="149">
        <f>IFERROR(__xludf.DUMMYFUNCTION("""COMPUTED_VALUE"""),83394.0)</f>
        <v>83394</v>
      </c>
      <c r="N79" s="149">
        <f>IFERROR(__xludf.DUMMYFUNCTION("""COMPUTED_VALUE"""),96848.0)</f>
        <v>96848</v>
      </c>
      <c r="O79" s="149">
        <f>IFERROR(__xludf.DUMMYFUNCTION("""COMPUTED_VALUE"""),23.0)</f>
        <v>23</v>
      </c>
      <c r="P79" s="149">
        <f>IFERROR(__xludf.DUMMYFUNCTION("""COMPUTED_VALUE"""),1561.0)</f>
        <v>1561</v>
      </c>
      <c r="Q79" s="149">
        <f>IFERROR(__xludf.DUMMYFUNCTION("""COMPUTED_VALUE"""),32.0)</f>
        <v>32</v>
      </c>
      <c r="R79" s="149">
        <f>IFERROR(__xludf.DUMMYFUNCTION("""COMPUTED_VALUE"""),1092.0)</f>
        <v>1092</v>
      </c>
      <c r="S79" s="149">
        <f>IFERROR(__xludf.DUMMYFUNCTION("""COMPUTED_VALUE"""),5.0)</f>
        <v>5</v>
      </c>
      <c r="T79" s="149">
        <f>IFERROR(__xludf.DUMMYFUNCTION("""COMPUTED_VALUE"""),214.0)</f>
        <v>214</v>
      </c>
      <c r="U79" s="149">
        <f>IFERROR(__xludf.DUMMYFUNCTION("""COMPUTED_VALUE"""),255.0)</f>
        <v>255</v>
      </c>
      <c r="V79" s="149">
        <f>IFERROR(__xludf.DUMMYFUNCTION("""COMPUTED_VALUE"""),265.0)</f>
        <v>265</v>
      </c>
      <c r="W79" s="149">
        <f>IFERROR(__xludf.DUMMYFUNCTION("""COMPUTED_VALUE"""),56.0)</f>
        <v>56</v>
      </c>
      <c r="X79" s="149">
        <f>IFERROR(__xludf.DUMMYFUNCTION("""COMPUTED_VALUE"""),38.0)</f>
        <v>38</v>
      </c>
      <c r="Y79" s="149">
        <f>IFERROR(__xludf.DUMMYFUNCTION("""COMPUTED_VALUE"""),11.0)</f>
        <v>11</v>
      </c>
      <c r="Z79" s="149">
        <f>IFERROR(__xludf.DUMMYFUNCTION("""COMPUTED_VALUE"""),681.0)</f>
        <v>681</v>
      </c>
    </row>
    <row r="80">
      <c r="A80" s="187">
        <f>IFERROR(__xludf.DUMMYFUNCTION("""COMPUTED_VALUE"""),43971.0)</f>
        <v>43971</v>
      </c>
      <c r="B80" s="149">
        <f>IFERROR(__xludf.DUMMYFUNCTION("""COMPUTED_VALUE"""),328.0)</f>
        <v>328</v>
      </c>
      <c r="C80" s="149">
        <f>IFERROR(__xludf.DUMMYFUNCTION("""COMPUTED_VALUE"""),332.0)</f>
        <v>332</v>
      </c>
      <c r="D80" s="149">
        <f>IFERROR(__xludf.DUMMYFUNCTION("""COMPUTED_VALUE"""),17297.0)</f>
        <v>17297</v>
      </c>
      <c r="E80" s="149">
        <f>IFERROR(__xludf.DUMMYFUNCTION("""COMPUTED_VALUE"""),2777.0)</f>
        <v>2777</v>
      </c>
      <c r="F80" s="149">
        <f>IFERROR(__xludf.DUMMYFUNCTION("""COMPUTED_VALUE"""),115764.0)</f>
        <v>115764</v>
      </c>
      <c r="G80" s="149">
        <f>IFERROR(__xludf.DUMMYFUNCTION("""COMPUTED_VALUE"""),3105.0)</f>
        <v>3105</v>
      </c>
      <c r="H80" s="149">
        <f>IFERROR(__xludf.DUMMYFUNCTION("""COMPUTED_VALUE"""),133061.0)</f>
        <v>133061</v>
      </c>
      <c r="I80" s="149">
        <f>IFERROR(__xludf.DUMMYFUNCTION("""COMPUTED_VALUE"""),188.0)</f>
        <v>188</v>
      </c>
      <c r="J80" s="149">
        <f>IFERROR(__xludf.DUMMYFUNCTION("""COMPUTED_VALUE"""),181.0)</f>
        <v>181</v>
      </c>
      <c r="K80" s="149">
        <f>IFERROR(__xludf.DUMMYFUNCTION("""COMPUTED_VALUE"""),13642.0)</f>
        <v>13642</v>
      </c>
      <c r="L80" s="149">
        <f>IFERROR(__xludf.DUMMYFUNCTION("""COMPUTED_VALUE"""),1517.0)</f>
        <v>1517</v>
      </c>
      <c r="M80" s="149">
        <f>IFERROR(__xludf.DUMMYFUNCTION("""COMPUTED_VALUE"""),84911.0)</f>
        <v>84911</v>
      </c>
      <c r="N80" s="149">
        <f>IFERROR(__xludf.DUMMYFUNCTION("""COMPUTED_VALUE"""),98553.0)</f>
        <v>98553</v>
      </c>
      <c r="O80" s="149">
        <f>IFERROR(__xludf.DUMMYFUNCTION("""COMPUTED_VALUE"""),19.0)</f>
        <v>19</v>
      </c>
      <c r="P80" s="149">
        <f>IFERROR(__xludf.DUMMYFUNCTION("""COMPUTED_VALUE"""),1580.0)</f>
        <v>1580</v>
      </c>
      <c r="Q80" s="149">
        <f>IFERROR(__xludf.DUMMYFUNCTION("""COMPUTED_VALUE"""),23.0)</f>
        <v>23</v>
      </c>
      <c r="R80" s="149">
        <f>IFERROR(__xludf.DUMMYFUNCTION("""COMPUTED_VALUE"""),1115.0)</f>
        <v>1115</v>
      </c>
      <c r="S80" s="149">
        <f>IFERROR(__xludf.DUMMYFUNCTION("""COMPUTED_VALUE"""),7.0)</f>
        <v>7</v>
      </c>
      <c r="T80" s="149">
        <f>IFERROR(__xludf.DUMMYFUNCTION("""COMPUTED_VALUE"""),221.0)</f>
        <v>221</v>
      </c>
      <c r="U80" s="149">
        <f>IFERROR(__xludf.DUMMYFUNCTION("""COMPUTED_VALUE"""),244.0)</f>
        <v>244</v>
      </c>
      <c r="V80" s="149">
        <f>IFERROR(__xludf.DUMMYFUNCTION("""COMPUTED_VALUE"""),256.0)</f>
        <v>256</v>
      </c>
      <c r="W80" s="149">
        <f>IFERROR(__xludf.DUMMYFUNCTION("""COMPUTED_VALUE"""),52.0)</f>
        <v>52</v>
      </c>
      <c r="X80" s="149">
        <f>IFERROR(__xludf.DUMMYFUNCTION("""COMPUTED_VALUE"""),33.0)</f>
        <v>33</v>
      </c>
      <c r="Y80" s="149">
        <f>IFERROR(__xludf.DUMMYFUNCTION("""COMPUTED_VALUE"""),22.0)</f>
        <v>22</v>
      </c>
      <c r="Z80" s="149">
        <f>IFERROR(__xludf.DUMMYFUNCTION("""COMPUTED_VALUE"""),703.0)</f>
        <v>703</v>
      </c>
    </row>
    <row r="81">
      <c r="A81" s="187">
        <f>IFERROR(__xludf.DUMMYFUNCTION("""COMPUTED_VALUE"""),43972.0)</f>
        <v>43972</v>
      </c>
      <c r="B81" s="149">
        <f>IFERROR(__xludf.DUMMYFUNCTION("""COMPUTED_VALUE"""),374.0)</f>
        <v>374</v>
      </c>
      <c r="C81" s="149">
        <f>IFERROR(__xludf.DUMMYFUNCTION("""COMPUTED_VALUE"""),373.0)</f>
        <v>373</v>
      </c>
      <c r="D81" s="149">
        <f>IFERROR(__xludf.DUMMYFUNCTION("""COMPUTED_VALUE"""),17671.0)</f>
        <v>17671</v>
      </c>
      <c r="E81" s="149">
        <f>IFERROR(__xludf.DUMMYFUNCTION("""COMPUTED_VALUE"""),3764.0)</f>
        <v>3764</v>
      </c>
      <c r="F81" s="149">
        <f>IFERROR(__xludf.DUMMYFUNCTION("""COMPUTED_VALUE"""),119528.0)</f>
        <v>119528</v>
      </c>
      <c r="G81" s="149">
        <f>IFERROR(__xludf.DUMMYFUNCTION("""COMPUTED_VALUE"""),4138.0)</f>
        <v>4138</v>
      </c>
      <c r="H81" s="149">
        <f>IFERROR(__xludf.DUMMYFUNCTION("""COMPUTED_VALUE"""),137199.0)</f>
        <v>137199</v>
      </c>
      <c r="I81" s="149">
        <f>IFERROR(__xludf.DUMMYFUNCTION("""COMPUTED_VALUE"""),170.0)</f>
        <v>170</v>
      </c>
      <c r="J81" s="149">
        <f>IFERROR(__xludf.DUMMYFUNCTION("""COMPUTED_VALUE"""),191.0)</f>
        <v>191</v>
      </c>
      <c r="K81" s="149">
        <f>IFERROR(__xludf.DUMMYFUNCTION("""COMPUTED_VALUE"""),13812.0)</f>
        <v>13812</v>
      </c>
      <c r="L81" s="149">
        <f>IFERROR(__xludf.DUMMYFUNCTION("""COMPUTED_VALUE"""),1941.0)</f>
        <v>1941</v>
      </c>
      <c r="M81" s="149">
        <f>IFERROR(__xludf.DUMMYFUNCTION("""COMPUTED_VALUE"""),86852.0)</f>
        <v>86852</v>
      </c>
      <c r="N81" s="149">
        <f>IFERROR(__xludf.DUMMYFUNCTION("""COMPUTED_VALUE"""),100664.0)</f>
        <v>100664</v>
      </c>
      <c r="O81" s="149">
        <f>IFERROR(__xludf.DUMMYFUNCTION("""COMPUTED_VALUE"""),26.0)</f>
        <v>26</v>
      </c>
      <c r="P81" s="149">
        <f>IFERROR(__xludf.DUMMYFUNCTION("""COMPUTED_VALUE"""),1606.0)</f>
        <v>1606</v>
      </c>
      <c r="Q81" s="149">
        <f>IFERROR(__xludf.DUMMYFUNCTION("""COMPUTED_VALUE"""),15.0)</f>
        <v>15</v>
      </c>
      <c r="R81" s="149">
        <f>IFERROR(__xludf.DUMMYFUNCTION("""COMPUTED_VALUE"""),1130.0)</f>
        <v>1130</v>
      </c>
      <c r="S81" s="149">
        <f>IFERROR(__xludf.DUMMYFUNCTION("""COMPUTED_VALUE"""),3.0)</f>
        <v>3</v>
      </c>
      <c r="T81" s="149">
        <f>IFERROR(__xludf.DUMMYFUNCTION("""COMPUTED_VALUE"""),224.0)</f>
        <v>224</v>
      </c>
      <c r="U81" s="149">
        <f>IFERROR(__xludf.DUMMYFUNCTION("""COMPUTED_VALUE"""),252.0)</f>
        <v>252</v>
      </c>
      <c r="V81" s="149">
        <f>IFERROR(__xludf.DUMMYFUNCTION("""COMPUTED_VALUE"""),250.0)</f>
        <v>250</v>
      </c>
      <c r="W81" s="149">
        <f>IFERROR(__xludf.DUMMYFUNCTION("""COMPUTED_VALUE"""),53.0)</f>
        <v>53</v>
      </c>
      <c r="X81" s="149">
        <f>IFERROR(__xludf.DUMMYFUNCTION("""COMPUTED_VALUE"""),29.0)</f>
        <v>29</v>
      </c>
      <c r="Y81" s="149">
        <f>IFERROR(__xludf.DUMMYFUNCTION("""COMPUTED_VALUE"""),20.0)</f>
        <v>20</v>
      </c>
      <c r="Z81" s="149">
        <f>IFERROR(__xludf.DUMMYFUNCTION("""COMPUTED_VALUE"""),723.0)</f>
        <v>723</v>
      </c>
    </row>
    <row r="82">
      <c r="A82" s="187">
        <f>IFERROR(__xludf.DUMMYFUNCTION("""COMPUTED_VALUE"""),43973.0)</f>
        <v>43973</v>
      </c>
      <c r="B82" s="149">
        <f>IFERROR(__xludf.DUMMYFUNCTION("""COMPUTED_VALUE"""),353.0)</f>
        <v>353</v>
      </c>
      <c r="C82" s="149">
        <f>IFERROR(__xludf.DUMMYFUNCTION("""COMPUTED_VALUE"""),352.0)</f>
        <v>352</v>
      </c>
      <c r="D82" s="149">
        <f>IFERROR(__xludf.DUMMYFUNCTION("""COMPUTED_VALUE"""),18024.0)</f>
        <v>18024</v>
      </c>
      <c r="E82" s="149">
        <f>IFERROR(__xludf.DUMMYFUNCTION("""COMPUTED_VALUE"""),3174.0)</f>
        <v>3174</v>
      </c>
      <c r="F82" s="149">
        <f>IFERROR(__xludf.DUMMYFUNCTION("""COMPUTED_VALUE"""),122702.0)</f>
        <v>122702</v>
      </c>
      <c r="G82" s="149">
        <f>IFERROR(__xludf.DUMMYFUNCTION("""COMPUTED_VALUE"""),3527.0)</f>
        <v>3527</v>
      </c>
      <c r="H82" s="149">
        <f>IFERROR(__xludf.DUMMYFUNCTION("""COMPUTED_VALUE"""),140726.0)</f>
        <v>140726</v>
      </c>
      <c r="I82" s="149">
        <f>IFERROR(__xludf.DUMMYFUNCTION("""COMPUTED_VALUE"""),204.0)</f>
        <v>204</v>
      </c>
      <c r="J82" s="149">
        <f>IFERROR(__xludf.DUMMYFUNCTION("""COMPUTED_VALUE"""),187.0)</f>
        <v>187</v>
      </c>
      <c r="K82" s="149">
        <f>IFERROR(__xludf.DUMMYFUNCTION("""COMPUTED_VALUE"""),14016.0)</f>
        <v>14016</v>
      </c>
      <c r="L82" s="149">
        <f>IFERROR(__xludf.DUMMYFUNCTION("""COMPUTED_VALUE"""),1612.0)</f>
        <v>1612</v>
      </c>
      <c r="M82" s="149">
        <f>IFERROR(__xludf.DUMMYFUNCTION("""COMPUTED_VALUE"""),88464.0)</f>
        <v>88464</v>
      </c>
      <c r="N82" s="149">
        <f>IFERROR(__xludf.DUMMYFUNCTION("""COMPUTED_VALUE"""),102480.0)</f>
        <v>102480</v>
      </c>
      <c r="O82" s="149">
        <f>IFERROR(__xludf.DUMMYFUNCTION("""COMPUTED_VALUE"""),20.0)</f>
        <v>20</v>
      </c>
      <c r="P82" s="149">
        <f>IFERROR(__xludf.DUMMYFUNCTION("""COMPUTED_VALUE"""),1626.0)</f>
        <v>1626</v>
      </c>
      <c r="Q82" s="149">
        <f>IFERROR(__xludf.DUMMYFUNCTION("""COMPUTED_VALUE"""),29.0)</f>
        <v>29</v>
      </c>
      <c r="R82" s="149">
        <f>IFERROR(__xludf.DUMMYFUNCTION("""COMPUTED_VALUE"""),1159.0)</f>
        <v>1159</v>
      </c>
      <c r="S82" s="149">
        <f>IFERROR(__xludf.DUMMYFUNCTION("""COMPUTED_VALUE"""),5.0)</f>
        <v>5</v>
      </c>
      <c r="T82" s="149">
        <f>IFERROR(__xludf.DUMMYFUNCTION("""COMPUTED_VALUE"""),229.0)</f>
        <v>229</v>
      </c>
      <c r="U82" s="149">
        <f>IFERROR(__xludf.DUMMYFUNCTION("""COMPUTED_VALUE"""),238.0)</f>
        <v>238</v>
      </c>
      <c r="V82" s="149">
        <f>IFERROR(__xludf.DUMMYFUNCTION("""COMPUTED_VALUE"""),245.0)</f>
        <v>245</v>
      </c>
      <c r="W82" s="149">
        <f>IFERROR(__xludf.DUMMYFUNCTION("""COMPUTED_VALUE"""),52.0)</f>
        <v>52</v>
      </c>
      <c r="X82" s="149">
        <f>IFERROR(__xludf.DUMMYFUNCTION("""COMPUTED_VALUE"""),29.0)</f>
        <v>29</v>
      </c>
      <c r="Y82" s="149">
        <f>IFERROR(__xludf.DUMMYFUNCTION("""COMPUTED_VALUE"""),10.0)</f>
        <v>10</v>
      </c>
      <c r="Z82" s="149">
        <f>IFERROR(__xludf.DUMMYFUNCTION("""COMPUTED_VALUE"""),733.0)</f>
        <v>733</v>
      </c>
    </row>
    <row r="83">
      <c r="A83" s="187">
        <f>IFERROR(__xludf.DUMMYFUNCTION("""COMPUTED_VALUE"""),43974.0)</f>
        <v>43974</v>
      </c>
      <c r="B83" s="149">
        <f>IFERROR(__xludf.DUMMYFUNCTION("""COMPUTED_VALUE"""),254.0)</f>
        <v>254</v>
      </c>
      <c r="C83" s="149">
        <f>IFERROR(__xludf.DUMMYFUNCTION("""COMPUTED_VALUE"""),327.0)</f>
        <v>327</v>
      </c>
      <c r="D83" s="149">
        <f>IFERROR(__xludf.DUMMYFUNCTION("""COMPUTED_VALUE"""),18278.0)</f>
        <v>18278</v>
      </c>
      <c r="E83" s="149">
        <f>IFERROR(__xludf.DUMMYFUNCTION("""COMPUTED_VALUE"""),2749.0)</f>
        <v>2749</v>
      </c>
      <c r="F83" s="149">
        <f>IFERROR(__xludf.DUMMYFUNCTION("""COMPUTED_VALUE"""),125451.0)</f>
        <v>125451</v>
      </c>
      <c r="G83" s="149">
        <f>IFERROR(__xludf.DUMMYFUNCTION("""COMPUTED_VALUE"""),3003.0)</f>
        <v>3003</v>
      </c>
      <c r="H83" s="149">
        <f>IFERROR(__xludf.DUMMYFUNCTION("""COMPUTED_VALUE"""),143729.0)</f>
        <v>143729</v>
      </c>
      <c r="I83" s="149">
        <f>IFERROR(__xludf.DUMMYFUNCTION("""COMPUTED_VALUE"""),108.0)</f>
        <v>108</v>
      </c>
      <c r="J83" s="149">
        <f>IFERROR(__xludf.DUMMYFUNCTION("""COMPUTED_VALUE"""),161.0)</f>
        <v>161</v>
      </c>
      <c r="K83" s="149">
        <f>IFERROR(__xludf.DUMMYFUNCTION("""COMPUTED_VALUE"""),14124.0)</f>
        <v>14124</v>
      </c>
      <c r="L83" s="149">
        <f>IFERROR(__xludf.DUMMYFUNCTION("""COMPUTED_VALUE"""),1273.0)</f>
        <v>1273</v>
      </c>
      <c r="M83" s="149">
        <f>IFERROR(__xludf.DUMMYFUNCTION("""COMPUTED_VALUE"""),89737.0)</f>
        <v>89737</v>
      </c>
      <c r="N83" s="149">
        <f>IFERROR(__xludf.DUMMYFUNCTION("""COMPUTED_VALUE"""),103861.0)</f>
        <v>103861</v>
      </c>
      <c r="O83" s="149">
        <f>IFERROR(__xludf.DUMMYFUNCTION("""COMPUTED_VALUE"""),19.0)</f>
        <v>19</v>
      </c>
      <c r="P83" s="149">
        <f>IFERROR(__xludf.DUMMYFUNCTION("""COMPUTED_VALUE"""),1645.0)</f>
        <v>1645</v>
      </c>
      <c r="Q83" s="149">
        <f>IFERROR(__xludf.DUMMYFUNCTION("""COMPUTED_VALUE"""),11.0)</f>
        <v>11</v>
      </c>
      <c r="R83" s="149">
        <f>IFERROR(__xludf.DUMMYFUNCTION("""COMPUTED_VALUE"""),1170.0)</f>
        <v>1170</v>
      </c>
      <c r="S83" s="149">
        <f>IFERROR(__xludf.DUMMYFUNCTION("""COMPUTED_VALUE"""),3.0)</f>
        <v>3</v>
      </c>
      <c r="T83" s="149">
        <f>IFERROR(__xludf.DUMMYFUNCTION("""COMPUTED_VALUE"""),232.0)</f>
        <v>232</v>
      </c>
      <c r="U83" s="149">
        <f>IFERROR(__xludf.DUMMYFUNCTION("""COMPUTED_VALUE"""),243.0)</f>
        <v>243</v>
      </c>
      <c r="V83" s="149">
        <f>IFERROR(__xludf.DUMMYFUNCTION("""COMPUTED_VALUE"""),244.0)</f>
        <v>244</v>
      </c>
      <c r="W83" s="149">
        <f>IFERROR(__xludf.DUMMYFUNCTION("""COMPUTED_VALUE"""),52.0)</f>
        <v>52</v>
      </c>
      <c r="X83" s="149">
        <f>IFERROR(__xludf.DUMMYFUNCTION("""COMPUTED_VALUE"""),32.0)</f>
        <v>32</v>
      </c>
      <c r="Y83" s="149">
        <f>IFERROR(__xludf.DUMMYFUNCTION("""COMPUTED_VALUE"""),13.0)</f>
        <v>13</v>
      </c>
      <c r="Z83" s="149">
        <f>IFERROR(__xludf.DUMMYFUNCTION("""COMPUTED_VALUE"""),746.0)</f>
        <v>746</v>
      </c>
    </row>
    <row r="84">
      <c r="A84" s="187">
        <f>IFERROR(__xludf.DUMMYFUNCTION("""COMPUTED_VALUE"""),43975.0)</f>
        <v>43975</v>
      </c>
      <c r="B84" s="149">
        <f>IFERROR(__xludf.DUMMYFUNCTION("""COMPUTED_VALUE"""),165.0)</f>
        <v>165</v>
      </c>
      <c r="C84" s="149">
        <f>IFERROR(__xludf.DUMMYFUNCTION("""COMPUTED_VALUE"""),257.0)</f>
        <v>257</v>
      </c>
      <c r="D84" s="149">
        <f>IFERROR(__xludf.DUMMYFUNCTION("""COMPUTED_VALUE"""),18443.0)</f>
        <v>18443</v>
      </c>
      <c r="E84" s="149">
        <f>IFERROR(__xludf.DUMMYFUNCTION("""COMPUTED_VALUE"""),1373.0)</f>
        <v>1373</v>
      </c>
      <c r="F84" s="149">
        <f>IFERROR(__xludf.DUMMYFUNCTION("""COMPUTED_VALUE"""),126824.0)</f>
        <v>126824</v>
      </c>
      <c r="G84" s="149">
        <f>IFERROR(__xludf.DUMMYFUNCTION("""COMPUTED_VALUE"""),1538.0)</f>
        <v>1538</v>
      </c>
      <c r="H84" s="149">
        <f>IFERROR(__xludf.DUMMYFUNCTION("""COMPUTED_VALUE"""),145267.0)</f>
        <v>145267</v>
      </c>
      <c r="I84" s="149">
        <f>IFERROR(__xludf.DUMMYFUNCTION("""COMPUTED_VALUE"""),82.0)</f>
        <v>82</v>
      </c>
      <c r="J84" s="149">
        <f>IFERROR(__xludf.DUMMYFUNCTION("""COMPUTED_VALUE"""),131.0)</f>
        <v>131</v>
      </c>
      <c r="K84" s="149">
        <f>IFERROR(__xludf.DUMMYFUNCTION("""COMPUTED_VALUE"""),14206.0)</f>
        <v>14206</v>
      </c>
      <c r="L84" s="149">
        <f>IFERROR(__xludf.DUMMYFUNCTION("""COMPUTED_VALUE"""),773.0)</f>
        <v>773</v>
      </c>
      <c r="M84" s="149">
        <f>IFERROR(__xludf.DUMMYFUNCTION("""COMPUTED_VALUE"""),90510.0)</f>
        <v>90510</v>
      </c>
      <c r="N84" s="149">
        <f>IFERROR(__xludf.DUMMYFUNCTION("""COMPUTED_VALUE"""),104716.0)</f>
        <v>104716</v>
      </c>
      <c r="O84" s="149">
        <f>IFERROR(__xludf.DUMMYFUNCTION("""COMPUTED_VALUE"""),12.0)</f>
        <v>12</v>
      </c>
      <c r="P84" s="149">
        <f>IFERROR(__xludf.DUMMYFUNCTION("""COMPUTED_VALUE"""),1657.0)</f>
        <v>1657</v>
      </c>
      <c r="Q84" s="149">
        <f>IFERROR(__xludf.DUMMYFUNCTION("""COMPUTED_VALUE"""),14.0)</f>
        <v>14</v>
      </c>
      <c r="R84" s="149">
        <f>IFERROR(__xludf.DUMMYFUNCTION("""COMPUTED_VALUE"""),1184.0)</f>
        <v>1184</v>
      </c>
      <c r="S84" s="149">
        <f>IFERROR(__xludf.DUMMYFUNCTION("""COMPUTED_VALUE"""),2.0)</f>
        <v>2</v>
      </c>
      <c r="T84" s="149">
        <f>IFERROR(__xludf.DUMMYFUNCTION("""COMPUTED_VALUE"""),234.0)</f>
        <v>234</v>
      </c>
      <c r="U84" s="149">
        <f>IFERROR(__xludf.DUMMYFUNCTION("""COMPUTED_VALUE"""),239.0)</f>
        <v>239</v>
      </c>
      <c r="V84" s="149">
        <f>IFERROR(__xludf.DUMMYFUNCTION("""COMPUTED_VALUE"""),240.0)</f>
        <v>240</v>
      </c>
      <c r="W84" s="149">
        <f>IFERROR(__xludf.DUMMYFUNCTION("""COMPUTED_VALUE"""),53.0)</f>
        <v>53</v>
      </c>
      <c r="X84" s="149">
        <f>IFERROR(__xludf.DUMMYFUNCTION("""COMPUTED_VALUE"""),36.0)</f>
        <v>36</v>
      </c>
      <c r="Y84" s="149">
        <f>IFERROR(__xludf.DUMMYFUNCTION("""COMPUTED_VALUE"""),8.0)</f>
        <v>8</v>
      </c>
      <c r="Z84" s="149">
        <f>IFERROR(__xludf.DUMMYFUNCTION("""COMPUTED_VALUE"""),754.0)</f>
        <v>754</v>
      </c>
    </row>
    <row r="85">
      <c r="A85" s="187">
        <f>IFERROR(__xludf.DUMMYFUNCTION("""COMPUTED_VALUE"""),43976.0)</f>
        <v>43976</v>
      </c>
      <c r="B85" s="149">
        <f>IFERROR(__xludf.DUMMYFUNCTION("""COMPUTED_VALUE"""),151.0)</f>
        <v>151</v>
      </c>
      <c r="C85" s="149">
        <f>IFERROR(__xludf.DUMMYFUNCTION("""COMPUTED_VALUE"""),190.0)</f>
        <v>190</v>
      </c>
      <c r="D85" s="149">
        <f>IFERROR(__xludf.DUMMYFUNCTION("""COMPUTED_VALUE"""),18594.0)</f>
        <v>18594</v>
      </c>
      <c r="E85" s="149">
        <f>IFERROR(__xludf.DUMMYFUNCTION("""COMPUTED_VALUE"""),1389.0)</f>
        <v>1389</v>
      </c>
      <c r="F85" s="149">
        <f>IFERROR(__xludf.DUMMYFUNCTION("""COMPUTED_VALUE"""),128213.0)</f>
        <v>128213</v>
      </c>
      <c r="G85" s="149">
        <f>IFERROR(__xludf.DUMMYFUNCTION("""COMPUTED_VALUE"""),1540.0)</f>
        <v>1540</v>
      </c>
      <c r="H85" s="149">
        <f>IFERROR(__xludf.DUMMYFUNCTION("""COMPUTED_VALUE"""),146807.0)</f>
        <v>146807</v>
      </c>
      <c r="I85" s="149">
        <f>IFERROR(__xludf.DUMMYFUNCTION("""COMPUTED_VALUE"""),72.0)</f>
        <v>72</v>
      </c>
      <c r="J85" s="149">
        <f>IFERROR(__xludf.DUMMYFUNCTION("""COMPUTED_VALUE"""),87.0)</f>
        <v>87</v>
      </c>
      <c r="K85" s="149">
        <f>IFERROR(__xludf.DUMMYFUNCTION("""COMPUTED_VALUE"""),14278.0)</f>
        <v>14278</v>
      </c>
      <c r="L85" s="149">
        <f>IFERROR(__xludf.DUMMYFUNCTION("""COMPUTED_VALUE"""),762.0)</f>
        <v>762</v>
      </c>
      <c r="M85" s="149">
        <f>IFERROR(__xludf.DUMMYFUNCTION("""COMPUTED_VALUE"""),91272.0)</f>
        <v>91272</v>
      </c>
      <c r="N85" s="149">
        <f>IFERROR(__xludf.DUMMYFUNCTION("""COMPUTED_VALUE"""),105550.0)</f>
        <v>105550</v>
      </c>
      <c r="O85" s="149">
        <f>IFERROR(__xludf.DUMMYFUNCTION("""COMPUTED_VALUE"""),13.0)</f>
        <v>13</v>
      </c>
      <c r="P85" s="149">
        <f>IFERROR(__xludf.DUMMYFUNCTION("""COMPUTED_VALUE"""),1670.0)</f>
        <v>1670</v>
      </c>
      <c r="Q85" s="149">
        <f>IFERROR(__xludf.DUMMYFUNCTION("""COMPUTED_VALUE"""),14.0)</f>
        <v>14</v>
      </c>
      <c r="R85" s="149">
        <f>IFERROR(__xludf.DUMMYFUNCTION("""COMPUTED_VALUE"""),1198.0)</f>
        <v>1198</v>
      </c>
      <c r="S85" s="149">
        <f>IFERROR(__xludf.DUMMYFUNCTION("""COMPUTED_VALUE"""),0.0)</f>
        <v>0</v>
      </c>
      <c r="T85" s="149">
        <f>IFERROR(__xludf.DUMMYFUNCTION("""COMPUTED_VALUE"""),234.0)</f>
        <v>234</v>
      </c>
      <c r="U85" s="149">
        <f>IFERROR(__xludf.DUMMYFUNCTION("""COMPUTED_VALUE"""),238.0)</f>
        <v>238</v>
      </c>
      <c r="V85" s="149">
        <f>IFERROR(__xludf.DUMMYFUNCTION("""COMPUTED_VALUE"""),240.0)</f>
        <v>240</v>
      </c>
      <c r="W85" s="149">
        <f>IFERROR(__xludf.DUMMYFUNCTION("""COMPUTED_VALUE"""),53.0)</f>
        <v>53</v>
      </c>
      <c r="X85" s="149">
        <f>IFERROR(__xludf.DUMMYFUNCTION("""COMPUTED_VALUE"""),34.0)</f>
        <v>34</v>
      </c>
      <c r="Y85" s="149">
        <f>IFERROR(__xludf.DUMMYFUNCTION("""COMPUTED_VALUE"""),10.0)</f>
        <v>10</v>
      </c>
      <c r="Z85" s="149">
        <f>IFERROR(__xludf.DUMMYFUNCTION("""COMPUTED_VALUE"""),764.0)</f>
        <v>764</v>
      </c>
    </row>
    <row r="86">
      <c r="A86" s="187">
        <f>IFERROR(__xludf.DUMMYFUNCTION("""COMPUTED_VALUE"""),43977.0)</f>
        <v>43977</v>
      </c>
      <c r="B86" s="149">
        <f>IFERROR(__xludf.DUMMYFUNCTION("""COMPUTED_VALUE"""),286.0)</f>
        <v>286</v>
      </c>
      <c r="C86" s="149">
        <f>IFERROR(__xludf.DUMMYFUNCTION("""COMPUTED_VALUE"""),201.0)</f>
        <v>201</v>
      </c>
      <c r="D86" s="149">
        <f>IFERROR(__xludf.DUMMYFUNCTION("""COMPUTED_VALUE"""),18880.0)</f>
        <v>18880</v>
      </c>
      <c r="E86" s="149">
        <f>IFERROR(__xludf.DUMMYFUNCTION("""COMPUTED_VALUE"""),2625.0)</f>
        <v>2625</v>
      </c>
      <c r="F86" s="149">
        <f>IFERROR(__xludf.DUMMYFUNCTION("""COMPUTED_VALUE"""),130838.0)</f>
        <v>130838</v>
      </c>
      <c r="G86" s="149">
        <f>IFERROR(__xludf.DUMMYFUNCTION("""COMPUTED_VALUE"""),2911.0)</f>
        <v>2911</v>
      </c>
      <c r="H86" s="149">
        <f>IFERROR(__xludf.DUMMYFUNCTION("""COMPUTED_VALUE"""),149718.0)</f>
        <v>149718</v>
      </c>
      <c r="I86" s="149">
        <f>IFERROR(__xludf.DUMMYFUNCTION("""COMPUTED_VALUE"""),163.0)</f>
        <v>163</v>
      </c>
      <c r="J86" s="149">
        <f>IFERROR(__xludf.DUMMYFUNCTION("""COMPUTED_VALUE"""),106.0)</f>
        <v>106</v>
      </c>
      <c r="K86" s="149">
        <f>IFERROR(__xludf.DUMMYFUNCTION("""COMPUTED_VALUE"""),14441.0)</f>
        <v>14441</v>
      </c>
      <c r="L86" s="149">
        <f>IFERROR(__xludf.DUMMYFUNCTION("""COMPUTED_VALUE"""),1781.0)</f>
        <v>1781</v>
      </c>
      <c r="M86" s="149">
        <f>IFERROR(__xludf.DUMMYFUNCTION("""COMPUTED_VALUE"""),93053.0)</f>
        <v>93053</v>
      </c>
      <c r="N86" s="149">
        <f>IFERROR(__xludf.DUMMYFUNCTION("""COMPUTED_VALUE"""),107494.0)</f>
        <v>107494</v>
      </c>
      <c r="O86" s="149">
        <f>IFERROR(__xludf.DUMMYFUNCTION("""COMPUTED_VALUE"""),24.0)</f>
        <v>24</v>
      </c>
      <c r="P86" s="149">
        <f>IFERROR(__xludf.DUMMYFUNCTION("""COMPUTED_VALUE"""),1694.0)</f>
        <v>1694</v>
      </c>
      <c r="Q86" s="149">
        <f>IFERROR(__xludf.DUMMYFUNCTION("""COMPUTED_VALUE"""),22.0)</f>
        <v>22</v>
      </c>
      <c r="R86" s="149">
        <f>IFERROR(__xludf.DUMMYFUNCTION("""COMPUTED_VALUE"""),1220.0)</f>
        <v>1220</v>
      </c>
      <c r="S86" s="149">
        <f>IFERROR(__xludf.DUMMYFUNCTION("""COMPUTED_VALUE"""),5.0)</f>
        <v>5</v>
      </c>
      <c r="T86" s="149">
        <f>IFERROR(__xludf.DUMMYFUNCTION("""COMPUTED_VALUE"""),239.0)</f>
        <v>239</v>
      </c>
      <c r="U86" s="149">
        <f>IFERROR(__xludf.DUMMYFUNCTION("""COMPUTED_VALUE"""),235.0)</f>
        <v>235</v>
      </c>
      <c r="V86" s="149">
        <f>IFERROR(__xludf.DUMMYFUNCTION("""COMPUTED_VALUE"""),237.0)</f>
        <v>237</v>
      </c>
      <c r="W86" s="149">
        <f>IFERROR(__xludf.DUMMYFUNCTION("""COMPUTED_VALUE"""),48.0)</f>
        <v>48</v>
      </c>
      <c r="X86" s="149">
        <f>IFERROR(__xludf.DUMMYFUNCTION("""COMPUTED_VALUE"""),33.0)</f>
        <v>33</v>
      </c>
      <c r="Y86" s="149">
        <f>IFERROR(__xludf.DUMMYFUNCTION("""COMPUTED_VALUE"""),15.0)</f>
        <v>15</v>
      </c>
      <c r="Z86" s="149">
        <f>IFERROR(__xludf.DUMMYFUNCTION("""COMPUTED_VALUE"""),779.0)</f>
        <v>779</v>
      </c>
    </row>
    <row r="87">
      <c r="A87" s="187">
        <f>IFERROR(__xludf.DUMMYFUNCTION("""COMPUTED_VALUE"""),43978.0)</f>
        <v>43978</v>
      </c>
      <c r="B87" s="149">
        <f>IFERROR(__xludf.DUMMYFUNCTION("""COMPUTED_VALUE"""),276.0)</f>
        <v>276</v>
      </c>
      <c r="C87" s="149">
        <f>IFERROR(__xludf.DUMMYFUNCTION("""COMPUTED_VALUE"""),238.0)</f>
        <v>238</v>
      </c>
      <c r="D87" s="149">
        <f>IFERROR(__xludf.DUMMYFUNCTION("""COMPUTED_VALUE"""),19156.0)</f>
        <v>19156</v>
      </c>
      <c r="E87" s="149">
        <f>IFERROR(__xludf.DUMMYFUNCTION("""COMPUTED_VALUE"""),2126.0)</f>
        <v>2126</v>
      </c>
      <c r="F87" s="149">
        <f>IFERROR(__xludf.DUMMYFUNCTION("""COMPUTED_VALUE"""),132964.0)</f>
        <v>132964</v>
      </c>
      <c r="G87" s="149">
        <f>IFERROR(__xludf.DUMMYFUNCTION("""COMPUTED_VALUE"""),2402.0)</f>
        <v>2402</v>
      </c>
      <c r="H87" s="149">
        <f>IFERROR(__xludf.DUMMYFUNCTION("""COMPUTED_VALUE"""),152120.0)</f>
        <v>152120</v>
      </c>
      <c r="I87" s="149">
        <f>IFERROR(__xludf.DUMMYFUNCTION("""COMPUTED_VALUE"""),134.0)</f>
        <v>134</v>
      </c>
      <c r="J87" s="149">
        <f>IFERROR(__xludf.DUMMYFUNCTION("""COMPUTED_VALUE"""),123.0)</f>
        <v>123</v>
      </c>
      <c r="K87" s="149">
        <f>IFERROR(__xludf.DUMMYFUNCTION("""COMPUTED_VALUE"""),14575.0)</f>
        <v>14575</v>
      </c>
      <c r="L87" s="149">
        <f>IFERROR(__xludf.DUMMYFUNCTION("""COMPUTED_VALUE"""),1135.0)</f>
        <v>1135</v>
      </c>
      <c r="M87" s="149">
        <f>IFERROR(__xludf.DUMMYFUNCTION("""COMPUTED_VALUE"""),94188.0)</f>
        <v>94188</v>
      </c>
      <c r="N87" s="149">
        <f>IFERROR(__xludf.DUMMYFUNCTION("""COMPUTED_VALUE"""),108763.0)</f>
        <v>108763</v>
      </c>
      <c r="O87" s="149">
        <f>IFERROR(__xludf.DUMMYFUNCTION("""COMPUTED_VALUE"""),20.0)</f>
        <v>20</v>
      </c>
      <c r="P87" s="149">
        <f>IFERROR(__xludf.DUMMYFUNCTION("""COMPUTED_VALUE"""),1714.0)</f>
        <v>1714</v>
      </c>
      <c r="Q87" s="149">
        <f>IFERROR(__xludf.DUMMYFUNCTION("""COMPUTED_VALUE"""),18.0)</f>
        <v>18</v>
      </c>
      <c r="R87" s="149">
        <f>IFERROR(__xludf.DUMMYFUNCTION("""COMPUTED_VALUE"""),1238.0)</f>
        <v>1238</v>
      </c>
      <c r="S87" s="149">
        <f>IFERROR(__xludf.DUMMYFUNCTION("""COMPUTED_VALUE"""),3.0)</f>
        <v>3</v>
      </c>
      <c r="T87" s="149">
        <f>IFERROR(__xludf.DUMMYFUNCTION("""COMPUTED_VALUE"""),242.0)</f>
        <v>242</v>
      </c>
      <c r="U87" s="149">
        <f>IFERROR(__xludf.DUMMYFUNCTION("""COMPUTED_VALUE"""),234.0)</f>
        <v>234</v>
      </c>
      <c r="V87" s="149">
        <f>IFERROR(__xludf.DUMMYFUNCTION("""COMPUTED_VALUE"""),236.0)</f>
        <v>236</v>
      </c>
      <c r="W87" s="149">
        <f>IFERROR(__xludf.DUMMYFUNCTION("""COMPUTED_VALUE"""),50.0)</f>
        <v>50</v>
      </c>
      <c r="X87" s="149">
        <f>IFERROR(__xludf.DUMMYFUNCTION("""COMPUTED_VALUE"""),33.0)</f>
        <v>33</v>
      </c>
      <c r="Y87" s="149">
        <f>IFERROR(__xludf.DUMMYFUNCTION("""COMPUTED_VALUE"""),10.0)</f>
        <v>10</v>
      </c>
      <c r="Z87" s="149">
        <f>IFERROR(__xludf.DUMMYFUNCTION("""COMPUTED_VALUE"""),789.0)</f>
        <v>789</v>
      </c>
    </row>
    <row r="88">
      <c r="A88" s="187">
        <f>IFERROR(__xludf.DUMMYFUNCTION("""COMPUTED_VALUE"""),43979.0)</f>
        <v>43979</v>
      </c>
      <c r="B88" s="149">
        <f>IFERROR(__xludf.DUMMYFUNCTION("""COMPUTED_VALUE"""),349.0)</f>
        <v>349</v>
      </c>
      <c r="C88" s="149">
        <f>IFERROR(__xludf.DUMMYFUNCTION("""COMPUTED_VALUE"""),304.0)</f>
        <v>304</v>
      </c>
      <c r="D88" s="149">
        <f>IFERROR(__xludf.DUMMYFUNCTION("""COMPUTED_VALUE"""),19505.0)</f>
        <v>19505</v>
      </c>
      <c r="E88" s="149">
        <f>IFERROR(__xludf.DUMMYFUNCTION("""COMPUTED_VALUE"""),3372.0)</f>
        <v>3372</v>
      </c>
      <c r="F88" s="149">
        <f>IFERROR(__xludf.DUMMYFUNCTION("""COMPUTED_VALUE"""),136336.0)</f>
        <v>136336</v>
      </c>
      <c r="G88" s="149">
        <f>IFERROR(__xludf.DUMMYFUNCTION("""COMPUTED_VALUE"""),3721.0)</f>
        <v>3721</v>
      </c>
      <c r="H88" s="149">
        <f>IFERROR(__xludf.DUMMYFUNCTION("""COMPUTED_VALUE"""),155841.0)</f>
        <v>155841</v>
      </c>
      <c r="I88" s="149">
        <f>IFERROR(__xludf.DUMMYFUNCTION("""COMPUTED_VALUE"""),134.0)</f>
        <v>134</v>
      </c>
      <c r="J88" s="149">
        <f>IFERROR(__xludf.DUMMYFUNCTION("""COMPUTED_VALUE"""),144.0)</f>
        <v>144</v>
      </c>
      <c r="K88" s="149">
        <f>IFERROR(__xludf.DUMMYFUNCTION("""COMPUTED_VALUE"""),14709.0)</f>
        <v>14709</v>
      </c>
      <c r="L88" s="149">
        <f>IFERROR(__xludf.DUMMYFUNCTION("""COMPUTED_VALUE"""),1120.0)</f>
        <v>1120</v>
      </c>
      <c r="M88" s="149">
        <f>IFERROR(__xludf.DUMMYFUNCTION("""COMPUTED_VALUE"""),95308.0)</f>
        <v>95308</v>
      </c>
      <c r="N88" s="149">
        <f>IFERROR(__xludf.DUMMYFUNCTION("""COMPUTED_VALUE"""),110017.0)</f>
        <v>110017</v>
      </c>
      <c r="O88" s="149">
        <f>IFERROR(__xludf.DUMMYFUNCTION("""COMPUTED_VALUE"""),17.0)</f>
        <v>17</v>
      </c>
      <c r="P88" s="149">
        <f>IFERROR(__xludf.DUMMYFUNCTION("""COMPUTED_VALUE"""),1731.0)</f>
        <v>1731</v>
      </c>
      <c r="Q88" s="149">
        <f>IFERROR(__xludf.DUMMYFUNCTION("""COMPUTED_VALUE"""),29.0)</f>
        <v>29</v>
      </c>
      <c r="R88" s="149">
        <f>IFERROR(__xludf.DUMMYFUNCTION("""COMPUTED_VALUE"""),1267.0)</f>
        <v>1267</v>
      </c>
      <c r="S88" s="149">
        <f>IFERROR(__xludf.DUMMYFUNCTION("""COMPUTED_VALUE"""),4.0)</f>
        <v>4</v>
      </c>
      <c r="T88" s="149">
        <f>IFERROR(__xludf.DUMMYFUNCTION("""COMPUTED_VALUE"""),246.0)</f>
        <v>246</v>
      </c>
      <c r="U88" s="149">
        <f>IFERROR(__xludf.DUMMYFUNCTION("""COMPUTED_VALUE"""),218.0)</f>
        <v>218</v>
      </c>
      <c r="V88" s="149">
        <f>IFERROR(__xludf.DUMMYFUNCTION("""COMPUTED_VALUE"""),229.0)</f>
        <v>229</v>
      </c>
      <c r="W88" s="149">
        <f>IFERROR(__xludf.DUMMYFUNCTION("""COMPUTED_VALUE"""),47.0)</f>
        <v>47</v>
      </c>
      <c r="X88" s="149">
        <f>IFERROR(__xludf.DUMMYFUNCTION("""COMPUTED_VALUE"""),32.0)</f>
        <v>32</v>
      </c>
      <c r="Y88" s="149">
        <f>IFERROR(__xludf.DUMMYFUNCTION("""COMPUTED_VALUE"""),8.0)</f>
        <v>8</v>
      </c>
      <c r="Z88" s="149">
        <f>IFERROR(__xludf.DUMMYFUNCTION("""COMPUTED_VALUE"""),797.0)</f>
        <v>797</v>
      </c>
    </row>
    <row r="89">
      <c r="A89" s="187">
        <f>IFERROR(__xludf.DUMMYFUNCTION("""COMPUTED_VALUE"""),43980.0)</f>
        <v>43980</v>
      </c>
      <c r="B89" s="149">
        <f>IFERROR(__xludf.DUMMYFUNCTION("""COMPUTED_VALUE"""),417.0)</f>
        <v>417</v>
      </c>
      <c r="C89" s="149">
        <f>IFERROR(__xludf.DUMMYFUNCTION("""COMPUTED_VALUE"""),347.0)</f>
        <v>347</v>
      </c>
      <c r="D89" s="149">
        <f>IFERROR(__xludf.DUMMYFUNCTION("""COMPUTED_VALUE"""),19922.0)</f>
        <v>19922</v>
      </c>
      <c r="E89" s="149">
        <f>IFERROR(__xludf.DUMMYFUNCTION("""COMPUTED_VALUE"""),3973.0)</f>
        <v>3973</v>
      </c>
      <c r="F89" s="149">
        <f>IFERROR(__xludf.DUMMYFUNCTION("""COMPUTED_VALUE"""),140309.0)</f>
        <v>140309</v>
      </c>
      <c r="G89" s="149">
        <f>IFERROR(__xludf.DUMMYFUNCTION("""COMPUTED_VALUE"""),4390.0)</f>
        <v>4390</v>
      </c>
      <c r="H89" s="149">
        <f>IFERROR(__xludf.DUMMYFUNCTION("""COMPUTED_VALUE"""),160231.0)</f>
        <v>160231</v>
      </c>
      <c r="I89" s="149">
        <f>IFERROR(__xludf.DUMMYFUNCTION("""COMPUTED_VALUE"""),177.0)</f>
        <v>177</v>
      </c>
      <c r="J89" s="149">
        <f>IFERROR(__xludf.DUMMYFUNCTION("""COMPUTED_VALUE"""),148.0)</f>
        <v>148</v>
      </c>
      <c r="K89" s="149">
        <f>IFERROR(__xludf.DUMMYFUNCTION("""COMPUTED_VALUE"""),14886.0)</f>
        <v>14886</v>
      </c>
      <c r="L89" s="149">
        <f>IFERROR(__xludf.DUMMYFUNCTION("""COMPUTED_VALUE"""),1572.0)</f>
        <v>1572</v>
      </c>
      <c r="M89" s="149">
        <f>IFERROR(__xludf.DUMMYFUNCTION("""COMPUTED_VALUE"""),96880.0)</f>
        <v>96880</v>
      </c>
      <c r="N89" s="149">
        <f>IFERROR(__xludf.DUMMYFUNCTION("""COMPUTED_VALUE"""),111766.0)</f>
        <v>111766</v>
      </c>
      <c r="O89" s="149">
        <f>IFERROR(__xludf.DUMMYFUNCTION("""COMPUTED_VALUE"""),19.0)</f>
        <v>19</v>
      </c>
      <c r="P89" s="149">
        <f>IFERROR(__xludf.DUMMYFUNCTION("""COMPUTED_VALUE"""),1750.0)</f>
        <v>1750</v>
      </c>
      <c r="Q89" s="149">
        <f>IFERROR(__xludf.DUMMYFUNCTION("""COMPUTED_VALUE"""),27.0)</f>
        <v>27</v>
      </c>
      <c r="R89" s="149">
        <f>IFERROR(__xludf.DUMMYFUNCTION("""COMPUTED_VALUE"""),1294.0)</f>
        <v>1294</v>
      </c>
      <c r="S89" s="149">
        <f>IFERROR(__xludf.DUMMYFUNCTION("""COMPUTED_VALUE"""),6.0)</f>
        <v>6</v>
      </c>
      <c r="T89" s="149">
        <f>IFERROR(__xludf.DUMMYFUNCTION("""COMPUTED_VALUE"""),252.0)</f>
        <v>252</v>
      </c>
      <c r="U89" s="149">
        <f>IFERROR(__xludf.DUMMYFUNCTION("""COMPUTED_VALUE"""),204.0)</f>
        <v>204</v>
      </c>
      <c r="V89" s="149">
        <f>IFERROR(__xludf.DUMMYFUNCTION("""COMPUTED_VALUE"""),219.0)</f>
        <v>219</v>
      </c>
      <c r="W89" s="149">
        <f>IFERROR(__xludf.DUMMYFUNCTION("""COMPUTED_VALUE"""),43.0)</f>
        <v>43</v>
      </c>
      <c r="X89" s="149">
        <f>IFERROR(__xludf.DUMMYFUNCTION("""COMPUTED_VALUE"""),31.0)</f>
        <v>31</v>
      </c>
      <c r="Y89" s="149">
        <f>IFERROR(__xludf.DUMMYFUNCTION("""COMPUTED_VALUE"""),12.0)</f>
        <v>12</v>
      </c>
      <c r="Z89" s="149">
        <f>IFERROR(__xludf.DUMMYFUNCTION("""COMPUTED_VALUE"""),809.0)</f>
        <v>809</v>
      </c>
    </row>
    <row r="90">
      <c r="A90" s="187">
        <f>IFERROR(__xludf.DUMMYFUNCTION("""COMPUTED_VALUE"""),43981.0)</f>
        <v>43981</v>
      </c>
      <c r="B90" s="149">
        <f>IFERROR(__xludf.DUMMYFUNCTION("""COMPUTED_VALUE"""),229.0)</f>
        <v>229</v>
      </c>
      <c r="C90" s="149">
        <f>IFERROR(__xludf.DUMMYFUNCTION("""COMPUTED_VALUE"""),332.0)</f>
        <v>332</v>
      </c>
      <c r="D90" s="149">
        <f>IFERROR(__xludf.DUMMYFUNCTION("""COMPUTED_VALUE"""),20151.0)</f>
        <v>20151</v>
      </c>
      <c r="E90" s="149">
        <f>IFERROR(__xludf.DUMMYFUNCTION("""COMPUTED_VALUE"""),3974.0)</f>
        <v>3974</v>
      </c>
      <c r="F90" s="149">
        <f>IFERROR(__xludf.DUMMYFUNCTION("""COMPUTED_VALUE"""),144283.0)</f>
        <v>144283</v>
      </c>
      <c r="G90" s="149">
        <f>IFERROR(__xludf.DUMMYFUNCTION("""COMPUTED_VALUE"""),4203.0)</f>
        <v>4203</v>
      </c>
      <c r="H90" s="149">
        <f>IFERROR(__xludf.DUMMYFUNCTION("""COMPUTED_VALUE"""),164434.0)</f>
        <v>164434</v>
      </c>
      <c r="I90" s="149">
        <f>IFERROR(__xludf.DUMMYFUNCTION("""COMPUTED_VALUE"""),109.0)</f>
        <v>109</v>
      </c>
      <c r="J90" s="149">
        <f>IFERROR(__xludf.DUMMYFUNCTION("""COMPUTED_VALUE"""),140.0)</f>
        <v>140</v>
      </c>
      <c r="K90" s="149">
        <f>IFERROR(__xludf.DUMMYFUNCTION("""COMPUTED_VALUE"""),14995.0)</f>
        <v>14995</v>
      </c>
      <c r="L90" s="149">
        <f>IFERROR(__xludf.DUMMYFUNCTION("""COMPUTED_VALUE"""),1820.0)</f>
        <v>1820</v>
      </c>
      <c r="M90" s="149">
        <f>IFERROR(__xludf.DUMMYFUNCTION("""COMPUTED_VALUE"""),98700.0)</f>
        <v>98700</v>
      </c>
      <c r="N90" s="149">
        <f>IFERROR(__xludf.DUMMYFUNCTION("""COMPUTED_VALUE"""),113695.0)</f>
        <v>113695</v>
      </c>
      <c r="O90" s="149">
        <f>IFERROR(__xludf.DUMMYFUNCTION("""COMPUTED_VALUE"""),15.0)</f>
        <v>15</v>
      </c>
      <c r="P90" s="149">
        <f>IFERROR(__xludf.DUMMYFUNCTION("""COMPUTED_VALUE"""),1765.0)</f>
        <v>1765</v>
      </c>
      <c r="Q90" s="149">
        <f>IFERROR(__xludf.DUMMYFUNCTION("""COMPUTED_VALUE"""),19.0)</f>
        <v>19</v>
      </c>
      <c r="R90" s="149">
        <f>IFERROR(__xludf.DUMMYFUNCTION("""COMPUTED_VALUE"""),1313.0)</f>
        <v>1313</v>
      </c>
      <c r="S90" s="149">
        <f>IFERROR(__xludf.DUMMYFUNCTION("""COMPUTED_VALUE"""),4.0)</f>
        <v>4</v>
      </c>
      <c r="T90" s="149">
        <f>IFERROR(__xludf.DUMMYFUNCTION("""COMPUTED_VALUE"""),256.0)</f>
        <v>256</v>
      </c>
      <c r="U90" s="149">
        <f>IFERROR(__xludf.DUMMYFUNCTION("""COMPUTED_VALUE"""),196.0)</f>
        <v>196</v>
      </c>
      <c r="V90" s="149">
        <f>IFERROR(__xludf.DUMMYFUNCTION("""COMPUTED_VALUE"""),206.0)</f>
        <v>206</v>
      </c>
      <c r="W90" s="149">
        <f>IFERROR(__xludf.DUMMYFUNCTION("""COMPUTED_VALUE"""),40.0)</f>
        <v>40</v>
      </c>
      <c r="X90" s="149">
        <f>IFERROR(__xludf.DUMMYFUNCTION("""COMPUTED_VALUE"""),29.0)</f>
        <v>29</v>
      </c>
      <c r="Y90" s="149">
        <f>IFERROR(__xludf.DUMMYFUNCTION("""COMPUTED_VALUE"""),12.0)</f>
        <v>12</v>
      </c>
      <c r="Z90" s="149">
        <f>IFERROR(__xludf.DUMMYFUNCTION("""COMPUTED_VALUE"""),821.0)</f>
        <v>821</v>
      </c>
    </row>
    <row r="91">
      <c r="A91" s="187">
        <f>IFERROR(__xludf.DUMMYFUNCTION("""COMPUTED_VALUE"""),43982.0)</f>
        <v>43982</v>
      </c>
      <c r="B91" s="149">
        <f>IFERROR(__xludf.DUMMYFUNCTION("""COMPUTED_VALUE"""),163.0)</f>
        <v>163</v>
      </c>
      <c r="C91" s="149">
        <f>IFERROR(__xludf.DUMMYFUNCTION("""COMPUTED_VALUE"""),270.0)</f>
        <v>270</v>
      </c>
      <c r="D91" s="149">
        <f>IFERROR(__xludf.DUMMYFUNCTION("""COMPUTED_VALUE"""),20314.0)</f>
        <v>20314</v>
      </c>
      <c r="E91" s="149">
        <f>IFERROR(__xludf.DUMMYFUNCTION("""COMPUTED_VALUE"""),1759.0)</f>
        <v>1759</v>
      </c>
      <c r="F91" s="149">
        <f>IFERROR(__xludf.DUMMYFUNCTION("""COMPUTED_VALUE"""),146042.0)</f>
        <v>146042</v>
      </c>
      <c r="G91" s="149">
        <f>IFERROR(__xludf.DUMMYFUNCTION("""COMPUTED_VALUE"""),1922.0)</f>
        <v>1922</v>
      </c>
      <c r="H91" s="149">
        <f>IFERROR(__xludf.DUMMYFUNCTION("""COMPUTED_VALUE"""),166356.0)</f>
        <v>166356</v>
      </c>
      <c r="I91" s="149">
        <f>IFERROR(__xludf.DUMMYFUNCTION("""COMPUTED_VALUE"""),78.0)</f>
        <v>78</v>
      </c>
      <c r="J91" s="149">
        <f>IFERROR(__xludf.DUMMYFUNCTION("""COMPUTED_VALUE"""),121.0)</f>
        <v>121</v>
      </c>
      <c r="K91" s="149">
        <f>IFERROR(__xludf.DUMMYFUNCTION("""COMPUTED_VALUE"""),15073.0)</f>
        <v>15073</v>
      </c>
      <c r="L91" s="149">
        <f>IFERROR(__xludf.DUMMYFUNCTION("""COMPUTED_VALUE"""),857.0)</f>
        <v>857</v>
      </c>
      <c r="M91" s="149">
        <f>IFERROR(__xludf.DUMMYFUNCTION("""COMPUTED_VALUE"""),99557.0)</f>
        <v>99557</v>
      </c>
      <c r="N91" s="149">
        <f>IFERROR(__xludf.DUMMYFUNCTION("""COMPUTED_VALUE"""),114630.0)</f>
        <v>114630</v>
      </c>
      <c r="O91" s="149">
        <f>IFERROR(__xludf.DUMMYFUNCTION("""COMPUTED_VALUE"""),11.0)</f>
        <v>11</v>
      </c>
      <c r="P91" s="149">
        <f>IFERROR(__xludf.DUMMYFUNCTION("""COMPUTED_VALUE"""),1776.0)</f>
        <v>1776</v>
      </c>
      <c r="Q91" s="149">
        <f>IFERROR(__xludf.DUMMYFUNCTION("""COMPUTED_VALUE"""),10.0)</f>
        <v>10</v>
      </c>
      <c r="R91" s="149">
        <f>IFERROR(__xludf.DUMMYFUNCTION("""COMPUTED_VALUE"""),1323.0)</f>
        <v>1323</v>
      </c>
      <c r="S91" s="149">
        <f>IFERROR(__xludf.DUMMYFUNCTION("""COMPUTED_VALUE"""),0.0)</f>
        <v>0</v>
      </c>
      <c r="T91" s="149">
        <f>IFERROR(__xludf.DUMMYFUNCTION("""COMPUTED_VALUE"""),256.0)</f>
        <v>256</v>
      </c>
      <c r="U91" s="149">
        <f>IFERROR(__xludf.DUMMYFUNCTION("""COMPUTED_VALUE"""),197.0)</f>
        <v>197</v>
      </c>
      <c r="V91" s="149">
        <f>IFERROR(__xludf.DUMMYFUNCTION("""COMPUTED_VALUE"""),199.0)</f>
        <v>199</v>
      </c>
      <c r="W91" s="149">
        <f>IFERROR(__xludf.DUMMYFUNCTION("""COMPUTED_VALUE"""),43.0)</f>
        <v>43</v>
      </c>
      <c r="X91" s="149">
        <f>IFERROR(__xludf.DUMMYFUNCTION("""COMPUTED_VALUE"""),26.0)</f>
        <v>26</v>
      </c>
      <c r="Y91" s="149">
        <f>IFERROR(__xludf.DUMMYFUNCTION("""COMPUTED_VALUE"""),3.0)</f>
        <v>3</v>
      </c>
      <c r="Z91" s="149">
        <f>IFERROR(__xludf.DUMMYFUNCTION("""COMPUTED_VALUE"""),824.0)</f>
        <v>824</v>
      </c>
    </row>
    <row r="92">
      <c r="A92" s="187">
        <f>IFERROR(__xludf.DUMMYFUNCTION("""COMPUTED_VALUE"""),43983.0)</f>
        <v>43983</v>
      </c>
      <c r="B92" s="149">
        <f>IFERROR(__xludf.DUMMYFUNCTION("""COMPUTED_VALUE"""),215.0)</f>
        <v>215</v>
      </c>
      <c r="C92" s="149">
        <f>IFERROR(__xludf.DUMMYFUNCTION("""COMPUTED_VALUE"""),202.0)</f>
        <v>202</v>
      </c>
      <c r="D92" s="149">
        <f>IFERROR(__xludf.DUMMYFUNCTION("""COMPUTED_VALUE"""),20529.0)</f>
        <v>20529</v>
      </c>
      <c r="E92" s="149">
        <f>IFERROR(__xludf.DUMMYFUNCTION("""COMPUTED_VALUE"""),2824.0)</f>
        <v>2824</v>
      </c>
      <c r="F92" s="149">
        <f>IFERROR(__xludf.DUMMYFUNCTION("""COMPUTED_VALUE"""),148866.0)</f>
        <v>148866</v>
      </c>
      <c r="G92" s="149">
        <f>IFERROR(__xludf.DUMMYFUNCTION("""COMPUTED_VALUE"""),3039.0)</f>
        <v>3039</v>
      </c>
      <c r="H92" s="149">
        <f>IFERROR(__xludf.DUMMYFUNCTION("""COMPUTED_VALUE"""),169395.0)</f>
        <v>169395</v>
      </c>
      <c r="I92" s="149">
        <f>IFERROR(__xludf.DUMMYFUNCTION("""COMPUTED_VALUE"""),99.0)</f>
        <v>99</v>
      </c>
      <c r="J92" s="149">
        <f>IFERROR(__xludf.DUMMYFUNCTION("""COMPUTED_VALUE"""),95.0)</f>
        <v>95</v>
      </c>
      <c r="K92" s="149">
        <f>IFERROR(__xludf.DUMMYFUNCTION("""COMPUTED_VALUE"""),15172.0)</f>
        <v>15172</v>
      </c>
      <c r="L92" s="149">
        <f>IFERROR(__xludf.DUMMYFUNCTION("""COMPUTED_VALUE"""),1386.0)</f>
        <v>1386</v>
      </c>
      <c r="M92" s="149">
        <f>IFERROR(__xludf.DUMMYFUNCTION("""COMPUTED_VALUE"""),100943.0)</f>
        <v>100943</v>
      </c>
      <c r="N92" s="149">
        <f>IFERROR(__xludf.DUMMYFUNCTION("""COMPUTED_VALUE"""),116115.0)</f>
        <v>116115</v>
      </c>
      <c r="O92" s="149">
        <f>IFERROR(__xludf.DUMMYFUNCTION("""COMPUTED_VALUE"""),8.0)</f>
        <v>8</v>
      </c>
      <c r="P92" s="149">
        <f>IFERROR(__xludf.DUMMYFUNCTION("""COMPUTED_VALUE"""),1784.0)</f>
        <v>1784</v>
      </c>
      <c r="Q92" s="149">
        <f>IFERROR(__xludf.DUMMYFUNCTION("""COMPUTED_VALUE"""),14.0)</f>
        <v>14</v>
      </c>
      <c r="R92" s="149">
        <f>IFERROR(__xludf.DUMMYFUNCTION("""COMPUTED_VALUE"""),1337.0)</f>
        <v>1337</v>
      </c>
      <c r="S92" s="149">
        <f>IFERROR(__xludf.DUMMYFUNCTION("""COMPUTED_VALUE"""),1.0)</f>
        <v>1</v>
      </c>
      <c r="T92" s="149">
        <f>IFERROR(__xludf.DUMMYFUNCTION("""COMPUTED_VALUE"""),257.0)</f>
        <v>257</v>
      </c>
      <c r="U92" s="149">
        <f>IFERROR(__xludf.DUMMYFUNCTION("""COMPUTED_VALUE"""),190.0)</f>
        <v>190</v>
      </c>
      <c r="V92" s="149">
        <f>IFERROR(__xludf.DUMMYFUNCTION("""COMPUTED_VALUE"""),194.0)</f>
        <v>194</v>
      </c>
      <c r="W92" s="149">
        <f>IFERROR(__xludf.DUMMYFUNCTION("""COMPUTED_VALUE"""),44.0)</f>
        <v>44</v>
      </c>
      <c r="X92" s="149">
        <f>IFERROR(__xludf.DUMMYFUNCTION("""COMPUTED_VALUE"""),29.0)</f>
        <v>29</v>
      </c>
      <c r="Y92" s="149">
        <f>IFERROR(__xludf.DUMMYFUNCTION("""COMPUTED_VALUE"""),5.0)</f>
        <v>5</v>
      </c>
      <c r="Z92" s="149">
        <f>IFERROR(__xludf.DUMMYFUNCTION("""COMPUTED_VALUE"""),829.0)</f>
        <v>829</v>
      </c>
    </row>
    <row r="93">
      <c r="A93" s="187">
        <f>IFERROR(__xludf.DUMMYFUNCTION("""COMPUTED_VALUE"""),43984.0)</f>
        <v>43984</v>
      </c>
      <c r="B93" s="149">
        <f>IFERROR(__xludf.DUMMYFUNCTION("""COMPUTED_VALUE"""),273.0)</f>
        <v>273</v>
      </c>
      <c r="C93" s="149">
        <f>IFERROR(__xludf.DUMMYFUNCTION("""COMPUTED_VALUE"""),217.0)</f>
        <v>217</v>
      </c>
      <c r="D93" s="149">
        <f>IFERROR(__xludf.DUMMYFUNCTION("""COMPUTED_VALUE"""),20802.0)</f>
        <v>20802</v>
      </c>
      <c r="E93" s="149">
        <f>IFERROR(__xludf.DUMMYFUNCTION("""COMPUTED_VALUE"""),3077.0)</f>
        <v>3077</v>
      </c>
      <c r="F93" s="149">
        <f>IFERROR(__xludf.DUMMYFUNCTION("""COMPUTED_VALUE"""),151943.0)</f>
        <v>151943</v>
      </c>
      <c r="G93" s="149">
        <f>IFERROR(__xludf.DUMMYFUNCTION("""COMPUTED_VALUE"""),3350.0)</f>
        <v>3350</v>
      </c>
      <c r="H93" s="149">
        <f>IFERROR(__xludf.DUMMYFUNCTION("""COMPUTED_VALUE"""),172745.0)</f>
        <v>172745</v>
      </c>
      <c r="I93" s="149">
        <f>IFERROR(__xludf.DUMMYFUNCTION("""COMPUTED_VALUE"""),107.0)</f>
        <v>107</v>
      </c>
      <c r="J93" s="149">
        <f>IFERROR(__xludf.DUMMYFUNCTION("""COMPUTED_VALUE"""),95.0)</f>
        <v>95</v>
      </c>
      <c r="K93" s="149">
        <f>IFERROR(__xludf.DUMMYFUNCTION("""COMPUTED_VALUE"""),15279.0)</f>
        <v>15279</v>
      </c>
      <c r="L93" s="149">
        <f>IFERROR(__xludf.DUMMYFUNCTION("""COMPUTED_VALUE"""),1451.0)</f>
        <v>1451</v>
      </c>
      <c r="M93" s="149">
        <f>IFERROR(__xludf.DUMMYFUNCTION("""COMPUTED_VALUE"""),102394.0)</f>
        <v>102394</v>
      </c>
      <c r="N93" s="149">
        <f>IFERROR(__xludf.DUMMYFUNCTION("""COMPUTED_VALUE"""),117673.0)</f>
        <v>117673</v>
      </c>
      <c r="O93" s="149">
        <f>IFERROR(__xludf.DUMMYFUNCTION("""COMPUTED_VALUE"""),8.0)</f>
        <v>8</v>
      </c>
      <c r="P93" s="149">
        <f>IFERROR(__xludf.DUMMYFUNCTION("""COMPUTED_VALUE"""),1792.0)</f>
        <v>1792</v>
      </c>
      <c r="Q93" s="149">
        <f>IFERROR(__xludf.DUMMYFUNCTION("""COMPUTED_VALUE"""),9.0)</f>
        <v>9</v>
      </c>
      <c r="R93" s="149">
        <f>IFERROR(__xludf.DUMMYFUNCTION("""COMPUTED_VALUE"""),1346.0)</f>
        <v>1346</v>
      </c>
      <c r="S93" s="149">
        <f>IFERROR(__xludf.DUMMYFUNCTION("""COMPUTED_VALUE"""),3.0)</f>
        <v>3</v>
      </c>
      <c r="T93" s="149">
        <f>IFERROR(__xludf.DUMMYFUNCTION("""COMPUTED_VALUE"""),260.0)</f>
        <v>260</v>
      </c>
      <c r="U93" s="149">
        <f>IFERROR(__xludf.DUMMYFUNCTION("""COMPUTED_VALUE"""),186.0)</f>
        <v>186</v>
      </c>
      <c r="V93" s="149">
        <f>IFERROR(__xludf.DUMMYFUNCTION("""COMPUTED_VALUE"""),191.0)</f>
        <v>191</v>
      </c>
      <c r="W93" s="149">
        <f>IFERROR(__xludf.DUMMYFUNCTION("""COMPUTED_VALUE"""),37.0)</f>
        <v>37</v>
      </c>
      <c r="X93" s="149">
        <f>IFERROR(__xludf.DUMMYFUNCTION("""COMPUTED_VALUE"""),25.0)</f>
        <v>25</v>
      </c>
      <c r="Y93" s="149">
        <f>IFERROR(__xludf.DUMMYFUNCTION("""COMPUTED_VALUE"""),10.0)</f>
        <v>10</v>
      </c>
      <c r="Z93" s="149">
        <f>IFERROR(__xludf.DUMMYFUNCTION("""COMPUTED_VALUE"""),839.0)</f>
        <v>839</v>
      </c>
    </row>
    <row r="94">
      <c r="A94" s="187">
        <f>IFERROR(__xludf.DUMMYFUNCTION("""COMPUTED_VALUE"""),43985.0)</f>
        <v>43985</v>
      </c>
      <c r="B94" s="149">
        <f>IFERROR(__xludf.DUMMYFUNCTION("""COMPUTED_VALUE"""),260.0)</f>
        <v>260</v>
      </c>
      <c r="C94" s="149">
        <f>IFERROR(__xludf.DUMMYFUNCTION("""COMPUTED_VALUE"""),249.0)</f>
        <v>249</v>
      </c>
      <c r="D94" s="149">
        <f>IFERROR(__xludf.DUMMYFUNCTION("""COMPUTED_VALUE"""),21062.0)</f>
        <v>21062</v>
      </c>
      <c r="E94" s="149">
        <f>IFERROR(__xludf.DUMMYFUNCTION("""COMPUTED_VALUE"""),3516.0)</f>
        <v>3516</v>
      </c>
      <c r="F94" s="149">
        <f>IFERROR(__xludf.DUMMYFUNCTION("""COMPUTED_VALUE"""),155459.0)</f>
        <v>155459</v>
      </c>
      <c r="G94" s="149">
        <f>IFERROR(__xludf.DUMMYFUNCTION("""COMPUTED_VALUE"""),3776.0)</f>
        <v>3776</v>
      </c>
      <c r="H94" s="149">
        <f>IFERROR(__xludf.DUMMYFUNCTION("""COMPUTED_VALUE"""),176521.0)</f>
        <v>176521</v>
      </c>
      <c r="I94" s="149">
        <f>IFERROR(__xludf.DUMMYFUNCTION("""COMPUTED_VALUE"""),105.0)</f>
        <v>105</v>
      </c>
      <c r="J94" s="149">
        <f>IFERROR(__xludf.DUMMYFUNCTION("""COMPUTED_VALUE"""),104.0)</f>
        <v>104</v>
      </c>
      <c r="K94" s="149">
        <f>IFERROR(__xludf.DUMMYFUNCTION("""COMPUTED_VALUE"""),15384.0)</f>
        <v>15384</v>
      </c>
      <c r="L94" s="149">
        <f>IFERROR(__xludf.DUMMYFUNCTION("""COMPUTED_VALUE"""),1665.0)</f>
        <v>1665</v>
      </c>
      <c r="M94" s="149">
        <f>IFERROR(__xludf.DUMMYFUNCTION("""COMPUTED_VALUE"""),104059.0)</f>
        <v>104059</v>
      </c>
      <c r="N94" s="149">
        <f>IFERROR(__xludf.DUMMYFUNCTION("""COMPUTED_VALUE"""),119443.0)</f>
        <v>119443</v>
      </c>
      <c r="O94" s="149">
        <f>IFERROR(__xludf.DUMMYFUNCTION("""COMPUTED_VALUE"""),14.0)</f>
        <v>14</v>
      </c>
      <c r="P94" s="149">
        <f>IFERROR(__xludf.DUMMYFUNCTION("""COMPUTED_VALUE"""),1806.0)</f>
        <v>1806</v>
      </c>
      <c r="Q94" s="149">
        <f>IFERROR(__xludf.DUMMYFUNCTION("""COMPUTED_VALUE"""),18.0)</f>
        <v>18</v>
      </c>
      <c r="R94" s="149">
        <f>IFERROR(__xludf.DUMMYFUNCTION("""COMPUTED_VALUE"""),1364.0)</f>
        <v>1364</v>
      </c>
      <c r="S94" s="149">
        <f>IFERROR(__xludf.DUMMYFUNCTION("""COMPUTED_VALUE"""),6.0)</f>
        <v>6</v>
      </c>
      <c r="T94" s="149">
        <f>IFERROR(__xludf.DUMMYFUNCTION("""COMPUTED_VALUE"""),266.0)</f>
        <v>266</v>
      </c>
      <c r="U94" s="149">
        <f>IFERROR(__xludf.DUMMYFUNCTION("""COMPUTED_VALUE"""),176.0)</f>
        <v>176</v>
      </c>
      <c r="V94" s="149">
        <f>IFERROR(__xludf.DUMMYFUNCTION("""COMPUTED_VALUE"""),184.0)</f>
        <v>184</v>
      </c>
      <c r="W94" s="149">
        <f>IFERROR(__xludf.DUMMYFUNCTION("""COMPUTED_VALUE"""),34.0)</f>
        <v>34</v>
      </c>
      <c r="X94" s="149">
        <f>IFERROR(__xludf.DUMMYFUNCTION("""COMPUTED_VALUE"""),25.0)</f>
        <v>25</v>
      </c>
      <c r="Y94" s="149">
        <f>IFERROR(__xludf.DUMMYFUNCTION("""COMPUTED_VALUE"""),11.0)</f>
        <v>11</v>
      </c>
      <c r="Z94" s="149">
        <f>IFERROR(__xludf.DUMMYFUNCTION("""COMPUTED_VALUE"""),850.0)</f>
        <v>850</v>
      </c>
    </row>
    <row r="95">
      <c r="A95" s="187">
        <f>IFERROR(__xludf.DUMMYFUNCTION("""COMPUTED_VALUE"""),43986.0)</f>
        <v>43986</v>
      </c>
      <c r="B95" s="149">
        <f>IFERROR(__xludf.DUMMYFUNCTION("""COMPUTED_VALUE"""),281.0)</f>
        <v>281</v>
      </c>
      <c r="C95" s="149">
        <f>IFERROR(__xludf.DUMMYFUNCTION("""COMPUTED_VALUE"""),271.0)</f>
        <v>271</v>
      </c>
      <c r="D95" s="149">
        <f>IFERROR(__xludf.DUMMYFUNCTION("""COMPUTED_VALUE"""),21343.0)</f>
        <v>21343</v>
      </c>
      <c r="E95" s="149">
        <f>IFERROR(__xludf.DUMMYFUNCTION("""COMPUTED_VALUE"""),4542.0)</f>
        <v>4542</v>
      </c>
      <c r="F95" s="149">
        <f>IFERROR(__xludf.DUMMYFUNCTION("""COMPUTED_VALUE"""),160001.0)</f>
        <v>160001</v>
      </c>
      <c r="G95" s="149">
        <f>IFERROR(__xludf.DUMMYFUNCTION("""COMPUTED_VALUE"""),4823.0)</f>
        <v>4823</v>
      </c>
      <c r="H95" s="149">
        <f>IFERROR(__xludf.DUMMYFUNCTION("""COMPUTED_VALUE"""),181344.0)</f>
        <v>181344</v>
      </c>
      <c r="I95" s="149">
        <f>IFERROR(__xludf.DUMMYFUNCTION("""COMPUTED_VALUE"""),111.0)</f>
        <v>111</v>
      </c>
      <c r="J95" s="149">
        <f>IFERROR(__xludf.DUMMYFUNCTION("""COMPUTED_VALUE"""),108.0)</f>
        <v>108</v>
      </c>
      <c r="K95" s="149">
        <f>IFERROR(__xludf.DUMMYFUNCTION("""COMPUTED_VALUE"""),15495.0)</f>
        <v>15495</v>
      </c>
      <c r="L95" s="149">
        <f>IFERROR(__xludf.DUMMYFUNCTION("""COMPUTED_VALUE"""),2041.0)</f>
        <v>2041</v>
      </c>
      <c r="M95" s="149">
        <f>IFERROR(__xludf.DUMMYFUNCTION("""COMPUTED_VALUE"""),106100.0)</f>
        <v>106100</v>
      </c>
      <c r="N95" s="149">
        <f>IFERROR(__xludf.DUMMYFUNCTION("""COMPUTED_VALUE"""),121595.0)</f>
        <v>121595</v>
      </c>
      <c r="O95" s="149">
        <f>IFERROR(__xludf.DUMMYFUNCTION("""COMPUTED_VALUE"""),7.0)</f>
        <v>7</v>
      </c>
      <c r="P95" s="149">
        <f>IFERROR(__xludf.DUMMYFUNCTION("""COMPUTED_VALUE"""),1813.0)</f>
        <v>1813</v>
      </c>
      <c r="Q95" s="149">
        <f>IFERROR(__xludf.DUMMYFUNCTION("""COMPUTED_VALUE"""),25.0)</f>
        <v>25</v>
      </c>
      <c r="R95" s="149">
        <f>IFERROR(__xludf.DUMMYFUNCTION("""COMPUTED_VALUE"""),1389.0)</f>
        <v>1389</v>
      </c>
      <c r="S95" s="149">
        <f>IFERROR(__xludf.DUMMYFUNCTION("""COMPUTED_VALUE"""),3.0)</f>
        <v>3</v>
      </c>
      <c r="T95" s="149">
        <f>IFERROR(__xludf.DUMMYFUNCTION("""COMPUTED_VALUE"""),269.0)</f>
        <v>269</v>
      </c>
      <c r="U95" s="149">
        <f>IFERROR(__xludf.DUMMYFUNCTION("""COMPUTED_VALUE"""),155.0)</f>
        <v>155</v>
      </c>
      <c r="V95" s="149">
        <f>IFERROR(__xludf.DUMMYFUNCTION("""COMPUTED_VALUE"""),172.0)</f>
        <v>172</v>
      </c>
      <c r="W95" s="149">
        <f>IFERROR(__xludf.DUMMYFUNCTION("""COMPUTED_VALUE"""),31.0)</f>
        <v>31</v>
      </c>
      <c r="X95" s="149">
        <f>IFERROR(__xludf.DUMMYFUNCTION("""COMPUTED_VALUE"""),24.0)</f>
        <v>24</v>
      </c>
      <c r="Y95" s="149">
        <f>IFERROR(__xludf.DUMMYFUNCTION("""COMPUTED_VALUE"""),11.0)</f>
        <v>11</v>
      </c>
      <c r="Z95" s="149">
        <f>IFERROR(__xludf.DUMMYFUNCTION("""COMPUTED_VALUE"""),861.0)</f>
        <v>861</v>
      </c>
    </row>
    <row r="96">
      <c r="A96" s="187">
        <f>IFERROR(__xludf.DUMMYFUNCTION("""COMPUTED_VALUE"""),43987.0)</f>
        <v>43987</v>
      </c>
      <c r="B96" s="149">
        <f>IFERROR(__xludf.DUMMYFUNCTION("""COMPUTED_VALUE"""),216.0)</f>
        <v>216</v>
      </c>
      <c r="C96" s="149">
        <f>IFERROR(__xludf.DUMMYFUNCTION("""COMPUTED_VALUE"""),252.0)</f>
        <v>252</v>
      </c>
      <c r="D96" s="149">
        <f>IFERROR(__xludf.DUMMYFUNCTION("""COMPUTED_VALUE"""),21559.0)</f>
        <v>21559</v>
      </c>
      <c r="E96" s="149">
        <f>IFERROR(__xludf.DUMMYFUNCTION("""COMPUTED_VALUE"""),3596.0)</f>
        <v>3596</v>
      </c>
      <c r="F96" s="149">
        <f>IFERROR(__xludf.DUMMYFUNCTION("""COMPUTED_VALUE"""),163597.0)</f>
        <v>163597</v>
      </c>
      <c r="G96" s="149">
        <f>IFERROR(__xludf.DUMMYFUNCTION("""COMPUTED_VALUE"""),3812.0)</f>
        <v>3812</v>
      </c>
      <c r="H96" s="149">
        <f>IFERROR(__xludf.DUMMYFUNCTION("""COMPUTED_VALUE"""),185156.0)</f>
        <v>185156</v>
      </c>
      <c r="I96" s="149">
        <f>IFERROR(__xludf.DUMMYFUNCTION("""COMPUTED_VALUE"""),106.0)</f>
        <v>106</v>
      </c>
      <c r="J96" s="149">
        <f>IFERROR(__xludf.DUMMYFUNCTION("""COMPUTED_VALUE"""),107.0)</f>
        <v>107</v>
      </c>
      <c r="K96" s="149">
        <f>IFERROR(__xludf.DUMMYFUNCTION("""COMPUTED_VALUE"""),15601.0)</f>
        <v>15601</v>
      </c>
      <c r="L96" s="149">
        <f>IFERROR(__xludf.DUMMYFUNCTION("""COMPUTED_VALUE"""),1578.0)</f>
        <v>1578</v>
      </c>
      <c r="M96" s="149">
        <f>IFERROR(__xludf.DUMMYFUNCTION("""COMPUTED_VALUE"""),107678.0)</f>
        <v>107678</v>
      </c>
      <c r="N96" s="149">
        <f>IFERROR(__xludf.DUMMYFUNCTION("""COMPUTED_VALUE"""),123279.0)</f>
        <v>123279</v>
      </c>
      <c r="O96" s="149">
        <f>IFERROR(__xludf.DUMMYFUNCTION("""COMPUTED_VALUE"""),15.0)</f>
        <v>15</v>
      </c>
      <c r="P96" s="149">
        <f>IFERROR(__xludf.DUMMYFUNCTION("""COMPUTED_VALUE"""),1828.0)</f>
        <v>1828</v>
      </c>
      <c r="Q96" s="149">
        <f>IFERROR(__xludf.DUMMYFUNCTION("""COMPUTED_VALUE"""),13.0)</f>
        <v>13</v>
      </c>
      <c r="R96" s="149">
        <f>IFERROR(__xludf.DUMMYFUNCTION("""COMPUTED_VALUE"""),1402.0)</f>
        <v>1402</v>
      </c>
      <c r="S96" s="149">
        <f>IFERROR(__xludf.DUMMYFUNCTION("""COMPUTED_VALUE"""),6.0)</f>
        <v>6</v>
      </c>
      <c r="T96" s="149">
        <f>IFERROR(__xludf.DUMMYFUNCTION("""COMPUTED_VALUE"""),275.0)</f>
        <v>275</v>
      </c>
      <c r="U96" s="149">
        <f>IFERROR(__xludf.DUMMYFUNCTION("""COMPUTED_VALUE"""),151.0)</f>
        <v>151</v>
      </c>
      <c r="V96" s="149">
        <f>IFERROR(__xludf.DUMMYFUNCTION("""COMPUTED_VALUE"""),161.0)</f>
        <v>161</v>
      </c>
      <c r="W96" s="149">
        <f>IFERROR(__xludf.DUMMYFUNCTION("""COMPUTED_VALUE"""),27.0)</f>
        <v>27</v>
      </c>
      <c r="X96" s="149">
        <f>IFERROR(__xludf.DUMMYFUNCTION("""COMPUTED_VALUE"""),21.0)</f>
        <v>21</v>
      </c>
      <c r="Y96" s="149">
        <f>IFERROR(__xludf.DUMMYFUNCTION("""COMPUTED_VALUE"""),11.0)</f>
        <v>11</v>
      </c>
      <c r="Z96" s="149">
        <f>IFERROR(__xludf.DUMMYFUNCTION("""COMPUTED_VALUE"""),872.0)</f>
        <v>872</v>
      </c>
    </row>
    <row r="97">
      <c r="A97" s="187">
        <f>IFERROR(__xludf.DUMMYFUNCTION("""COMPUTED_VALUE"""),43988.0)</f>
        <v>43988</v>
      </c>
      <c r="B97" s="149">
        <f>IFERROR(__xludf.DUMMYFUNCTION("""COMPUTED_VALUE"""),203.0)</f>
        <v>203</v>
      </c>
      <c r="C97" s="149">
        <f>IFERROR(__xludf.DUMMYFUNCTION("""COMPUTED_VALUE"""),233.0)</f>
        <v>233</v>
      </c>
      <c r="D97" s="149">
        <f>IFERROR(__xludf.DUMMYFUNCTION("""COMPUTED_VALUE"""),21762.0)</f>
        <v>21762</v>
      </c>
      <c r="E97" s="149">
        <f>IFERROR(__xludf.DUMMYFUNCTION("""COMPUTED_VALUE"""),2630.0)</f>
        <v>2630</v>
      </c>
      <c r="F97" s="149">
        <f>IFERROR(__xludf.DUMMYFUNCTION("""COMPUTED_VALUE"""),166227.0)</f>
        <v>166227</v>
      </c>
      <c r="G97" s="149">
        <f>IFERROR(__xludf.DUMMYFUNCTION("""COMPUTED_VALUE"""),2833.0)</f>
        <v>2833</v>
      </c>
      <c r="H97" s="149">
        <f>IFERROR(__xludf.DUMMYFUNCTION("""COMPUTED_VALUE"""),187989.0)</f>
        <v>187989</v>
      </c>
      <c r="I97" s="149">
        <f>IFERROR(__xludf.DUMMYFUNCTION("""COMPUTED_VALUE"""),69.0)</f>
        <v>69</v>
      </c>
      <c r="J97" s="149">
        <f>IFERROR(__xludf.DUMMYFUNCTION("""COMPUTED_VALUE"""),95.0)</f>
        <v>95</v>
      </c>
      <c r="K97" s="149">
        <f>IFERROR(__xludf.DUMMYFUNCTION("""COMPUTED_VALUE"""),15670.0)</f>
        <v>15670</v>
      </c>
      <c r="L97" s="149">
        <f>IFERROR(__xludf.DUMMYFUNCTION("""COMPUTED_VALUE"""),1136.0)</f>
        <v>1136</v>
      </c>
      <c r="M97" s="149">
        <f>IFERROR(__xludf.DUMMYFUNCTION("""COMPUTED_VALUE"""),108814.0)</f>
        <v>108814</v>
      </c>
      <c r="N97" s="149">
        <f>IFERROR(__xludf.DUMMYFUNCTION("""COMPUTED_VALUE"""),124484.0)</f>
        <v>124484</v>
      </c>
      <c r="O97" s="149">
        <f>IFERROR(__xludf.DUMMYFUNCTION("""COMPUTED_VALUE"""),10.0)</f>
        <v>10</v>
      </c>
      <c r="P97" s="149">
        <f>IFERROR(__xludf.DUMMYFUNCTION("""COMPUTED_VALUE"""),1838.0)</f>
        <v>1838</v>
      </c>
      <c r="Q97" s="149">
        <f>IFERROR(__xludf.DUMMYFUNCTION("""COMPUTED_VALUE"""),7.0)</f>
        <v>7</v>
      </c>
      <c r="R97" s="149">
        <f>IFERROR(__xludf.DUMMYFUNCTION("""COMPUTED_VALUE"""),1409.0)</f>
        <v>1409</v>
      </c>
      <c r="S97" s="149">
        <f>IFERROR(__xludf.DUMMYFUNCTION("""COMPUTED_VALUE"""),2.0)</f>
        <v>2</v>
      </c>
      <c r="T97" s="149">
        <f>IFERROR(__xludf.DUMMYFUNCTION("""COMPUTED_VALUE"""),277.0)</f>
        <v>277</v>
      </c>
      <c r="U97" s="149">
        <f>IFERROR(__xludf.DUMMYFUNCTION("""COMPUTED_VALUE"""),152.0)</f>
        <v>152</v>
      </c>
      <c r="V97" s="149">
        <f>IFERROR(__xludf.DUMMYFUNCTION("""COMPUTED_VALUE"""),153.0)</f>
        <v>153</v>
      </c>
      <c r="W97" s="149">
        <f>IFERROR(__xludf.DUMMYFUNCTION("""COMPUTED_VALUE"""),29.0)</f>
        <v>29</v>
      </c>
      <c r="X97" s="149">
        <f>IFERROR(__xludf.DUMMYFUNCTION("""COMPUTED_VALUE"""),19.0)</f>
        <v>19</v>
      </c>
      <c r="Y97" s="149">
        <f>IFERROR(__xludf.DUMMYFUNCTION("""COMPUTED_VALUE"""),6.0)</f>
        <v>6</v>
      </c>
      <c r="Z97" s="149">
        <f>IFERROR(__xludf.DUMMYFUNCTION("""COMPUTED_VALUE"""),878.0)</f>
        <v>878</v>
      </c>
    </row>
    <row r="98">
      <c r="A98" s="187">
        <f>IFERROR(__xludf.DUMMYFUNCTION("""COMPUTED_VALUE"""),43989.0)</f>
        <v>43989</v>
      </c>
      <c r="B98" s="149">
        <f>IFERROR(__xludf.DUMMYFUNCTION("""COMPUTED_VALUE"""),84.0)</f>
        <v>84</v>
      </c>
      <c r="C98" s="149">
        <f>IFERROR(__xludf.DUMMYFUNCTION("""COMPUTED_VALUE"""),168.0)</f>
        <v>168</v>
      </c>
      <c r="D98" s="149">
        <f>IFERROR(__xludf.DUMMYFUNCTION("""COMPUTED_VALUE"""),21846.0)</f>
        <v>21846</v>
      </c>
      <c r="E98" s="149">
        <f>IFERROR(__xludf.DUMMYFUNCTION("""COMPUTED_VALUE"""),1632.0)</f>
        <v>1632</v>
      </c>
      <c r="F98" s="149">
        <f>IFERROR(__xludf.DUMMYFUNCTION("""COMPUTED_VALUE"""),167859.0)</f>
        <v>167859</v>
      </c>
      <c r="G98" s="149">
        <f>IFERROR(__xludf.DUMMYFUNCTION("""COMPUTED_VALUE"""),1716.0)</f>
        <v>1716</v>
      </c>
      <c r="H98" s="149">
        <f>IFERROR(__xludf.DUMMYFUNCTION("""COMPUTED_VALUE"""),189705.0)</f>
        <v>189705</v>
      </c>
      <c r="I98" s="149">
        <f>IFERROR(__xludf.DUMMYFUNCTION("""COMPUTED_VALUE"""),50.0)</f>
        <v>50</v>
      </c>
      <c r="J98" s="149">
        <f>IFERROR(__xludf.DUMMYFUNCTION("""COMPUTED_VALUE"""),75.0)</f>
        <v>75</v>
      </c>
      <c r="K98" s="149">
        <f>IFERROR(__xludf.DUMMYFUNCTION("""COMPUTED_VALUE"""),15720.0)</f>
        <v>15720</v>
      </c>
      <c r="L98" s="149">
        <f>IFERROR(__xludf.DUMMYFUNCTION("""COMPUTED_VALUE"""),782.0)</f>
        <v>782</v>
      </c>
      <c r="M98" s="149">
        <f>IFERROR(__xludf.DUMMYFUNCTION("""COMPUTED_VALUE"""),109596.0)</f>
        <v>109596</v>
      </c>
      <c r="N98" s="149">
        <f>IFERROR(__xludf.DUMMYFUNCTION("""COMPUTED_VALUE"""),125316.0)</f>
        <v>125316</v>
      </c>
      <c r="O98" s="149">
        <f>IFERROR(__xludf.DUMMYFUNCTION("""COMPUTED_VALUE"""),11.0)</f>
        <v>11</v>
      </c>
      <c r="P98" s="149">
        <f>IFERROR(__xludf.DUMMYFUNCTION("""COMPUTED_VALUE"""),1849.0)</f>
        <v>1849</v>
      </c>
      <c r="Q98" s="149">
        <f>IFERROR(__xludf.DUMMYFUNCTION("""COMPUTED_VALUE"""),7.0)</f>
        <v>7</v>
      </c>
      <c r="R98" s="149">
        <f>IFERROR(__xludf.DUMMYFUNCTION("""COMPUTED_VALUE"""),1416.0)</f>
        <v>1416</v>
      </c>
      <c r="S98" s="149">
        <f>IFERROR(__xludf.DUMMYFUNCTION("""COMPUTED_VALUE"""),1.0)</f>
        <v>1</v>
      </c>
      <c r="T98" s="149">
        <f>IFERROR(__xludf.DUMMYFUNCTION("""COMPUTED_VALUE"""),278.0)</f>
        <v>278</v>
      </c>
      <c r="U98" s="149">
        <f>IFERROR(__xludf.DUMMYFUNCTION("""COMPUTED_VALUE"""),155.0)</f>
        <v>155</v>
      </c>
      <c r="V98" s="149">
        <f>IFERROR(__xludf.DUMMYFUNCTION("""COMPUTED_VALUE"""),153.0)</f>
        <v>153</v>
      </c>
      <c r="W98" s="149">
        <f>IFERROR(__xludf.DUMMYFUNCTION("""COMPUTED_VALUE"""),25.0)</f>
        <v>25</v>
      </c>
      <c r="X98" s="149">
        <f>IFERROR(__xludf.DUMMYFUNCTION("""COMPUTED_VALUE"""),17.0)</f>
        <v>17</v>
      </c>
      <c r="Y98" s="149">
        <f>IFERROR(__xludf.DUMMYFUNCTION("""COMPUTED_VALUE"""),4.0)</f>
        <v>4</v>
      </c>
      <c r="Z98" s="149">
        <f>IFERROR(__xludf.DUMMYFUNCTION("""COMPUTED_VALUE"""),882.0)</f>
        <v>882</v>
      </c>
    </row>
    <row r="99">
      <c r="A99" s="187">
        <f>IFERROR(__xludf.DUMMYFUNCTION("""COMPUTED_VALUE"""),43990.0)</f>
        <v>43990</v>
      </c>
      <c r="B99" s="188">
        <f>IFERROR(__xludf.DUMMYFUNCTION("""COMPUTED_VALUE"""),120.0)</f>
        <v>120</v>
      </c>
      <c r="C99" s="188">
        <f>IFERROR(__xludf.DUMMYFUNCTION("""COMPUTED_VALUE"""),136.0)</f>
        <v>136</v>
      </c>
      <c r="D99" s="188">
        <f>IFERROR(__xludf.DUMMYFUNCTION("""COMPUTED_VALUE"""),21966.0)</f>
        <v>21966</v>
      </c>
      <c r="E99" s="188">
        <f>IFERROR(__xludf.DUMMYFUNCTION("""COMPUTED_VALUE"""),1854.0)</f>
        <v>1854</v>
      </c>
      <c r="F99" s="149">
        <f>IFERROR(__xludf.DUMMYFUNCTION("""COMPUTED_VALUE"""),169713.0)</f>
        <v>169713</v>
      </c>
      <c r="G99" s="149">
        <f>IFERROR(__xludf.DUMMYFUNCTION("""COMPUTED_VALUE"""),1974.0)</f>
        <v>1974</v>
      </c>
      <c r="H99" s="149">
        <f>IFERROR(__xludf.DUMMYFUNCTION("""COMPUTED_VALUE"""),191679.0)</f>
        <v>191679</v>
      </c>
      <c r="I99" s="188">
        <f>IFERROR(__xludf.DUMMYFUNCTION("""COMPUTED_VALUE"""),44.0)</f>
        <v>44</v>
      </c>
      <c r="J99" s="188">
        <f>IFERROR(__xludf.DUMMYFUNCTION("""COMPUTED_VALUE"""),54.0)</f>
        <v>54</v>
      </c>
      <c r="K99" s="188">
        <f>IFERROR(__xludf.DUMMYFUNCTION("""COMPUTED_VALUE"""),15764.0)</f>
        <v>15764</v>
      </c>
      <c r="L99" s="188">
        <f>IFERROR(__xludf.DUMMYFUNCTION("""COMPUTED_VALUE"""),962.0)</f>
        <v>962</v>
      </c>
      <c r="M99" s="188">
        <f>IFERROR(__xludf.DUMMYFUNCTION("""COMPUTED_VALUE"""),110558.0)</f>
        <v>110558</v>
      </c>
      <c r="N99" s="188">
        <f>IFERROR(__xludf.DUMMYFUNCTION("""COMPUTED_VALUE"""),126322.0)</f>
        <v>126322</v>
      </c>
      <c r="O99" s="188">
        <f>IFERROR(__xludf.DUMMYFUNCTION("""COMPUTED_VALUE"""),15.0)</f>
        <v>15</v>
      </c>
      <c r="P99" s="188">
        <f>IFERROR(__xludf.DUMMYFUNCTION("""COMPUTED_VALUE"""),1864.0)</f>
        <v>1864</v>
      </c>
      <c r="Q99" s="188">
        <f>IFERROR(__xludf.DUMMYFUNCTION("""COMPUTED_VALUE"""),12.0)</f>
        <v>12</v>
      </c>
      <c r="R99" s="188">
        <f>IFERROR(__xludf.DUMMYFUNCTION("""COMPUTED_VALUE"""),1428.0)</f>
        <v>1428</v>
      </c>
      <c r="S99" s="188">
        <f>IFERROR(__xludf.DUMMYFUNCTION("""COMPUTED_VALUE"""),2.0)</f>
        <v>2</v>
      </c>
      <c r="T99" s="188">
        <f>IFERROR(__xludf.DUMMYFUNCTION("""COMPUTED_VALUE"""),280.0)</f>
        <v>280</v>
      </c>
      <c r="U99" s="188">
        <f>IFERROR(__xludf.DUMMYFUNCTION("""COMPUTED_VALUE"""),156.0)</f>
        <v>156</v>
      </c>
      <c r="V99" s="188">
        <f>IFERROR(__xludf.DUMMYFUNCTION("""COMPUTED_VALUE"""),154.0)</f>
        <v>154</v>
      </c>
      <c r="W99" s="188">
        <f>IFERROR(__xludf.DUMMYFUNCTION("""COMPUTED_VALUE"""),27.0)</f>
        <v>27</v>
      </c>
      <c r="X99" s="188">
        <f>IFERROR(__xludf.DUMMYFUNCTION("""COMPUTED_VALUE"""),18.0)</f>
        <v>18</v>
      </c>
      <c r="Y99" s="188">
        <f>IFERROR(__xludf.DUMMYFUNCTION("""COMPUTED_VALUE"""),4.0)</f>
        <v>4</v>
      </c>
      <c r="Z99" s="188">
        <f>IFERROR(__xludf.DUMMYFUNCTION("""COMPUTED_VALUE"""),886.0)</f>
        <v>886</v>
      </c>
    </row>
    <row r="100">
      <c r="A100" s="187">
        <f>IFERROR(__xludf.DUMMYFUNCTION("""COMPUTED_VALUE"""),43991.0)</f>
        <v>43991</v>
      </c>
      <c r="B100" s="188">
        <f>IFERROR(__xludf.DUMMYFUNCTION("""COMPUTED_VALUE"""),223.0)</f>
        <v>223</v>
      </c>
      <c r="C100" s="188">
        <f>IFERROR(__xludf.DUMMYFUNCTION("""COMPUTED_VALUE"""),142.0)</f>
        <v>142</v>
      </c>
      <c r="D100" s="188">
        <f>IFERROR(__xludf.DUMMYFUNCTION("""COMPUTED_VALUE"""),22189.0)</f>
        <v>22189</v>
      </c>
      <c r="E100" s="188">
        <f>IFERROR(__xludf.DUMMYFUNCTION("""COMPUTED_VALUE"""),2685.0)</f>
        <v>2685</v>
      </c>
      <c r="F100" s="149">
        <f>IFERROR(__xludf.DUMMYFUNCTION("""COMPUTED_VALUE"""),172398.0)</f>
        <v>172398</v>
      </c>
      <c r="G100" s="149">
        <f>IFERROR(__xludf.DUMMYFUNCTION("""COMPUTED_VALUE"""),2908.0)</f>
        <v>2908</v>
      </c>
      <c r="H100" s="149">
        <f>IFERROR(__xludf.DUMMYFUNCTION("""COMPUTED_VALUE"""),194587.0)</f>
        <v>194587</v>
      </c>
      <c r="I100" s="188">
        <f>IFERROR(__xludf.DUMMYFUNCTION("""COMPUTED_VALUE"""),67.0)</f>
        <v>67</v>
      </c>
      <c r="J100" s="188">
        <f>IFERROR(__xludf.DUMMYFUNCTION("""COMPUTED_VALUE"""),54.0)</f>
        <v>54</v>
      </c>
      <c r="K100" s="188">
        <f>IFERROR(__xludf.DUMMYFUNCTION("""COMPUTED_VALUE"""),15831.0)</f>
        <v>15831</v>
      </c>
      <c r="L100" s="188">
        <f>IFERROR(__xludf.DUMMYFUNCTION("""COMPUTED_VALUE"""),1260.0)</f>
        <v>1260</v>
      </c>
      <c r="M100" s="188">
        <f>IFERROR(__xludf.DUMMYFUNCTION("""COMPUTED_VALUE"""),111818.0)</f>
        <v>111818</v>
      </c>
      <c r="N100" s="188">
        <f>IFERROR(__xludf.DUMMYFUNCTION("""COMPUTED_VALUE"""),127649.0)</f>
        <v>127649</v>
      </c>
      <c r="O100" s="188">
        <f>IFERROR(__xludf.DUMMYFUNCTION("""COMPUTED_VALUE"""),10.0)</f>
        <v>10</v>
      </c>
      <c r="P100" s="188">
        <f>IFERROR(__xludf.DUMMYFUNCTION("""COMPUTED_VALUE"""),1874.0)</f>
        <v>1874</v>
      </c>
      <c r="Q100" s="188">
        <f>IFERROR(__xludf.DUMMYFUNCTION("""COMPUTED_VALUE"""),18.0)</f>
        <v>18</v>
      </c>
      <c r="R100" s="188">
        <f>IFERROR(__xludf.DUMMYFUNCTION("""COMPUTED_VALUE"""),1446.0)</f>
        <v>1446</v>
      </c>
      <c r="S100" s="188">
        <f>IFERROR(__xludf.DUMMYFUNCTION("""COMPUTED_VALUE"""),0.0)</f>
        <v>0</v>
      </c>
      <c r="T100" s="188">
        <f>IFERROR(__xludf.DUMMYFUNCTION("""COMPUTED_VALUE"""),280.0)</f>
        <v>280</v>
      </c>
      <c r="U100" s="188">
        <f>IFERROR(__xludf.DUMMYFUNCTION("""COMPUTED_VALUE"""),148.0)</f>
        <v>148</v>
      </c>
      <c r="V100" s="188">
        <f>IFERROR(__xludf.DUMMYFUNCTION("""COMPUTED_VALUE"""),153.0)</f>
        <v>153</v>
      </c>
      <c r="W100" s="188">
        <f>IFERROR(__xludf.DUMMYFUNCTION("""COMPUTED_VALUE"""),28.0)</f>
        <v>28</v>
      </c>
      <c r="X100" s="188">
        <f>IFERROR(__xludf.DUMMYFUNCTION("""COMPUTED_VALUE"""),21.0)</f>
        <v>21</v>
      </c>
      <c r="Y100" s="188">
        <f>IFERROR(__xludf.DUMMYFUNCTION("""COMPUTED_VALUE"""),1.0)</f>
        <v>1</v>
      </c>
      <c r="Z100" s="188">
        <f>IFERROR(__xludf.DUMMYFUNCTION("""COMPUTED_VALUE"""),887.0)</f>
        <v>887</v>
      </c>
    </row>
    <row r="101">
      <c r="A101" s="187">
        <f>IFERROR(__xludf.DUMMYFUNCTION("""COMPUTED_VALUE"""),43992.0)</f>
        <v>43992</v>
      </c>
      <c r="B101" s="188">
        <f>IFERROR(__xludf.DUMMYFUNCTION("""COMPUTED_VALUE"""),211.0)</f>
        <v>211</v>
      </c>
      <c r="C101" s="188">
        <f>IFERROR(__xludf.DUMMYFUNCTION("""COMPUTED_VALUE"""),185.0)</f>
        <v>185</v>
      </c>
      <c r="D101" s="188">
        <f>IFERROR(__xludf.DUMMYFUNCTION("""COMPUTED_VALUE"""),22400.0)</f>
        <v>22400</v>
      </c>
      <c r="E101" s="188">
        <f>IFERROR(__xludf.DUMMYFUNCTION("""COMPUTED_VALUE"""),3005.0)</f>
        <v>3005</v>
      </c>
      <c r="F101" s="149">
        <f>IFERROR(__xludf.DUMMYFUNCTION("""COMPUTED_VALUE"""),175403.0)</f>
        <v>175403</v>
      </c>
      <c r="G101" s="149">
        <f>IFERROR(__xludf.DUMMYFUNCTION("""COMPUTED_VALUE"""),3216.0)</f>
        <v>3216</v>
      </c>
      <c r="H101" s="149">
        <f>IFERROR(__xludf.DUMMYFUNCTION("""COMPUTED_VALUE"""),197803.0)</f>
        <v>197803</v>
      </c>
      <c r="I101" s="188">
        <f>IFERROR(__xludf.DUMMYFUNCTION("""COMPUTED_VALUE"""),105.0)</f>
        <v>105</v>
      </c>
      <c r="J101" s="188">
        <f>IFERROR(__xludf.DUMMYFUNCTION("""COMPUTED_VALUE"""),72.0)</f>
        <v>72</v>
      </c>
      <c r="K101" s="188">
        <f>IFERROR(__xludf.DUMMYFUNCTION("""COMPUTED_VALUE"""),15936.0)</f>
        <v>15936</v>
      </c>
      <c r="L101" s="188">
        <f>IFERROR(__xludf.DUMMYFUNCTION("""COMPUTED_VALUE"""),1468.0)</f>
        <v>1468</v>
      </c>
      <c r="M101" s="188">
        <f>IFERROR(__xludf.DUMMYFUNCTION("""COMPUTED_VALUE"""),113286.0)</f>
        <v>113286</v>
      </c>
      <c r="N101" s="188">
        <f>IFERROR(__xludf.DUMMYFUNCTION("""COMPUTED_VALUE"""),129222.0)</f>
        <v>129222</v>
      </c>
      <c r="O101" s="188">
        <f>IFERROR(__xludf.DUMMYFUNCTION("""COMPUTED_VALUE"""),13.0)</f>
        <v>13</v>
      </c>
      <c r="P101" s="188">
        <f>IFERROR(__xludf.DUMMYFUNCTION("""COMPUTED_VALUE"""),1887.0)</f>
        <v>1887</v>
      </c>
      <c r="Q101" s="188">
        <f>IFERROR(__xludf.DUMMYFUNCTION("""COMPUTED_VALUE"""),12.0)</f>
        <v>12</v>
      </c>
      <c r="R101" s="188">
        <f>IFERROR(__xludf.DUMMYFUNCTION("""COMPUTED_VALUE"""),1458.0)</f>
        <v>1458</v>
      </c>
      <c r="S101" s="188">
        <f>IFERROR(__xludf.DUMMYFUNCTION("""COMPUTED_VALUE"""),2.0)</f>
        <v>2</v>
      </c>
      <c r="T101" s="188">
        <f>IFERROR(__xludf.DUMMYFUNCTION("""COMPUTED_VALUE"""),282.0)</f>
        <v>282</v>
      </c>
      <c r="U101" s="188">
        <f>IFERROR(__xludf.DUMMYFUNCTION("""COMPUTED_VALUE"""),147.0)</f>
        <v>147</v>
      </c>
      <c r="V101" s="188">
        <f>IFERROR(__xludf.DUMMYFUNCTION("""COMPUTED_VALUE"""),150.0)</f>
        <v>150</v>
      </c>
      <c r="W101" s="188">
        <f>IFERROR(__xludf.DUMMYFUNCTION("""COMPUTED_VALUE"""),24.0)</f>
        <v>24</v>
      </c>
      <c r="X101" s="188">
        <f>IFERROR(__xludf.DUMMYFUNCTION("""COMPUTED_VALUE"""),17.0)</f>
        <v>17</v>
      </c>
      <c r="Y101" s="188">
        <f>IFERROR(__xludf.DUMMYFUNCTION("""COMPUTED_VALUE"""),4.0)</f>
        <v>4</v>
      </c>
      <c r="Z101" s="188">
        <f>IFERROR(__xludf.DUMMYFUNCTION("""COMPUTED_VALUE"""),891.0)</f>
        <v>891</v>
      </c>
    </row>
    <row r="102">
      <c r="A102" s="187">
        <f>IFERROR(__xludf.DUMMYFUNCTION("""COMPUTED_VALUE"""),43993.0)</f>
        <v>43993</v>
      </c>
      <c r="B102" s="188">
        <f>IFERROR(__xludf.DUMMYFUNCTION("""COMPUTED_VALUE"""),195.0)</f>
        <v>195</v>
      </c>
      <c r="C102" s="188">
        <f>IFERROR(__xludf.DUMMYFUNCTION("""COMPUTED_VALUE"""),210.0)</f>
        <v>210</v>
      </c>
      <c r="D102" s="188">
        <f>IFERROR(__xludf.DUMMYFUNCTION("""COMPUTED_VALUE"""),22595.0)</f>
        <v>22595</v>
      </c>
      <c r="E102" s="188">
        <f>IFERROR(__xludf.DUMMYFUNCTION("""COMPUTED_VALUE"""),3578.0)</f>
        <v>3578</v>
      </c>
      <c r="F102" s="149">
        <f>IFERROR(__xludf.DUMMYFUNCTION("""COMPUTED_VALUE"""),178981.0)</f>
        <v>178981</v>
      </c>
      <c r="G102" s="149">
        <f>IFERROR(__xludf.DUMMYFUNCTION("""COMPUTED_VALUE"""),3773.0)</f>
        <v>3773</v>
      </c>
      <c r="H102" s="149">
        <f>IFERROR(__xludf.DUMMYFUNCTION("""COMPUTED_VALUE"""),201576.0)</f>
        <v>201576</v>
      </c>
      <c r="I102" s="188">
        <f>IFERROR(__xludf.DUMMYFUNCTION("""COMPUTED_VALUE"""),88.0)</f>
        <v>88</v>
      </c>
      <c r="J102" s="188">
        <f>IFERROR(__xludf.DUMMYFUNCTION("""COMPUTED_VALUE"""),87.0)</f>
        <v>87</v>
      </c>
      <c r="K102" s="188">
        <f>IFERROR(__xludf.DUMMYFUNCTION("""COMPUTED_VALUE"""),16024.0)</f>
        <v>16024</v>
      </c>
      <c r="L102" s="188">
        <f>IFERROR(__xludf.DUMMYFUNCTION("""COMPUTED_VALUE"""),1537.0)</f>
        <v>1537</v>
      </c>
      <c r="M102" s="188">
        <f>IFERROR(__xludf.DUMMYFUNCTION("""COMPUTED_VALUE"""),114823.0)</f>
        <v>114823</v>
      </c>
      <c r="N102" s="188">
        <f>IFERROR(__xludf.DUMMYFUNCTION("""COMPUTED_VALUE"""),130847.0)</f>
        <v>130847</v>
      </c>
      <c r="O102" s="188">
        <f>IFERROR(__xludf.DUMMYFUNCTION("""COMPUTED_VALUE"""),7.0)</f>
        <v>7</v>
      </c>
      <c r="P102" s="188">
        <f>IFERROR(__xludf.DUMMYFUNCTION("""COMPUTED_VALUE"""),1894.0)</f>
        <v>1894</v>
      </c>
      <c r="Q102" s="188">
        <f>IFERROR(__xludf.DUMMYFUNCTION("""COMPUTED_VALUE"""),15.0)</f>
        <v>15</v>
      </c>
      <c r="R102" s="188">
        <f>IFERROR(__xludf.DUMMYFUNCTION("""COMPUTED_VALUE"""),1473.0)</f>
        <v>1473</v>
      </c>
      <c r="S102" s="188">
        <f>IFERROR(__xludf.DUMMYFUNCTION("""COMPUTED_VALUE"""),1.0)</f>
        <v>1</v>
      </c>
      <c r="T102" s="188">
        <f>IFERROR(__xludf.DUMMYFUNCTION("""COMPUTED_VALUE"""),283.0)</f>
        <v>283</v>
      </c>
      <c r="U102" s="188">
        <f>IFERROR(__xludf.DUMMYFUNCTION("""COMPUTED_VALUE"""),138.0)</f>
        <v>138</v>
      </c>
      <c r="V102" s="188">
        <f>IFERROR(__xludf.DUMMYFUNCTION("""COMPUTED_VALUE"""),144.0)</f>
        <v>144</v>
      </c>
      <c r="W102" s="188">
        <f>IFERROR(__xludf.DUMMYFUNCTION("""COMPUTED_VALUE"""),25.0)</f>
        <v>25</v>
      </c>
      <c r="X102" s="188">
        <f>IFERROR(__xludf.DUMMYFUNCTION("""COMPUTED_VALUE"""),16.0)</f>
        <v>16</v>
      </c>
      <c r="Y102" s="188">
        <f>IFERROR(__xludf.DUMMYFUNCTION("""COMPUTED_VALUE"""),6.0)</f>
        <v>6</v>
      </c>
      <c r="Z102" s="188">
        <f>IFERROR(__xludf.DUMMYFUNCTION("""COMPUTED_VALUE"""),897.0)</f>
        <v>897</v>
      </c>
    </row>
    <row r="103">
      <c r="A103" s="187">
        <f>IFERROR(__xludf.DUMMYFUNCTION("""COMPUTED_VALUE"""),43994.0)</f>
        <v>43994</v>
      </c>
      <c r="B103" s="188">
        <f>IFERROR(__xludf.DUMMYFUNCTION("""COMPUTED_VALUE"""),209.0)</f>
        <v>209</v>
      </c>
      <c r="C103" s="188">
        <f>IFERROR(__xludf.DUMMYFUNCTION("""COMPUTED_VALUE"""),205.0)</f>
        <v>205</v>
      </c>
      <c r="D103" s="188">
        <f>IFERROR(__xludf.DUMMYFUNCTION("""COMPUTED_VALUE"""),22804.0)</f>
        <v>22804</v>
      </c>
      <c r="E103" s="188">
        <f>IFERROR(__xludf.DUMMYFUNCTION("""COMPUTED_VALUE"""),4618.0)</f>
        <v>4618</v>
      </c>
      <c r="F103" s="149">
        <f>IFERROR(__xludf.DUMMYFUNCTION("""COMPUTED_VALUE"""),183599.0)</f>
        <v>183599</v>
      </c>
      <c r="G103" s="149">
        <f>IFERROR(__xludf.DUMMYFUNCTION("""COMPUTED_VALUE"""),4827.0)</f>
        <v>4827</v>
      </c>
      <c r="H103" s="149">
        <f>IFERROR(__xludf.DUMMYFUNCTION("""COMPUTED_VALUE"""),206403.0)</f>
        <v>206403</v>
      </c>
      <c r="I103" s="188">
        <f>IFERROR(__xludf.DUMMYFUNCTION("""COMPUTED_VALUE"""),82.0)</f>
        <v>82</v>
      </c>
      <c r="J103" s="188">
        <f>IFERROR(__xludf.DUMMYFUNCTION("""COMPUTED_VALUE"""),92.0)</f>
        <v>92</v>
      </c>
      <c r="K103" s="188">
        <f>IFERROR(__xludf.DUMMYFUNCTION("""COMPUTED_VALUE"""),16106.0)</f>
        <v>16106</v>
      </c>
      <c r="L103" s="188">
        <f>IFERROR(__xludf.DUMMYFUNCTION("""COMPUTED_VALUE"""),2187.0)</f>
        <v>2187</v>
      </c>
      <c r="M103" s="188">
        <f>IFERROR(__xludf.DUMMYFUNCTION("""COMPUTED_VALUE"""),117010.0)</f>
        <v>117010</v>
      </c>
      <c r="N103" s="188">
        <f>IFERROR(__xludf.DUMMYFUNCTION("""COMPUTED_VALUE"""),133116.0)</f>
        <v>133116</v>
      </c>
      <c r="O103" s="188">
        <f>IFERROR(__xludf.DUMMYFUNCTION("""COMPUTED_VALUE"""),9.0)</f>
        <v>9</v>
      </c>
      <c r="P103" s="188">
        <f>IFERROR(__xludf.DUMMYFUNCTION("""COMPUTED_VALUE"""),1903.0)</f>
        <v>1903</v>
      </c>
      <c r="Q103" s="188">
        <f>IFERROR(__xludf.DUMMYFUNCTION("""COMPUTED_VALUE"""),15.0)</f>
        <v>15</v>
      </c>
      <c r="R103" s="188">
        <f>IFERROR(__xludf.DUMMYFUNCTION("""COMPUTED_VALUE"""),1488.0)</f>
        <v>1488</v>
      </c>
      <c r="S103" s="188">
        <f>IFERROR(__xludf.DUMMYFUNCTION("""COMPUTED_VALUE"""),1.0)</f>
        <v>1</v>
      </c>
      <c r="T103" s="188">
        <f>IFERROR(__xludf.DUMMYFUNCTION("""COMPUTED_VALUE"""),284.0)</f>
        <v>284</v>
      </c>
      <c r="U103" s="188">
        <f>IFERROR(__xludf.DUMMYFUNCTION("""COMPUTED_VALUE"""),131.0)</f>
        <v>131</v>
      </c>
      <c r="V103" s="188">
        <f>IFERROR(__xludf.DUMMYFUNCTION("""COMPUTED_VALUE"""),139.0)</f>
        <v>139</v>
      </c>
      <c r="W103" s="188">
        <f>IFERROR(__xludf.DUMMYFUNCTION("""COMPUTED_VALUE"""),24.0)</f>
        <v>24</v>
      </c>
      <c r="X103" s="188">
        <f>IFERROR(__xludf.DUMMYFUNCTION("""COMPUTED_VALUE"""),16.0)</f>
        <v>16</v>
      </c>
      <c r="Y103" s="188">
        <f>IFERROR(__xludf.DUMMYFUNCTION("""COMPUTED_VALUE"""),2.0)</f>
        <v>2</v>
      </c>
      <c r="Z103" s="188">
        <f>IFERROR(__xludf.DUMMYFUNCTION("""COMPUTED_VALUE"""),899.0)</f>
        <v>899</v>
      </c>
    </row>
    <row r="104">
      <c r="A104" s="187">
        <f>IFERROR(__xludf.DUMMYFUNCTION("""COMPUTED_VALUE"""),43995.0)</f>
        <v>43995</v>
      </c>
      <c r="B104" s="188">
        <f>IFERROR(__xludf.DUMMYFUNCTION("""COMPUTED_VALUE"""),114.0)</f>
        <v>114</v>
      </c>
      <c r="C104" s="188">
        <f>IFERROR(__xludf.DUMMYFUNCTION("""COMPUTED_VALUE"""),173.0)</f>
        <v>173</v>
      </c>
      <c r="D104" s="188">
        <f>IFERROR(__xludf.DUMMYFUNCTION("""COMPUTED_VALUE"""),22918.0)</f>
        <v>22918</v>
      </c>
      <c r="E104" s="188">
        <f>IFERROR(__xludf.DUMMYFUNCTION("""COMPUTED_VALUE"""),3048.0)</f>
        <v>3048</v>
      </c>
      <c r="F104" s="149">
        <f>IFERROR(__xludf.DUMMYFUNCTION("""COMPUTED_VALUE"""),186647.0)</f>
        <v>186647</v>
      </c>
      <c r="G104" s="149">
        <f>IFERROR(__xludf.DUMMYFUNCTION("""COMPUTED_VALUE"""),3162.0)</f>
        <v>3162</v>
      </c>
      <c r="H104" s="149">
        <f>IFERROR(__xludf.DUMMYFUNCTION("""COMPUTED_VALUE"""),209565.0)</f>
        <v>209565</v>
      </c>
      <c r="I104" s="188">
        <f>IFERROR(__xludf.DUMMYFUNCTION("""COMPUTED_VALUE"""),50.0)</f>
        <v>50</v>
      </c>
      <c r="J104" s="188">
        <f>IFERROR(__xludf.DUMMYFUNCTION("""COMPUTED_VALUE"""),73.0)</f>
        <v>73</v>
      </c>
      <c r="K104" s="188">
        <f>IFERROR(__xludf.DUMMYFUNCTION("""COMPUTED_VALUE"""),16156.0)</f>
        <v>16156</v>
      </c>
      <c r="L104" s="188">
        <f>IFERROR(__xludf.DUMMYFUNCTION("""COMPUTED_VALUE"""),1373.0)</f>
        <v>1373</v>
      </c>
      <c r="M104" s="188">
        <f>IFERROR(__xludf.DUMMYFUNCTION("""COMPUTED_VALUE"""),118383.0)</f>
        <v>118383</v>
      </c>
      <c r="N104" s="188">
        <f>IFERROR(__xludf.DUMMYFUNCTION("""COMPUTED_VALUE"""),134539.0)</f>
        <v>134539</v>
      </c>
      <c r="O104" s="188">
        <f>IFERROR(__xludf.DUMMYFUNCTION("""COMPUTED_VALUE"""),6.0)</f>
        <v>6</v>
      </c>
      <c r="P104" s="188">
        <f>IFERROR(__xludf.DUMMYFUNCTION("""COMPUTED_VALUE"""),1909.0)</f>
        <v>1909</v>
      </c>
      <c r="Q104" s="188">
        <f>IFERROR(__xludf.DUMMYFUNCTION("""COMPUTED_VALUE"""),4.0)</f>
        <v>4</v>
      </c>
      <c r="R104" s="188">
        <f>IFERROR(__xludf.DUMMYFUNCTION("""COMPUTED_VALUE"""),1492.0)</f>
        <v>1492</v>
      </c>
      <c r="S104" s="188">
        <f>IFERROR(__xludf.DUMMYFUNCTION("""COMPUTED_VALUE"""),0.0)</f>
        <v>0</v>
      </c>
      <c r="T104" s="188">
        <f>IFERROR(__xludf.DUMMYFUNCTION("""COMPUTED_VALUE"""),284.0)</f>
        <v>284</v>
      </c>
      <c r="U104" s="188">
        <f>IFERROR(__xludf.DUMMYFUNCTION("""COMPUTED_VALUE"""),133.0)</f>
        <v>133</v>
      </c>
      <c r="V104" s="188">
        <f>IFERROR(__xludf.DUMMYFUNCTION("""COMPUTED_VALUE"""),134.0)</f>
        <v>134</v>
      </c>
      <c r="W104" s="188">
        <f>IFERROR(__xludf.DUMMYFUNCTION("""COMPUTED_VALUE"""),20.0)</f>
        <v>20</v>
      </c>
      <c r="X104" s="188">
        <f>IFERROR(__xludf.DUMMYFUNCTION("""COMPUTED_VALUE"""),15.0)</f>
        <v>15</v>
      </c>
      <c r="Y104" s="188">
        <f>IFERROR(__xludf.DUMMYFUNCTION("""COMPUTED_VALUE"""),3.0)</f>
        <v>3</v>
      </c>
      <c r="Z104" s="188">
        <f>IFERROR(__xludf.DUMMYFUNCTION("""COMPUTED_VALUE"""),902.0)</f>
        <v>902</v>
      </c>
    </row>
    <row r="105">
      <c r="A105" s="187">
        <f>IFERROR(__xludf.DUMMYFUNCTION("""COMPUTED_VALUE"""),43996.0)</f>
        <v>43996</v>
      </c>
      <c r="B105" s="188">
        <f>IFERROR(__xludf.DUMMYFUNCTION("""COMPUTED_VALUE"""),83.0)</f>
        <v>83</v>
      </c>
      <c r="C105" s="188">
        <f>IFERROR(__xludf.DUMMYFUNCTION("""COMPUTED_VALUE"""),135.0)</f>
        <v>135</v>
      </c>
      <c r="D105" s="188">
        <f>IFERROR(__xludf.DUMMYFUNCTION("""COMPUTED_VALUE"""),23001.0)</f>
        <v>23001</v>
      </c>
      <c r="E105" s="188">
        <f>IFERROR(__xludf.DUMMYFUNCTION("""COMPUTED_VALUE"""),2053.0)</f>
        <v>2053</v>
      </c>
      <c r="F105" s="149">
        <f>IFERROR(__xludf.DUMMYFUNCTION("""COMPUTED_VALUE"""),188700.0)</f>
        <v>188700</v>
      </c>
      <c r="G105" s="149">
        <f>IFERROR(__xludf.DUMMYFUNCTION("""COMPUTED_VALUE"""),2136.0)</f>
        <v>2136</v>
      </c>
      <c r="H105" s="149">
        <f>IFERROR(__xludf.DUMMYFUNCTION("""COMPUTED_VALUE"""),211701.0)</f>
        <v>211701</v>
      </c>
      <c r="I105" s="188">
        <f>IFERROR(__xludf.DUMMYFUNCTION("""COMPUTED_VALUE"""),33.0)</f>
        <v>33</v>
      </c>
      <c r="J105" s="188">
        <f>IFERROR(__xludf.DUMMYFUNCTION("""COMPUTED_VALUE"""),55.0)</f>
        <v>55</v>
      </c>
      <c r="K105" s="188">
        <f>IFERROR(__xludf.DUMMYFUNCTION("""COMPUTED_VALUE"""),16189.0)</f>
        <v>16189</v>
      </c>
      <c r="L105" s="188">
        <f>IFERROR(__xludf.DUMMYFUNCTION("""COMPUTED_VALUE"""),969.0)</f>
        <v>969</v>
      </c>
      <c r="M105" s="188">
        <f>IFERROR(__xludf.DUMMYFUNCTION("""COMPUTED_VALUE"""),119352.0)</f>
        <v>119352</v>
      </c>
      <c r="N105" s="188">
        <f>IFERROR(__xludf.DUMMYFUNCTION("""COMPUTED_VALUE"""),135541.0)</f>
        <v>135541</v>
      </c>
      <c r="O105" s="188">
        <f>IFERROR(__xludf.DUMMYFUNCTION("""COMPUTED_VALUE"""),7.0)</f>
        <v>7</v>
      </c>
      <c r="P105" s="188">
        <f>IFERROR(__xludf.DUMMYFUNCTION("""COMPUTED_VALUE"""),1916.0)</f>
        <v>1916</v>
      </c>
      <c r="Q105" s="188">
        <f>IFERROR(__xludf.DUMMYFUNCTION("""COMPUTED_VALUE"""),8.0)</f>
        <v>8</v>
      </c>
      <c r="R105" s="188">
        <f>IFERROR(__xludf.DUMMYFUNCTION("""COMPUTED_VALUE"""),1500.0)</f>
        <v>1500</v>
      </c>
      <c r="S105" s="188">
        <f>IFERROR(__xludf.DUMMYFUNCTION("""COMPUTED_VALUE"""),1.0)</f>
        <v>1</v>
      </c>
      <c r="T105" s="188">
        <f>IFERROR(__xludf.DUMMYFUNCTION("""COMPUTED_VALUE"""),285.0)</f>
        <v>285</v>
      </c>
      <c r="U105" s="188">
        <f>IFERROR(__xludf.DUMMYFUNCTION("""COMPUTED_VALUE"""),131.0)</f>
        <v>131</v>
      </c>
      <c r="V105" s="188">
        <f>IFERROR(__xludf.DUMMYFUNCTION("""COMPUTED_VALUE"""),132.0)</f>
        <v>132</v>
      </c>
      <c r="W105" s="188">
        <f>IFERROR(__xludf.DUMMYFUNCTION("""COMPUTED_VALUE"""),20.0)</f>
        <v>20</v>
      </c>
      <c r="X105" s="188">
        <f>IFERROR(__xludf.DUMMYFUNCTION("""COMPUTED_VALUE"""),14.0)</f>
        <v>14</v>
      </c>
      <c r="Y105" s="188">
        <f>IFERROR(__xludf.DUMMYFUNCTION("""COMPUTED_VALUE"""),3.0)</f>
        <v>3</v>
      </c>
      <c r="Z105" s="188">
        <f>IFERROR(__xludf.DUMMYFUNCTION("""COMPUTED_VALUE"""),905.0)</f>
        <v>905</v>
      </c>
    </row>
    <row r="106">
      <c r="A106" s="187">
        <f>IFERROR(__xludf.DUMMYFUNCTION("""COMPUTED_VALUE"""),43997.0)</f>
        <v>43997</v>
      </c>
      <c r="B106" s="188">
        <f>IFERROR(__xludf.DUMMYFUNCTION("""COMPUTED_VALUE"""),189.0)</f>
        <v>189</v>
      </c>
      <c r="C106" s="188">
        <f>IFERROR(__xludf.DUMMYFUNCTION("""COMPUTED_VALUE"""),129.0)</f>
        <v>129</v>
      </c>
      <c r="D106" s="188">
        <f>IFERROR(__xludf.DUMMYFUNCTION("""COMPUTED_VALUE"""),23190.0)</f>
        <v>23190</v>
      </c>
      <c r="E106" s="188">
        <f>IFERROR(__xludf.DUMMYFUNCTION("""COMPUTED_VALUE"""),3117.0)</f>
        <v>3117</v>
      </c>
      <c r="F106" s="149">
        <f>IFERROR(__xludf.DUMMYFUNCTION("""COMPUTED_VALUE"""),191817.0)</f>
        <v>191817</v>
      </c>
      <c r="G106" s="149">
        <f>IFERROR(__xludf.DUMMYFUNCTION("""COMPUTED_VALUE"""),3306.0)</f>
        <v>3306</v>
      </c>
      <c r="H106" s="149">
        <f>IFERROR(__xludf.DUMMYFUNCTION("""COMPUTED_VALUE"""),215007.0)</f>
        <v>215007</v>
      </c>
      <c r="I106" s="188">
        <f>IFERROR(__xludf.DUMMYFUNCTION("""COMPUTED_VALUE"""),78.0)</f>
        <v>78</v>
      </c>
      <c r="J106" s="188">
        <f>IFERROR(__xludf.DUMMYFUNCTION("""COMPUTED_VALUE"""),54.0)</f>
        <v>54</v>
      </c>
      <c r="K106" s="188">
        <f>IFERROR(__xludf.DUMMYFUNCTION("""COMPUTED_VALUE"""),16267.0)</f>
        <v>16267</v>
      </c>
      <c r="L106" s="188">
        <f>IFERROR(__xludf.DUMMYFUNCTION("""COMPUTED_VALUE"""),1793.0)</f>
        <v>1793</v>
      </c>
      <c r="M106" s="188">
        <f>IFERROR(__xludf.DUMMYFUNCTION("""COMPUTED_VALUE"""),121145.0)</f>
        <v>121145</v>
      </c>
      <c r="N106" s="188">
        <f>IFERROR(__xludf.DUMMYFUNCTION("""COMPUTED_VALUE"""),137412.0)</f>
        <v>137412</v>
      </c>
      <c r="O106" s="188">
        <f>IFERROR(__xludf.DUMMYFUNCTION("""COMPUTED_VALUE"""),14.0)</f>
        <v>14</v>
      </c>
      <c r="P106" s="188">
        <f>IFERROR(__xludf.DUMMYFUNCTION("""COMPUTED_VALUE"""),1930.0)</f>
        <v>1930</v>
      </c>
      <c r="Q106" s="188">
        <f>IFERROR(__xludf.DUMMYFUNCTION("""COMPUTED_VALUE"""),14.0)</f>
        <v>14</v>
      </c>
      <c r="R106" s="188">
        <f>IFERROR(__xludf.DUMMYFUNCTION("""COMPUTED_VALUE"""),1514.0)</f>
        <v>1514</v>
      </c>
      <c r="S106" s="188">
        <f>IFERROR(__xludf.DUMMYFUNCTION("""COMPUTED_VALUE"""),0.0)</f>
        <v>0</v>
      </c>
      <c r="T106" s="188">
        <f>IFERROR(__xludf.DUMMYFUNCTION("""COMPUTED_VALUE"""),285.0)</f>
        <v>285</v>
      </c>
      <c r="U106" s="188">
        <f>IFERROR(__xludf.DUMMYFUNCTION("""COMPUTED_VALUE"""),131.0)</f>
        <v>131</v>
      </c>
      <c r="V106" s="188">
        <f>IFERROR(__xludf.DUMMYFUNCTION("""COMPUTED_VALUE"""),132.0)</f>
        <v>132</v>
      </c>
      <c r="W106" s="188">
        <f>IFERROR(__xludf.DUMMYFUNCTION("""COMPUTED_VALUE"""),20.0)</f>
        <v>20</v>
      </c>
      <c r="X106" s="188">
        <f>IFERROR(__xludf.DUMMYFUNCTION("""COMPUTED_VALUE"""),16.0)</f>
        <v>16</v>
      </c>
      <c r="Y106" s="188">
        <f>IFERROR(__xludf.DUMMYFUNCTION("""COMPUTED_VALUE"""),5.0)</f>
        <v>5</v>
      </c>
      <c r="Z106" s="188">
        <f>IFERROR(__xludf.DUMMYFUNCTION("""COMPUTED_VALUE"""),910.0)</f>
        <v>910</v>
      </c>
    </row>
    <row r="107">
      <c r="A107" s="187">
        <f>IFERROR(__xludf.DUMMYFUNCTION("""COMPUTED_VALUE"""),43998.0)</f>
        <v>43998</v>
      </c>
      <c r="B107" s="188">
        <f>IFERROR(__xludf.DUMMYFUNCTION("""COMPUTED_VALUE"""),112.0)</f>
        <v>112</v>
      </c>
      <c r="C107" s="188">
        <f>IFERROR(__xludf.DUMMYFUNCTION("""COMPUTED_VALUE"""),128.0)</f>
        <v>128</v>
      </c>
      <c r="D107" s="188">
        <f>IFERROR(__xludf.DUMMYFUNCTION("""COMPUTED_VALUE"""),23302.0)</f>
        <v>23302</v>
      </c>
      <c r="E107" s="188">
        <f>IFERROR(__xludf.DUMMYFUNCTION("""COMPUTED_VALUE"""),3041.0)</f>
        <v>3041</v>
      </c>
      <c r="F107" s="149">
        <f>IFERROR(__xludf.DUMMYFUNCTION("""COMPUTED_VALUE"""),194858.0)</f>
        <v>194858</v>
      </c>
      <c r="G107" s="149">
        <f>IFERROR(__xludf.DUMMYFUNCTION("""COMPUTED_VALUE"""),3153.0)</f>
        <v>3153</v>
      </c>
      <c r="H107" s="149">
        <f>IFERROR(__xludf.DUMMYFUNCTION("""COMPUTED_VALUE"""),218160.0)</f>
        <v>218160</v>
      </c>
      <c r="I107" s="188">
        <f>IFERROR(__xludf.DUMMYFUNCTION("""COMPUTED_VALUE"""),52.0)</f>
        <v>52</v>
      </c>
      <c r="J107" s="188">
        <f>IFERROR(__xludf.DUMMYFUNCTION("""COMPUTED_VALUE"""),54.0)</f>
        <v>54</v>
      </c>
      <c r="K107" s="188">
        <f>IFERROR(__xludf.DUMMYFUNCTION("""COMPUTED_VALUE"""),16319.0)</f>
        <v>16319</v>
      </c>
      <c r="L107" s="188">
        <f>IFERROR(__xludf.DUMMYFUNCTION("""COMPUTED_VALUE"""),1579.0)</f>
        <v>1579</v>
      </c>
      <c r="M107" s="188">
        <f>IFERROR(__xludf.DUMMYFUNCTION("""COMPUTED_VALUE"""),122724.0)</f>
        <v>122724</v>
      </c>
      <c r="N107" s="188">
        <f>IFERROR(__xludf.DUMMYFUNCTION("""COMPUTED_VALUE"""),139043.0)</f>
        <v>139043</v>
      </c>
      <c r="O107" s="188">
        <f>IFERROR(__xludf.DUMMYFUNCTION("""COMPUTED_VALUE"""),10.0)</f>
        <v>10</v>
      </c>
      <c r="P107" s="188">
        <f>IFERROR(__xludf.DUMMYFUNCTION("""COMPUTED_VALUE"""),1940.0)</f>
        <v>1940</v>
      </c>
      <c r="Q107" s="188">
        <f>IFERROR(__xludf.DUMMYFUNCTION("""COMPUTED_VALUE"""),9.0)</f>
        <v>9</v>
      </c>
      <c r="R107" s="188">
        <f>IFERROR(__xludf.DUMMYFUNCTION("""COMPUTED_VALUE"""),1523.0)</f>
        <v>1523</v>
      </c>
      <c r="S107" s="188">
        <f>IFERROR(__xludf.DUMMYFUNCTION("""COMPUTED_VALUE"""),1.0)</f>
        <v>1</v>
      </c>
      <c r="T107" s="188">
        <f>IFERROR(__xludf.DUMMYFUNCTION("""COMPUTED_VALUE"""),286.0)</f>
        <v>286</v>
      </c>
      <c r="U107" s="188">
        <f>IFERROR(__xludf.DUMMYFUNCTION("""COMPUTED_VALUE"""),131.0)</f>
        <v>131</v>
      </c>
      <c r="V107" s="188">
        <f>IFERROR(__xludf.DUMMYFUNCTION("""COMPUTED_VALUE"""),131.0)</f>
        <v>131</v>
      </c>
      <c r="W107" s="188">
        <f>IFERROR(__xludf.DUMMYFUNCTION("""COMPUTED_VALUE"""),22.0)</f>
        <v>22</v>
      </c>
      <c r="X107" s="188">
        <f>IFERROR(__xludf.DUMMYFUNCTION("""COMPUTED_VALUE"""),16.0)</f>
        <v>16</v>
      </c>
      <c r="Y107" s="188">
        <f>IFERROR(__xludf.DUMMYFUNCTION("""COMPUTED_VALUE"""),8.0)</f>
        <v>8</v>
      </c>
      <c r="Z107" s="188">
        <f>IFERROR(__xludf.DUMMYFUNCTION("""COMPUTED_VALUE"""),918.0)</f>
        <v>918</v>
      </c>
    </row>
    <row r="108">
      <c r="A108" s="187">
        <f>IFERROR(__xludf.DUMMYFUNCTION("""COMPUTED_VALUE"""),43999.0)</f>
        <v>43999</v>
      </c>
      <c r="B108" s="188">
        <f>IFERROR(__xludf.DUMMYFUNCTION("""COMPUTED_VALUE"""),128.0)</f>
        <v>128</v>
      </c>
      <c r="C108" s="188">
        <f>IFERROR(__xludf.DUMMYFUNCTION("""COMPUTED_VALUE"""),143.0)</f>
        <v>143</v>
      </c>
      <c r="D108" s="188">
        <f>IFERROR(__xludf.DUMMYFUNCTION("""COMPUTED_VALUE"""),23430.0)</f>
        <v>23430</v>
      </c>
      <c r="E108" s="188">
        <f>IFERROR(__xludf.DUMMYFUNCTION("""COMPUTED_VALUE"""),2848.0)</f>
        <v>2848</v>
      </c>
      <c r="F108" s="149">
        <f>IFERROR(__xludf.DUMMYFUNCTION("""COMPUTED_VALUE"""),197706.0)</f>
        <v>197706</v>
      </c>
      <c r="G108" s="149">
        <f>IFERROR(__xludf.DUMMYFUNCTION("""COMPUTED_VALUE"""),2976.0)</f>
        <v>2976</v>
      </c>
      <c r="H108" s="149">
        <f>IFERROR(__xludf.DUMMYFUNCTION("""COMPUTED_VALUE"""),221136.0)</f>
        <v>221136</v>
      </c>
      <c r="I108" s="188">
        <f>IFERROR(__xludf.DUMMYFUNCTION("""COMPUTED_VALUE"""),53.0)</f>
        <v>53</v>
      </c>
      <c r="J108" s="188">
        <f>IFERROR(__xludf.DUMMYFUNCTION("""COMPUTED_VALUE"""),61.0)</f>
        <v>61</v>
      </c>
      <c r="K108" s="188">
        <f>IFERROR(__xludf.DUMMYFUNCTION("""COMPUTED_VALUE"""),16372.0)</f>
        <v>16372</v>
      </c>
      <c r="L108" s="188">
        <f>IFERROR(__xludf.DUMMYFUNCTION("""COMPUTED_VALUE"""),1320.0)</f>
        <v>1320</v>
      </c>
      <c r="M108" s="188">
        <f>IFERROR(__xludf.DUMMYFUNCTION("""COMPUTED_VALUE"""),124044.0)</f>
        <v>124044</v>
      </c>
      <c r="N108" s="188">
        <f>IFERROR(__xludf.DUMMYFUNCTION("""COMPUTED_VALUE"""),140416.0)</f>
        <v>140416</v>
      </c>
      <c r="O108" s="188">
        <f>IFERROR(__xludf.DUMMYFUNCTION("""COMPUTED_VALUE"""),15.0)</f>
        <v>15</v>
      </c>
      <c r="P108" s="188">
        <f>IFERROR(__xludf.DUMMYFUNCTION("""COMPUTED_VALUE"""),1955.0)</f>
        <v>1955</v>
      </c>
      <c r="Q108" s="188">
        <f>IFERROR(__xludf.DUMMYFUNCTION("""COMPUTED_VALUE"""),20.0)</f>
        <v>20</v>
      </c>
      <c r="R108" s="188">
        <f>IFERROR(__xludf.DUMMYFUNCTION("""COMPUTED_VALUE"""),1543.0)</f>
        <v>1543</v>
      </c>
      <c r="S108" s="188">
        <f>IFERROR(__xludf.DUMMYFUNCTION("""COMPUTED_VALUE"""),4.0)</f>
        <v>4</v>
      </c>
      <c r="T108" s="188">
        <f>IFERROR(__xludf.DUMMYFUNCTION("""COMPUTED_VALUE"""),290.0)</f>
        <v>290</v>
      </c>
      <c r="U108" s="188">
        <f>IFERROR(__xludf.DUMMYFUNCTION("""COMPUTED_VALUE"""),122.0)</f>
        <v>122</v>
      </c>
      <c r="V108" s="188">
        <f>IFERROR(__xludf.DUMMYFUNCTION("""COMPUTED_VALUE"""),128.0)</f>
        <v>128</v>
      </c>
      <c r="W108" s="188">
        <f>IFERROR(__xludf.DUMMYFUNCTION("""COMPUTED_VALUE"""),18.0)</f>
        <v>18</v>
      </c>
      <c r="X108" s="188">
        <f>IFERROR(__xludf.DUMMYFUNCTION("""COMPUTED_VALUE"""),14.0)</f>
        <v>14</v>
      </c>
      <c r="Y108" s="188">
        <f>IFERROR(__xludf.DUMMYFUNCTION("""COMPUTED_VALUE"""),6.0)</f>
        <v>6</v>
      </c>
      <c r="Z108" s="188">
        <f>IFERROR(__xludf.DUMMYFUNCTION("""COMPUTED_VALUE"""),924.0)</f>
        <v>924</v>
      </c>
    </row>
    <row r="109">
      <c r="A109" s="187">
        <f>IFERROR(__xludf.DUMMYFUNCTION("""COMPUTED_VALUE"""),44000.0)</f>
        <v>44000</v>
      </c>
      <c r="B109" s="188">
        <f>IFERROR(__xludf.DUMMYFUNCTION("""COMPUTED_VALUE"""),149.0)</f>
        <v>149</v>
      </c>
      <c r="C109" s="188">
        <f>IFERROR(__xludf.DUMMYFUNCTION("""COMPUTED_VALUE"""),130.0)</f>
        <v>130</v>
      </c>
      <c r="D109" s="188">
        <f>IFERROR(__xludf.DUMMYFUNCTION("""COMPUTED_VALUE"""),23579.0)</f>
        <v>23579</v>
      </c>
      <c r="E109" s="188">
        <f>IFERROR(__xludf.DUMMYFUNCTION("""COMPUTED_VALUE"""),3059.0)</f>
        <v>3059</v>
      </c>
      <c r="F109" s="149">
        <f>IFERROR(__xludf.DUMMYFUNCTION("""COMPUTED_VALUE"""),200765.0)</f>
        <v>200765</v>
      </c>
      <c r="G109" s="149">
        <f>IFERROR(__xludf.DUMMYFUNCTION("""COMPUTED_VALUE"""),3208.0)</f>
        <v>3208</v>
      </c>
      <c r="H109" s="149">
        <f>IFERROR(__xludf.DUMMYFUNCTION("""COMPUTED_VALUE"""),224344.0)</f>
        <v>224344</v>
      </c>
      <c r="I109" s="188">
        <f>IFERROR(__xludf.DUMMYFUNCTION("""COMPUTED_VALUE"""),70.0)</f>
        <v>70</v>
      </c>
      <c r="J109" s="188">
        <f>IFERROR(__xludf.DUMMYFUNCTION("""COMPUTED_VALUE"""),58.0)</f>
        <v>58</v>
      </c>
      <c r="K109" s="188">
        <f>IFERROR(__xludf.DUMMYFUNCTION("""COMPUTED_VALUE"""),16442.0)</f>
        <v>16442</v>
      </c>
      <c r="L109" s="188">
        <f>IFERROR(__xludf.DUMMYFUNCTION("""COMPUTED_VALUE"""),1319.0)</f>
        <v>1319</v>
      </c>
      <c r="M109" s="188">
        <f>IFERROR(__xludf.DUMMYFUNCTION("""COMPUTED_VALUE"""),125363.0)</f>
        <v>125363</v>
      </c>
      <c r="N109" s="188">
        <f>IFERROR(__xludf.DUMMYFUNCTION("""COMPUTED_VALUE"""),141805.0)</f>
        <v>141805</v>
      </c>
      <c r="O109" s="188">
        <f>IFERROR(__xludf.DUMMYFUNCTION("""COMPUTED_VALUE"""),9.0)</f>
        <v>9</v>
      </c>
      <c r="P109" s="188">
        <f>IFERROR(__xludf.DUMMYFUNCTION("""COMPUTED_VALUE"""),1964.0)</f>
        <v>1964</v>
      </c>
      <c r="Q109" s="188">
        <f>IFERROR(__xludf.DUMMYFUNCTION("""COMPUTED_VALUE"""),13.0)</f>
        <v>13</v>
      </c>
      <c r="R109" s="188">
        <f>IFERROR(__xludf.DUMMYFUNCTION("""COMPUTED_VALUE"""),1556.0)</f>
        <v>1556</v>
      </c>
      <c r="S109" s="188">
        <f>IFERROR(__xludf.DUMMYFUNCTION("""COMPUTED_VALUE"""),1.0)</f>
        <v>1</v>
      </c>
      <c r="T109" s="188">
        <f>IFERROR(__xludf.DUMMYFUNCTION("""COMPUTED_VALUE"""),291.0)</f>
        <v>291</v>
      </c>
      <c r="U109" s="188">
        <f>IFERROR(__xludf.DUMMYFUNCTION("""COMPUTED_VALUE"""),117.0)</f>
        <v>117</v>
      </c>
      <c r="V109" s="188">
        <f>IFERROR(__xludf.DUMMYFUNCTION("""COMPUTED_VALUE"""),123.0)</f>
        <v>123</v>
      </c>
      <c r="W109" s="188">
        <f>IFERROR(__xludf.DUMMYFUNCTION("""COMPUTED_VALUE"""),19.0)</f>
        <v>19</v>
      </c>
      <c r="X109" s="188">
        <f>IFERROR(__xludf.DUMMYFUNCTION("""COMPUTED_VALUE"""),16.0)</f>
        <v>16</v>
      </c>
      <c r="Y109" s="188">
        <f>IFERROR(__xludf.DUMMYFUNCTION("""COMPUTED_VALUE"""),7.0)</f>
        <v>7</v>
      </c>
      <c r="Z109" s="188">
        <f>IFERROR(__xludf.DUMMYFUNCTION("""COMPUTED_VALUE"""),931.0)</f>
        <v>931</v>
      </c>
    </row>
    <row r="110">
      <c r="A110" s="187">
        <f>IFERROR(__xludf.DUMMYFUNCTION("""COMPUTED_VALUE"""),44001.0)</f>
        <v>44001</v>
      </c>
      <c r="B110" s="188">
        <f>IFERROR(__xludf.DUMMYFUNCTION("""COMPUTED_VALUE"""),142.0)</f>
        <v>142</v>
      </c>
      <c r="C110" s="188">
        <f>IFERROR(__xludf.DUMMYFUNCTION("""COMPUTED_VALUE"""),140.0)</f>
        <v>140</v>
      </c>
      <c r="D110" s="188">
        <f>IFERROR(__xludf.DUMMYFUNCTION("""COMPUTED_VALUE"""),23721.0)</f>
        <v>23721</v>
      </c>
      <c r="E110" s="188">
        <f>IFERROR(__xludf.DUMMYFUNCTION("""COMPUTED_VALUE"""),3776.0)</f>
        <v>3776</v>
      </c>
      <c r="F110" s="149">
        <f>IFERROR(__xludf.DUMMYFUNCTION("""COMPUTED_VALUE"""),204541.0)</f>
        <v>204541</v>
      </c>
      <c r="G110" s="149">
        <f>IFERROR(__xludf.DUMMYFUNCTION("""COMPUTED_VALUE"""),3918.0)</f>
        <v>3918</v>
      </c>
      <c r="H110" s="149">
        <f>IFERROR(__xludf.DUMMYFUNCTION("""COMPUTED_VALUE"""),228262.0)</f>
        <v>228262</v>
      </c>
      <c r="I110" s="188">
        <f>IFERROR(__xludf.DUMMYFUNCTION("""COMPUTED_VALUE"""),59.0)</f>
        <v>59</v>
      </c>
      <c r="J110" s="188">
        <f>IFERROR(__xludf.DUMMYFUNCTION("""COMPUTED_VALUE"""),61.0)</f>
        <v>61</v>
      </c>
      <c r="K110" s="188">
        <f>IFERROR(__xludf.DUMMYFUNCTION("""COMPUTED_VALUE"""),16501.0)</f>
        <v>16501</v>
      </c>
      <c r="L110" s="188">
        <f>IFERROR(__xludf.DUMMYFUNCTION("""COMPUTED_VALUE"""),1372.0)</f>
        <v>1372</v>
      </c>
      <c r="M110" s="188">
        <f>IFERROR(__xludf.DUMMYFUNCTION("""COMPUTED_VALUE"""),126735.0)</f>
        <v>126735</v>
      </c>
      <c r="N110" s="188">
        <f>IFERROR(__xludf.DUMMYFUNCTION("""COMPUTED_VALUE"""),143236.0)</f>
        <v>143236</v>
      </c>
      <c r="O110" s="188">
        <f>IFERROR(__xludf.DUMMYFUNCTION("""COMPUTED_VALUE"""),12.0)</f>
        <v>12</v>
      </c>
      <c r="P110" s="188">
        <f>IFERROR(__xludf.DUMMYFUNCTION("""COMPUTED_VALUE"""),1976.0)</f>
        <v>1976</v>
      </c>
      <c r="Q110" s="188">
        <f>IFERROR(__xludf.DUMMYFUNCTION("""COMPUTED_VALUE"""),11.0)</f>
        <v>11</v>
      </c>
      <c r="R110" s="188">
        <f>IFERROR(__xludf.DUMMYFUNCTION("""COMPUTED_VALUE"""),1567.0)</f>
        <v>1567</v>
      </c>
      <c r="S110" s="188">
        <f>IFERROR(__xludf.DUMMYFUNCTION("""COMPUTED_VALUE"""),1.0)</f>
        <v>1</v>
      </c>
      <c r="T110" s="188">
        <f>IFERROR(__xludf.DUMMYFUNCTION("""COMPUTED_VALUE"""),292.0)</f>
        <v>292</v>
      </c>
      <c r="U110" s="188">
        <f>IFERROR(__xludf.DUMMYFUNCTION("""COMPUTED_VALUE"""),117.0)</f>
        <v>117</v>
      </c>
      <c r="V110" s="188">
        <f>IFERROR(__xludf.DUMMYFUNCTION("""COMPUTED_VALUE"""),119.0)</f>
        <v>119</v>
      </c>
      <c r="W110" s="188">
        <f>IFERROR(__xludf.DUMMYFUNCTION("""COMPUTED_VALUE"""),20.0)</f>
        <v>20</v>
      </c>
      <c r="X110" s="188">
        <f>IFERROR(__xludf.DUMMYFUNCTION("""COMPUTED_VALUE"""),17.0)</f>
        <v>17</v>
      </c>
      <c r="Y110" s="188">
        <f>IFERROR(__xludf.DUMMYFUNCTION("""COMPUTED_VALUE"""),3.0)</f>
        <v>3</v>
      </c>
      <c r="Z110" s="188">
        <f>IFERROR(__xludf.DUMMYFUNCTION("""COMPUTED_VALUE"""),934.0)</f>
        <v>934</v>
      </c>
    </row>
    <row r="111">
      <c r="A111" s="187">
        <f>IFERROR(__xludf.DUMMYFUNCTION("""COMPUTED_VALUE"""),44002.0)</f>
        <v>44002</v>
      </c>
      <c r="B111" s="188">
        <f>IFERROR(__xludf.DUMMYFUNCTION("""COMPUTED_VALUE"""),84.0)</f>
        <v>84</v>
      </c>
      <c r="C111" s="188">
        <f>IFERROR(__xludf.DUMMYFUNCTION("""COMPUTED_VALUE"""),125.0)</f>
        <v>125</v>
      </c>
      <c r="D111" s="188">
        <f>IFERROR(__xludf.DUMMYFUNCTION("""COMPUTED_VALUE"""),23805.0)</f>
        <v>23805</v>
      </c>
      <c r="E111" s="188">
        <f>IFERROR(__xludf.DUMMYFUNCTION("""COMPUTED_VALUE"""),1898.0)</f>
        <v>1898</v>
      </c>
      <c r="F111" s="149">
        <f>IFERROR(__xludf.DUMMYFUNCTION("""COMPUTED_VALUE"""),206439.0)</f>
        <v>206439</v>
      </c>
      <c r="G111" s="149">
        <f>IFERROR(__xludf.DUMMYFUNCTION("""COMPUTED_VALUE"""),1982.0)</f>
        <v>1982</v>
      </c>
      <c r="H111" s="149">
        <f>IFERROR(__xludf.DUMMYFUNCTION("""COMPUTED_VALUE"""),230244.0)</f>
        <v>230244</v>
      </c>
      <c r="I111" s="188">
        <f>IFERROR(__xludf.DUMMYFUNCTION("""COMPUTED_VALUE"""),36.0)</f>
        <v>36</v>
      </c>
      <c r="J111" s="188">
        <f>IFERROR(__xludf.DUMMYFUNCTION("""COMPUTED_VALUE"""),55.0)</f>
        <v>55</v>
      </c>
      <c r="K111" s="188">
        <f>IFERROR(__xludf.DUMMYFUNCTION("""COMPUTED_VALUE"""),16537.0)</f>
        <v>16537</v>
      </c>
      <c r="L111" s="188">
        <f>IFERROR(__xludf.DUMMYFUNCTION("""COMPUTED_VALUE"""),814.0)</f>
        <v>814</v>
      </c>
      <c r="M111" s="188">
        <f>IFERROR(__xludf.DUMMYFUNCTION("""COMPUTED_VALUE"""),127549.0)</f>
        <v>127549</v>
      </c>
      <c r="N111" s="188">
        <f>IFERROR(__xludf.DUMMYFUNCTION("""COMPUTED_VALUE"""),144086.0)</f>
        <v>144086</v>
      </c>
      <c r="O111" s="188">
        <f>IFERROR(__xludf.DUMMYFUNCTION("""COMPUTED_VALUE"""),9.0)</f>
        <v>9</v>
      </c>
      <c r="P111" s="188">
        <f>IFERROR(__xludf.DUMMYFUNCTION("""COMPUTED_VALUE"""),1985.0)</f>
        <v>1985</v>
      </c>
      <c r="Q111" s="188">
        <f>IFERROR(__xludf.DUMMYFUNCTION("""COMPUTED_VALUE"""),12.0)</f>
        <v>12</v>
      </c>
      <c r="R111" s="188">
        <f>IFERROR(__xludf.DUMMYFUNCTION("""COMPUTED_VALUE"""),1579.0)</f>
        <v>1579</v>
      </c>
      <c r="S111" s="188">
        <f>IFERROR(__xludf.DUMMYFUNCTION("""COMPUTED_VALUE"""),0.0)</f>
        <v>0</v>
      </c>
      <c r="T111" s="188">
        <f>IFERROR(__xludf.DUMMYFUNCTION("""COMPUTED_VALUE"""),292.0)</f>
        <v>292</v>
      </c>
      <c r="U111" s="188">
        <f>IFERROR(__xludf.DUMMYFUNCTION("""COMPUTED_VALUE"""),114.0)</f>
        <v>114</v>
      </c>
      <c r="V111" s="188">
        <f>IFERROR(__xludf.DUMMYFUNCTION("""COMPUTED_VALUE"""),116.0)</f>
        <v>116</v>
      </c>
      <c r="W111" s="188">
        <f>IFERROR(__xludf.DUMMYFUNCTION("""COMPUTED_VALUE"""),20.0)</f>
        <v>20</v>
      </c>
      <c r="X111" s="188">
        <f>IFERROR(__xludf.DUMMYFUNCTION("""COMPUTED_VALUE"""),18.0)</f>
        <v>18</v>
      </c>
      <c r="Y111" s="188">
        <f>IFERROR(__xludf.DUMMYFUNCTION("""COMPUTED_VALUE"""),4.0)</f>
        <v>4</v>
      </c>
      <c r="Z111" s="188">
        <f>IFERROR(__xludf.DUMMYFUNCTION("""COMPUTED_VALUE"""),938.0)</f>
        <v>938</v>
      </c>
    </row>
    <row r="112">
      <c r="A112" s="187">
        <f>IFERROR(__xludf.DUMMYFUNCTION("""COMPUTED_VALUE"""),44003.0)</f>
        <v>44003</v>
      </c>
      <c r="B112" s="188">
        <f>IFERROR(__xludf.DUMMYFUNCTION("""COMPUTED_VALUE"""),37.0)</f>
        <v>37</v>
      </c>
      <c r="C112" s="188">
        <f>IFERROR(__xludf.DUMMYFUNCTION("""COMPUTED_VALUE"""),88.0)</f>
        <v>88</v>
      </c>
      <c r="D112" s="188">
        <f>IFERROR(__xludf.DUMMYFUNCTION("""COMPUTED_VALUE"""),23842.0)</f>
        <v>23842</v>
      </c>
      <c r="E112" s="188">
        <f>IFERROR(__xludf.DUMMYFUNCTION("""COMPUTED_VALUE"""),1071.0)</f>
        <v>1071</v>
      </c>
      <c r="F112" s="149">
        <f>IFERROR(__xludf.DUMMYFUNCTION("""COMPUTED_VALUE"""),207510.0)</f>
        <v>207510</v>
      </c>
      <c r="G112" s="149">
        <f>IFERROR(__xludf.DUMMYFUNCTION("""COMPUTED_VALUE"""),1108.0)</f>
        <v>1108</v>
      </c>
      <c r="H112" s="149">
        <f>IFERROR(__xludf.DUMMYFUNCTION("""COMPUTED_VALUE"""),231352.0)</f>
        <v>231352</v>
      </c>
      <c r="I112" s="188">
        <f>IFERROR(__xludf.DUMMYFUNCTION("""COMPUTED_VALUE"""),28.0)</f>
        <v>28</v>
      </c>
      <c r="J112" s="188">
        <f>IFERROR(__xludf.DUMMYFUNCTION("""COMPUTED_VALUE"""),41.0)</f>
        <v>41</v>
      </c>
      <c r="K112" s="188">
        <f>IFERROR(__xludf.DUMMYFUNCTION("""COMPUTED_VALUE"""),16565.0)</f>
        <v>16565</v>
      </c>
      <c r="L112" s="188">
        <f>IFERROR(__xludf.DUMMYFUNCTION("""COMPUTED_VALUE"""),692.0)</f>
        <v>692</v>
      </c>
      <c r="M112" s="188">
        <f>IFERROR(__xludf.DUMMYFUNCTION("""COMPUTED_VALUE"""),128241.0)</f>
        <v>128241</v>
      </c>
      <c r="N112" s="188">
        <f>IFERROR(__xludf.DUMMYFUNCTION("""COMPUTED_VALUE"""),144806.0)</f>
        <v>144806</v>
      </c>
      <c r="O112" s="188">
        <f>IFERROR(__xludf.DUMMYFUNCTION("""COMPUTED_VALUE"""),8.0)</f>
        <v>8</v>
      </c>
      <c r="P112" s="188">
        <f>IFERROR(__xludf.DUMMYFUNCTION("""COMPUTED_VALUE"""),1993.0)</f>
        <v>1993</v>
      </c>
      <c r="Q112" s="188">
        <f>IFERROR(__xludf.DUMMYFUNCTION("""COMPUTED_VALUE"""),5.0)</f>
        <v>5</v>
      </c>
      <c r="R112" s="188">
        <f>IFERROR(__xludf.DUMMYFUNCTION("""COMPUTED_VALUE"""),1584.0)</f>
        <v>1584</v>
      </c>
      <c r="S112" s="188">
        <f>IFERROR(__xludf.DUMMYFUNCTION("""COMPUTED_VALUE"""),0.0)</f>
        <v>0</v>
      </c>
      <c r="T112" s="188">
        <f>IFERROR(__xludf.DUMMYFUNCTION("""COMPUTED_VALUE"""),292.0)</f>
        <v>292</v>
      </c>
      <c r="U112" s="188">
        <f>IFERROR(__xludf.DUMMYFUNCTION("""COMPUTED_VALUE"""),117.0)</f>
        <v>117</v>
      </c>
      <c r="V112" s="188">
        <f>IFERROR(__xludf.DUMMYFUNCTION("""COMPUTED_VALUE"""),116.0)</f>
        <v>116</v>
      </c>
      <c r="W112" s="188">
        <f>IFERROR(__xludf.DUMMYFUNCTION("""COMPUTED_VALUE"""),20.0)</f>
        <v>20</v>
      </c>
      <c r="X112" s="188">
        <f>IFERROR(__xludf.DUMMYFUNCTION("""COMPUTED_VALUE"""),18.0)</f>
        <v>18</v>
      </c>
      <c r="Y112" s="188">
        <f>IFERROR(__xludf.DUMMYFUNCTION("""COMPUTED_VALUE"""),2.0)</f>
        <v>2</v>
      </c>
      <c r="Z112" s="188">
        <f>IFERROR(__xludf.DUMMYFUNCTION("""COMPUTED_VALUE"""),940.0)</f>
        <v>940</v>
      </c>
    </row>
    <row r="113">
      <c r="A113" s="187">
        <f>IFERROR(__xludf.DUMMYFUNCTION("""COMPUTED_VALUE"""),44004.0)</f>
        <v>44004</v>
      </c>
      <c r="B113" s="188">
        <f>IFERROR(__xludf.DUMMYFUNCTION("""COMPUTED_VALUE"""),138.0)</f>
        <v>138</v>
      </c>
      <c r="C113" s="188">
        <f>IFERROR(__xludf.DUMMYFUNCTION("""COMPUTED_VALUE"""),86.0)</f>
        <v>86</v>
      </c>
      <c r="D113" s="188">
        <f>IFERROR(__xludf.DUMMYFUNCTION("""COMPUTED_VALUE"""),23980.0)</f>
        <v>23980</v>
      </c>
      <c r="E113" s="188">
        <f>IFERROR(__xludf.DUMMYFUNCTION("""COMPUTED_VALUE"""),3739.0)</f>
        <v>3739</v>
      </c>
      <c r="F113" s="149">
        <f>IFERROR(__xludf.DUMMYFUNCTION("""COMPUTED_VALUE"""),211249.0)</f>
        <v>211249</v>
      </c>
      <c r="G113" s="149">
        <f>IFERROR(__xludf.DUMMYFUNCTION("""COMPUTED_VALUE"""),3877.0)</f>
        <v>3877</v>
      </c>
      <c r="H113" s="149">
        <f>IFERROR(__xludf.DUMMYFUNCTION("""COMPUTED_VALUE"""),235229.0)</f>
        <v>235229</v>
      </c>
      <c r="I113" s="188">
        <f>IFERROR(__xludf.DUMMYFUNCTION("""COMPUTED_VALUE"""),69.0)</f>
        <v>69</v>
      </c>
      <c r="J113" s="188">
        <f>IFERROR(__xludf.DUMMYFUNCTION("""COMPUTED_VALUE"""),44.0)</f>
        <v>44</v>
      </c>
      <c r="K113" s="188">
        <f>IFERROR(__xludf.DUMMYFUNCTION("""COMPUTED_VALUE"""),16634.0)</f>
        <v>16634</v>
      </c>
      <c r="L113" s="188">
        <f>IFERROR(__xludf.DUMMYFUNCTION("""COMPUTED_VALUE"""),1710.0)</f>
        <v>1710</v>
      </c>
      <c r="M113" s="188">
        <f>IFERROR(__xludf.DUMMYFUNCTION("""COMPUTED_VALUE"""),129951.0)</f>
        <v>129951</v>
      </c>
      <c r="N113" s="188">
        <f>IFERROR(__xludf.DUMMYFUNCTION("""COMPUTED_VALUE"""),146585.0)</f>
        <v>146585</v>
      </c>
      <c r="O113" s="188">
        <f>IFERROR(__xludf.DUMMYFUNCTION("""COMPUTED_VALUE"""),12.0)</f>
        <v>12</v>
      </c>
      <c r="P113" s="188">
        <f>IFERROR(__xludf.DUMMYFUNCTION("""COMPUTED_VALUE"""),2005.0)</f>
        <v>2005</v>
      </c>
      <c r="Q113" s="188">
        <f>IFERROR(__xludf.DUMMYFUNCTION("""COMPUTED_VALUE"""),16.0)</f>
        <v>16</v>
      </c>
      <c r="R113" s="188">
        <f>IFERROR(__xludf.DUMMYFUNCTION("""COMPUTED_VALUE"""),1600.0)</f>
        <v>1600</v>
      </c>
      <c r="S113" s="188">
        <f>IFERROR(__xludf.DUMMYFUNCTION("""COMPUTED_VALUE"""),0.0)</f>
        <v>0</v>
      </c>
      <c r="T113" s="188">
        <f>IFERROR(__xludf.DUMMYFUNCTION("""COMPUTED_VALUE"""),292.0)</f>
        <v>292</v>
      </c>
      <c r="U113" s="188">
        <f>IFERROR(__xludf.DUMMYFUNCTION("""COMPUTED_VALUE"""),113.0)</f>
        <v>113</v>
      </c>
      <c r="V113" s="188">
        <f>IFERROR(__xludf.DUMMYFUNCTION("""COMPUTED_VALUE"""),115.0)</f>
        <v>115</v>
      </c>
      <c r="W113" s="188">
        <f>IFERROR(__xludf.DUMMYFUNCTION("""COMPUTED_VALUE"""),19.0)</f>
        <v>19</v>
      </c>
      <c r="X113" s="188">
        <f>IFERROR(__xludf.DUMMYFUNCTION("""COMPUTED_VALUE"""),18.0)</f>
        <v>18</v>
      </c>
      <c r="Y113" s="188">
        <f>IFERROR(__xludf.DUMMYFUNCTION("""COMPUTED_VALUE"""),1.0)</f>
        <v>1</v>
      </c>
      <c r="Z113" s="188">
        <f>IFERROR(__xludf.DUMMYFUNCTION("""COMPUTED_VALUE"""),941.0)</f>
        <v>941</v>
      </c>
    </row>
    <row r="114">
      <c r="A114" s="187">
        <f>IFERROR(__xludf.DUMMYFUNCTION("""COMPUTED_VALUE"""),44005.0)</f>
        <v>44005</v>
      </c>
      <c r="B114" s="188">
        <f>IFERROR(__xludf.DUMMYFUNCTION("""COMPUTED_VALUE"""),164.0)</f>
        <v>164</v>
      </c>
      <c r="C114" s="188">
        <f>IFERROR(__xludf.DUMMYFUNCTION("""COMPUTED_VALUE"""),113.0)</f>
        <v>113</v>
      </c>
      <c r="D114" s="188">
        <f>IFERROR(__xludf.DUMMYFUNCTION("""COMPUTED_VALUE"""),24144.0)</f>
        <v>24144</v>
      </c>
      <c r="E114" s="188">
        <f>IFERROR(__xludf.DUMMYFUNCTION("""COMPUTED_VALUE"""),3864.0)</f>
        <v>3864</v>
      </c>
      <c r="F114" s="149">
        <f>IFERROR(__xludf.DUMMYFUNCTION("""COMPUTED_VALUE"""),215113.0)</f>
        <v>215113</v>
      </c>
      <c r="G114" s="149">
        <f>IFERROR(__xludf.DUMMYFUNCTION("""COMPUTED_VALUE"""),4028.0)</f>
        <v>4028</v>
      </c>
      <c r="H114" s="149">
        <f>IFERROR(__xludf.DUMMYFUNCTION("""COMPUTED_VALUE"""),239257.0)</f>
        <v>239257</v>
      </c>
      <c r="I114" s="188">
        <f>IFERROR(__xludf.DUMMYFUNCTION("""COMPUTED_VALUE"""),83.0)</f>
        <v>83</v>
      </c>
      <c r="J114" s="188">
        <f>IFERROR(__xludf.DUMMYFUNCTION("""COMPUTED_VALUE"""),60.0)</f>
        <v>60</v>
      </c>
      <c r="K114" s="188">
        <f>IFERROR(__xludf.DUMMYFUNCTION("""COMPUTED_VALUE"""),16717.0)</f>
        <v>16717</v>
      </c>
      <c r="L114" s="188">
        <f>IFERROR(__xludf.DUMMYFUNCTION("""COMPUTED_VALUE"""),1785.0)</f>
        <v>1785</v>
      </c>
      <c r="M114" s="188">
        <f>IFERROR(__xludf.DUMMYFUNCTION("""COMPUTED_VALUE"""),131736.0)</f>
        <v>131736</v>
      </c>
      <c r="N114" s="188">
        <f>IFERROR(__xludf.DUMMYFUNCTION("""COMPUTED_VALUE"""),148453.0)</f>
        <v>148453</v>
      </c>
      <c r="O114" s="188">
        <f>IFERROR(__xludf.DUMMYFUNCTION("""COMPUTED_VALUE"""),3.0)</f>
        <v>3</v>
      </c>
      <c r="P114" s="188">
        <f>IFERROR(__xludf.DUMMYFUNCTION("""COMPUTED_VALUE"""),2008.0)</f>
        <v>2008</v>
      </c>
      <c r="Q114" s="188">
        <f>IFERROR(__xludf.DUMMYFUNCTION("""COMPUTED_VALUE"""),13.0)</f>
        <v>13</v>
      </c>
      <c r="R114" s="188">
        <f>IFERROR(__xludf.DUMMYFUNCTION("""COMPUTED_VALUE"""),1613.0)</f>
        <v>1613</v>
      </c>
      <c r="S114" s="188">
        <f>IFERROR(__xludf.DUMMYFUNCTION("""COMPUTED_VALUE"""),3.0)</f>
        <v>3</v>
      </c>
      <c r="T114" s="188">
        <f>IFERROR(__xludf.DUMMYFUNCTION("""COMPUTED_VALUE"""),295.0)</f>
        <v>295</v>
      </c>
      <c r="U114" s="188">
        <f>IFERROR(__xludf.DUMMYFUNCTION("""COMPUTED_VALUE"""),100.0)</f>
        <v>100</v>
      </c>
      <c r="V114" s="188">
        <f>IFERROR(__xludf.DUMMYFUNCTION("""COMPUTED_VALUE"""),110.0)</f>
        <v>110</v>
      </c>
      <c r="W114" s="188">
        <f>IFERROR(__xludf.DUMMYFUNCTION("""COMPUTED_VALUE"""),18.0)</f>
        <v>18</v>
      </c>
      <c r="X114" s="188">
        <f>IFERROR(__xludf.DUMMYFUNCTION("""COMPUTED_VALUE"""),18.0)</f>
        <v>18</v>
      </c>
      <c r="Y114" s="188">
        <f>IFERROR(__xludf.DUMMYFUNCTION("""COMPUTED_VALUE"""),7.0)</f>
        <v>7</v>
      </c>
      <c r="Z114" s="188">
        <f>IFERROR(__xludf.DUMMYFUNCTION("""COMPUTED_VALUE"""),948.0)</f>
        <v>948</v>
      </c>
    </row>
    <row r="115">
      <c r="A115" s="187">
        <f>IFERROR(__xludf.DUMMYFUNCTION("""COMPUTED_VALUE"""),44006.0)</f>
        <v>44006</v>
      </c>
      <c r="B115" s="188">
        <f>IFERROR(__xludf.DUMMYFUNCTION("""COMPUTED_VALUE"""),120.0)</f>
        <v>120</v>
      </c>
      <c r="C115" s="188">
        <f>IFERROR(__xludf.DUMMYFUNCTION("""COMPUTED_VALUE"""),141.0)</f>
        <v>141</v>
      </c>
      <c r="D115" s="188">
        <f>IFERROR(__xludf.DUMMYFUNCTION("""COMPUTED_VALUE"""),24264.0)</f>
        <v>24264</v>
      </c>
      <c r="E115" s="188">
        <f>IFERROR(__xludf.DUMMYFUNCTION("""COMPUTED_VALUE"""),3521.0)</f>
        <v>3521</v>
      </c>
      <c r="F115" s="149">
        <f>IFERROR(__xludf.DUMMYFUNCTION("""COMPUTED_VALUE"""),218634.0)</f>
        <v>218634</v>
      </c>
      <c r="G115" s="149">
        <f>IFERROR(__xludf.DUMMYFUNCTION("""COMPUTED_VALUE"""),3641.0)</f>
        <v>3641</v>
      </c>
      <c r="H115" s="149">
        <f>IFERROR(__xludf.DUMMYFUNCTION("""COMPUTED_VALUE"""),242898.0)</f>
        <v>242898</v>
      </c>
      <c r="I115" s="188">
        <f>IFERROR(__xludf.DUMMYFUNCTION("""COMPUTED_VALUE"""),46.0)</f>
        <v>46</v>
      </c>
      <c r="J115" s="188">
        <f>IFERROR(__xludf.DUMMYFUNCTION("""COMPUTED_VALUE"""),66.0)</f>
        <v>66</v>
      </c>
      <c r="K115" s="188">
        <f>IFERROR(__xludf.DUMMYFUNCTION("""COMPUTED_VALUE"""),16763.0)</f>
        <v>16763</v>
      </c>
      <c r="L115" s="188">
        <f>IFERROR(__xludf.DUMMYFUNCTION("""COMPUTED_VALUE"""),1687.0)</f>
        <v>1687</v>
      </c>
      <c r="M115" s="188">
        <f>IFERROR(__xludf.DUMMYFUNCTION("""COMPUTED_VALUE"""),133423.0)</f>
        <v>133423</v>
      </c>
      <c r="N115" s="188">
        <f>IFERROR(__xludf.DUMMYFUNCTION("""COMPUTED_VALUE"""),150186.0)</f>
        <v>150186</v>
      </c>
      <c r="O115" s="188">
        <f>IFERROR(__xludf.DUMMYFUNCTION("""COMPUTED_VALUE"""),9.0)</f>
        <v>9</v>
      </c>
      <c r="P115" s="188">
        <f>IFERROR(__xludf.DUMMYFUNCTION("""COMPUTED_VALUE"""),2017.0)</f>
        <v>2017</v>
      </c>
      <c r="Q115" s="188">
        <f>IFERROR(__xludf.DUMMYFUNCTION("""COMPUTED_VALUE"""),10.0)</f>
        <v>10</v>
      </c>
      <c r="R115" s="188">
        <f>IFERROR(__xludf.DUMMYFUNCTION("""COMPUTED_VALUE"""),1623.0)</f>
        <v>1623</v>
      </c>
      <c r="S115" s="188">
        <f>IFERROR(__xludf.DUMMYFUNCTION("""COMPUTED_VALUE"""),1.0)</f>
        <v>1</v>
      </c>
      <c r="T115" s="188">
        <f>IFERROR(__xludf.DUMMYFUNCTION("""COMPUTED_VALUE"""),296.0)</f>
        <v>296</v>
      </c>
      <c r="U115" s="188">
        <f>IFERROR(__xludf.DUMMYFUNCTION("""COMPUTED_VALUE"""),98.0)</f>
        <v>98</v>
      </c>
      <c r="V115" s="188">
        <f>IFERROR(__xludf.DUMMYFUNCTION("""COMPUTED_VALUE"""),104.0)</f>
        <v>104</v>
      </c>
      <c r="W115" s="188">
        <f>IFERROR(__xludf.DUMMYFUNCTION("""COMPUTED_VALUE"""),18.0)</f>
        <v>18</v>
      </c>
      <c r="X115" s="188">
        <f>IFERROR(__xludf.DUMMYFUNCTION("""COMPUTED_VALUE"""),18.0)</f>
        <v>18</v>
      </c>
      <c r="Y115" s="188">
        <f>IFERROR(__xludf.DUMMYFUNCTION("""COMPUTED_VALUE"""),5.0)</f>
        <v>5</v>
      </c>
      <c r="Z115" s="188">
        <f>IFERROR(__xludf.DUMMYFUNCTION("""COMPUTED_VALUE"""),953.0)</f>
        <v>953</v>
      </c>
    </row>
    <row r="116">
      <c r="A116" s="187">
        <f>IFERROR(__xludf.DUMMYFUNCTION("""COMPUTED_VALUE"""),44007.0)</f>
        <v>44007</v>
      </c>
      <c r="B116" s="188">
        <f>IFERROR(__xludf.DUMMYFUNCTION("""COMPUTED_VALUE"""),103.0)</f>
        <v>103</v>
      </c>
      <c r="C116" s="188">
        <f>IFERROR(__xludf.DUMMYFUNCTION("""COMPUTED_VALUE"""),129.0)</f>
        <v>129</v>
      </c>
      <c r="D116" s="188">
        <f>IFERROR(__xludf.DUMMYFUNCTION("""COMPUTED_VALUE"""),24367.0)</f>
        <v>24367</v>
      </c>
      <c r="E116" s="188">
        <f>IFERROR(__xludf.DUMMYFUNCTION("""COMPUTED_VALUE"""),2909.0)</f>
        <v>2909</v>
      </c>
      <c r="F116" s="149">
        <f>IFERROR(__xludf.DUMMYFUNCTION("""COMPUTED_VALUE"""),221543.0)</f>
        <v>221543</v>
      </c>
      <c r="G116" s="149">
        <f>IFERROR(__xludf.DUMMYFUNCTION("""COMPUTED_VALUE"""),3012.0)</f>
        <v>3012</v>
      </c>
      <c r="H116" s="149">
        <f>IFERROR(__xludf.DUMMYFUNCTION("""COMPUTED_VALUE"""),245910.0)</f>
        <v>245910</v>
      </c>
      <c r="I116" s="188">
        <f>IFERROR(__xludf.DUMMYFUNCTION("""COMPUTED_VALUE"""),54.0)</f>
        <v>54</v>
      </c>
      <c r="J116" s="188">
        <f>IFERROR(__xludf.DUMMYFUNCTION("""COMPUTED_VALUE"""),61.0)</f>
        <v>61</v>
      </c>
      <c r="K116" s="188">
        <f>IFERROR(__xludf.DUMMYFUNCTION("""COMPUTED_VALUE"""),16817.0)</f>
        <v>16817</v>
      </c>
      <c r="L116" s="188">
        <f>IFERROR(__xludf.DUMMYFUNCTION("""COMPUTED_VALUE"""),1516.0)</f>
        <v>1516</v>
      </c>
      <c r="M116" s="188">
        <f>IFERROR(__xludf.DUMMYFUNCTION("""COMPUTED_VALUE"""),134939.0)</f>
        <v>134939</v>
      </c>
      <c r="N116" s="188">
        <f>IFERROR(__xludf.DUMMYFUNCTION("""COMPUTED_VALUE"""),151756.0)</f>
        <v>151756</v>
      </c>
      <c r="O116" s="188">
        <f>IFERROR(__xludf.DUMMYFUNCTION("""COMPUTED_VALUE"""),6.0)</f>
        <v>6</v>
      </c>
      <c r="P116" s="188">
        <f>IFERROR(__xludf.DUMMYFUNCTION("""COMPUTED_VALUE"""),2023.0)</f>
        <v>2023</v>
      </c>
      <c r="Q116" s="188">
        <f>IFERROR(__xludf.DUMMYFUNCTION("""COMPUTED_VALUE"""),14.0)</f>
        <v>14</v>
      </c>
      <c r="R116" s="188">
        <f>IFERROR(__xludf.DUMMYFUNCTION("""COMPUTED_VALUE"""),1637.0)</f>
        <v>1637</v>
      </c>
      <c r="S116" s="188">
        <f>IFERROR(__xludf.DUMMYFUNCTION("""COMPUTED_VALUE"""),1.0)</f>
        <v>1</v>
      </c>
      <c r="T116" s="188">
        <f>IFERROR(__xludf.DUMMYFUNCTION("""COMPUTED_VALUE"""),297.0)</f>
        <v>297</v>
      </c>
      <c r="U116" s="188">
        <f>IFERROR(__xludf.DUMMYFUNCTION("""COMPUTED_VALUE"""),89.0)</f>
        <v>89</v>
      </c>
      <c r="V116" s="188">
        <f>IFERROR(__xludf.DUMMYFUNCTION("""COMPUTED_VALUE"""),96.0)</f>
        <v>96</v>
      </c>
      <c r="W116" s="188">
        <f>IFERROR(__xludf.DUMMYFUNCTION("""COMPUTED_VALUE"""),17.0)</f>
        <v>17</v>
      </c>
      <c r="X116" s="188">
        <f>IFERROR(__xludf.DUMMYFUNCTION("""COMPUTED_VALUE"""),17.0)</f>
        <v>17</v>
      </c>
      <c r="Y116" s="188">
        <f>IFERROR(__xludf.DUMMYFUNCTION("""COMPUTED_VALUE"""),1.0)</f>
        <v>1</v>
      </c>
      <c r="Z116" s="188">
        <f>IFERROR(__xludf.DUMMYFUNCTION("""COMPUTED_VALUE"""),954.0)</f>
        <v>954</v>
      </c>
    </row>
    <row r="117">
      <c r="A117" s="187">
        <f>IFERROR(__xludf.DUMMYFUNCTION("""COMPUTED_VALUE"""),44008.0)</f>
        <v>44008</v>
      </c>
      <c r="B117" s="188">
        <f>IFERROR(__xludf.DUMMYFUNCTION("""COMPUTED_VALUE"""),94.0)</f>
        <v>94</v>
      </c>
      <c r="C117" s="188">
        <f>IFERROR(__xludf.DUMMYFUNCTION("""COMPUTED_VALUE"""),106.0)</f>
        <v>106</v>
      </c>
      <c r="D117" s="188">
        <f>IFERROR(__xludf.DUMMYFUNCTION("""COMPUTED_VALUE"""),24461.0)</f>
        <v>24461</v>
      </c>
      <c r="E117" s="188">
        <f>IFERROR(__xludf.DUMMYFUNCTION("""COMPUTED_VALUE"""),2506.0)</f>
        <v>2506</v>
      </c>
      <c r="F117" s="149">
        <f>IFERROR(__xludf.DUMMYFUNCTION("""COMPUTED_VALUE"""),224049.0)</f>
        <v>224049</v>
      </c>
      <c r="G117" s="149">
        <f>IFERROR(__xludf.DUMMYFUNCTION("""COMPUTED_VALUE"""),2600.0)</f>
        <v>2600</v>
      </c>
      <c r="H117" s="149">
        <f>IFERROR(__xludf.DUMMYFUNCTION("""COMPUTED_VALUE"""),248510.0)</f>
        <v>248510</v>
      </c>
      <c r="I117" s="188">
        <f>IFERROR(__xludf.DUMMYFUNCTION("""COMPUTED_VALUE"""),63.0)</f>
        <v>63</v>
      </c>
      <c r="J117" s="188">
        <f>IFERROR(__xludf.DUMMYFUNCTION("""COMPUTED_VALUE"""),54.0)</f>
        <v>54</v>
      </c>
      <c r="K117" s="188">
        <f>IFERROR(__xludf.DUMMYFUNCTION("""COMPUTED_VALUE"""),16880.0)</f>
        <v>16880</v>
      </c>
      <c r="L117" s="188">
        <f>IFERROR(__xludf.DUMMYFUNCTION("""COMPUTED_VALUE"""),1332.0)</f>
        <v>1332</v>
      </c>
      <c r="M117" s="188">
        <f>IFERROR(__xludf.DUMMYFUNCTION("""COMPUTED_VALUE"""),136271.0)</f>
        <v>136271</v>
      </c>
      <c r="N117" s="188">
        <f>IFERROR(__xludf.DUMMYFUNCTION("""COMPUTED_VALUE"""),153151.0)</f>
        <v>153151</v>
      </c>
      <c r="O117" s="188">
        <f>IFERROR(__xludf.DUMMYFUNCTION("""COMPUTED_VALUE"""),2.0)</f>
        <v>2</v>
      </c>
      <c r="P117" s="188">
        <f>IFERROR(__xludf.DUMMYFUNCTION("""COMPUTED_VALUE"""),2025.0)</f>
        <v>2025</v>
      </c>
      <c r="Q117" s="188">
        <f>IFERROR(__xludf.DUMMYFUNCTION("""COMPUTED_VALUE"""),10.0)</f>
        <v>10</v>
      </c>
      <c r="R117" s="188">
        <f>IFERROR(__xludf.DUMMYFUNCTION("""COMPUTED_VALUE"""),1647.0)</f>
        <v>1647</v>
      </c>
      <c r="S117" s="188">
        <f>IFERROR(__xludf.DUMMYFUNCTION("""COMPUTED_VALUE"""),0.0)</f>
        <v>0</v>
      </c>
      <c r="T117" s="188">
        <f>IFERROR(__xludf.DUMMYFUNCTION("""COMPUTED_VALUE"""),297.0)</f>
        <v>297</v>
      </c>
      <c r="U117" s="188">
        <f>IFERROR(__xludf.DUMMYFUNCTION("""COMPUTED_VALUE"""),81.0)</f>
        <v>81</v>
      </c>
      <c r="V117" s="188">
        <f>IFERROR(__xludf.DUMMYFUNCTION("""COMPUTED_VALUE"""),89.0)</f>
        <v>89</v>
      </c>
      <c r="W117" s="188">
        <f>IFERROR(__xludf.DUMMYFUNCTION("""COMPUTED_VALUE"""),18.0)</f>
        <v>18</v>
      </c>
      <c r="X117" s="188">
        <f>IFERROR(__xludf.DUMMYFUNCTION("""COMPUTED_VALUE"""),18.0)</f>
        <v>18</v>
      </c>
      <c r="Y117" s="188">
        <f>IFERROR(__xludf.DUMMYFUNCTION("""COMPUTED_VALUE"""),1.0)</f>
        <v>1</v>
      </c>
      <c r="Z117" s="188">
        <f>IFERROR(__xludf.DUMMYFUNCTION("""COMPUTED_VALUE"""),955.0)</f>
        <v>955</v>
      </c>
    </row>
    <row r="118">
      <c r="A118" s="187">
        <f>IFERROR(__xludf.DUMMYFUNCTION("""COMPUTED_VALUE"""),44009.0)</f>
        <v>44009</v>
      </c>
      <c r="B118" s="188">
        <f>IFERROR(__xludf.DUMMYFUNCTION("""COMPUTED_VALUE"""),84.0)</f>
        <v>84</v>
      </c>
      <c r="C118" s="188">
        <f>IFERROR(__xludf.DUMMYFUNCTION("""COMPUTED_VALUE"""),94.0)</f>
        <v>94</v>
      </c>
      <c r="D118" s="188">
        <f>IFERROR(__xludf.DUMMYFUNCTION("""COMPUTED_VALUE"""),24545.0)</f>
        <v>24545</v>
      </c>
      <c r="E118" s="188">
        <f>IFERROR(__xludf.DUMMYFUNCTION("""COMPUTED_VALUE"""),3231.0)</f>
        <v>3231</v>
      </c>
      <c r="F118" s="149">
        <f>IFERROR(__xludf.DUMMYFUNCTION("""COMPUTED_VALUE"""),227280.0)</f>
        <v>227280</v>
      </c>
      <c r="G118" s="149">
        <f>IFERROR(__xludf.DUMMYFUNCTION("""COMPUTED_VALUE"""),3315.0)</f>
        <v>3315</v>
      </c>
      <c r="H118" s="149">
        <f>IFERROR(__xludf.DUMMYFUNCTION("""COMPUTED_VALUE"""),251825.0)</f>
        <v>251825</v>
      </c>
      <c r="I118" s="188">
        <f>IFERROR(__xludf.DUMMYFUNCTION("""COMPUTED_VALUE"""),37.0)</f>
        <v>37</v>
      </c>
      <c r="J118" s="188">
        <f>IFERROR(__xludf.DUMMYFUNCTION("""COMPUTED_VALUE"""),51.0)</f>
        <v>51</v>
      </c>
      <c r="K118" s="188">
        <f>IFERROR(__xludf.DUMMYFUNCTION("""COMPUTED_VALUE"""),16917.0)</f>
        <v>16917</v>
      </c>
      <c r="L118" s="188">
        <f>IFERROR(__xludf.DUMMYFUNCTION("""COMPUTED_VALUE"""),1221.0)</f>
        <v>1221</v>
      </c>
      <c r="M118" s="188">
        <f>IFERROR(__xludf.DUMMYFUNCTION("""COMPUTED_VALUE"""),137492.0)</f>
        <v>137492</v>
      </c>
      <c r="N118" s="188">
        <f>IFERROR(__xludf.DUMMYFUNCTION("""COMPUTED_VALUE"""),154409.0)</f>
        <v>154409</v>
      </c>
      <c r="O118" s="188">
        <f>IFERROR(__xludf.DUMMYFUNCTION("""COMPUTED_VALUE"""),5.0)</f>
        <v>5</v>
      </c>
      <c r="P118" s="188">
        <f>IFERROR(__xludf.DUMMYFUNCTION("""COMPUTED_VALUE"""),2030.0)</f>
        <v>2030</v>
      </c>
      <c r="Q118" s="188">
        <f>IFERROR(__xludf.DUMMYFUNCTION("""COMPUTED_VALUE"""),3.0)</f>
        <v>3</v>
      </c>
      <c r="R118" s="188">
        <f>IFERROR(__xludf.DUMMYFUNCTION("""COMPUTED_VALUE"""),1650.0)</f>
        <v>1650</v>
      </c>
      <c r="S118" s="188">
        <f>IFERROR(__xludf.DUMMYFUNCTION("""COMPUTED_VALUE"""),1.0)</f>
        <v>1</v>
      </c>
      <c r="T118" s="188">
        <f>IFERROR(__xludf.DUMMYFUNCTION("""COMPUTED_VALUE"""),298.0)</f>
        <v>298</v>
      </c>
      <c r="U118" s="188">
        <f>IFERROR(__xludf.DUMMYFUNCTION("""COMPUTED_VALUE"""),82.0)</f>
        <v>82</v>
      </c>
      <c r="V118" s="188">
        <f>IFERROR(__xludf.DUMMYFUNCTION("""COMPUTED_VALUE"""),84.0)</f>
        <v>84</v>
      </c>
      <c r="W118" s="188">
        <f>IFERROR(__xludf.DUMMYFUNCTION("""COMPUTED_VALUE"""),17.0)</f>
        <v>17</v>
      </c>
      <c r="X118" s="188">
        <f>IFERROR(__xludf.DUMMYFUNCTION("""COMPUTED_VALUE"""),17.0)</f>
        <v>17</v>
      </c>
      <c r="Y118" s="188">
        <f>IFERROR(__xludf.DUMMYFUNCTION("""COMPUTED_VALUE"""),5.0)</f>
        <v>5</v>
      </c>
      <c r="Z118" s="188">
        <f>IFERROR(__xludf.DUMMYFUNCTION("""COMPUTED_VALUE"""),960.0)</f>
        <v>960</v>
      </c>
    </row>
    <row r="119">
      <c r="A119" s="187">
        <f>IFERROR(__xludf.DUMMYFUNCTION("""COMPUTED_VALUE"""),44010.0)</f>
        <v>44010</v>
      </c>
      <c r="B119" s="188">
        <f>IFERROR(__xludf.DUMMYFUNCTION("""COMPUTED_VALUE"""),40.0)</f>
        <v>40</v>
      </c>
      <c r="C119" s="188">
        <f>IFERROR(__xludf.DUMMYFUNCTION("""COMPUTED_VALUE"""),73.0)</f>
        <v>73</v>
      </c>
      <c r="D119" s="188">
        <f>IFERROR(__xludf.DUMMYFUNCTION("""COMPUTED_VALUE"""),24585.0)</f>
        <v>24585</v>
      </c>
      <c r="E119" s="188">
        <f>IFERROR(__xludf.DUMMYFUNCTION("""COMPUTED_VALUE"""),1474.0)</f>
        <v>1474</v>
      </c>
      <c r="F119" s="149">
        <f>IFERROR(__xludf.DUMMYFUNCTION("""COMPUTED_VALUE"""),228754.0)</f>
        <v>228754</v>
      </c>
      <c r="G119" s="149">
        <f>IFERROR(__xludf.DUMMYFUNCTION("""COMPUTED_VALUE"""),1514.0)</f>
        <v>1514</v>
      </c>
      <c r="H119" s="149">
        <f>IFERROR(__xludf.DUMMYFUNCTION("""COMPUTED_VALUE"""),253339.0)</f>
        <v>253339</v>
      </c>
      <c r="I119" s="188">
        <f>IFERROR(__xludf.DUMMYFUNCTION("""COMPUTED_VALUE"""),19.0)</f>
        <v>19</v>
      </c>
      <c r="J119" s="188">
        <f>IFERROR(__xludf.DUMMYFUNCTION("""COMPUTED_VALUE"""),40.0)</f>
        <v>40</v>
      </c>
      <c r="K119" s="188">
        <f>IFERROR(__xludf.DUMMYFUNCTION("""COMPUTED_VALUE"""),16936.0)</f>
        <v>16936</v>
      </c>
      <c r="L119" s="188">
        <f>IFERROR(__xludf.DUMMYFUNCTION("""COMPUTED_VALUE"""),596.0)</f>
        <v>596</v>
      </c>
      <c r="M119" s="188">
        <f>IFERROR(__xludf.DUMMYFUNCTION("""COMPUTED_VALUE"""),138088.0)</f>
        <v>138088</v>
      </c>
      <c r="N119" s="188">
        <f>IFERROR(__xludf.DUMMYFUNCTION("""COMPUTED_VALUE"""),155024.0)</f>
        <v>155024</v>
      </c>
      <c r="O119" s="188">
        <f>IFERROR(__xludf.DUMMYFUNCTION("""COMPUTED_VALUE"""),4.0)</f>
        <v>4</v>
      </c>
      <c r="P119" s="188">
        <f>IFERROR(__xludf.DUMMYFUNCTION("""COMPUTED_VALUE"""),2034.0)</f>
        <v>2034</v>
      </c>
      <c r="Q119" s="188">
        <f>IFERROR(__xludf.DUMMYFUNCTION("""COMPUTED_VALUE"""),4.0)</f>
        <v>4</v>
      </c>
      <c r="R119" s="188">
        <f>IFERROR(__xludf.DUMMYFUNCTION("""COMPUTED_VALUE"""),1654.0)</f>
        <v>1654</v>
      </c>
      <c r="S119" s="188">
        <f>IFERROR(__xludf.DUMMYFUNCTION("""COMPUTED_VALUE"""),4.0)</f>
        <v>4</v>
      </c>
      <c r="T119" s="188">
        <f>IFERROR(__xludf.DUMMYFUNCTION("""COMPUTED_VALUE"""),302.0)</f>
        <v>302</v>
      </c>
      <c r="U119" s="188">
        <f>IFERROR(__xludf.DUMMYFUNCTION("""COMPUTED_VALUE"""),78.0)</f>
        <v>78</v>
      </c>
      <c r="V119" s="188">
        <f>IFERROR(__xludf.DUMMYFUNCTION("""COMPUTED_VALUE"""),80.0)</f>
        <v>80</v>
      </c>
      <c r="W119" s="188">
        <f>IFERROR(__xludf.DUMMYFUNCTION("""COMPUTED_VALUE"""),15.0)</f>
        <v>15</v>
      </c>
      <c r="X119" s="188">
        <f>IFERROR(__xludf.DUMMYFUNCTION("""COMPUTED_VALUE"""),14.0)</f>
        <v>14</v>
      </c>
      <c r="Y119" s="188">
        <f>IFERROR(__xludf.DUMMYFUNCTION("""COMPUTED_VALUE"""),6.0)</f>
        <v>6</v>
      </c>
      <c r="Z119" s="188">
        <f>IFERROR(__xludf.DUMMYFUNCTION("""COMPUTED_VALUE"""),966.0)</f>
        <v>966</v>
      </c>
    </row>
    <row r="120">
      <c r="A120" s="187">
        <f>IFERROR(__xludf.DUMMYFUNCTION("""COMPUTED_VALUE"""),44011.0)</f>
        <v>44011</v>
      </c>
      <c r="B120" s="188">
        <f>IFERROR(__xludf.DUMMYFUNCTION("""COMPUTED_VALUE"""),85.0)</f>
        <v>85</v>
      </c>
      <c r="C120" s="188">
        <f>IFERROR(__xludf.DUMMYFUNCTION("""COMPUTED_VALUE"""),70.0)</f>
        <v>70</v>
      </c>
      <c r="D120" s="188">
        <f>IFERROR(__xludf.DUMMYFUNCTION("""COMPUTED_VALUE"""),24670.0)</f>
        <v>24670</v>
      </c>
      <c r="E120" s="188">
        <f>IFERROR(__xludf.DUMMYFUNCTION("""COMPUTED_VALUE"""),3706.0)</f>
        <v>3706</v>
      </c>
      <c r="F120" s="149">
        <f>IFERROR(__xludf.DUMMYFUNCTION("""COMPUTED_VALUE"""),232460.0)</f>
        <v>232460</v>
      </c>
      <c r="G120" s="149">
        <f>IFERROR(__xludf.DUMMYFUNCTION("""COMPUTED_VALUE"""),3791.0)</f>
        <v>3791</v>
      </c>
      <c r="H120" s="149">
        <f>IFERROR(__xludf.DUMMYFUNCTION("""COMPUTED_VALUE"""),257130.0)</f>
        <v>257130</v>
      </c>
      <c r="I120" s="188">
        <f>IFERROR(__xludf.DUMMYFUNCTION("""COMPUTED_VALUE"""),39.0)</f>
        <v>39</v>
      </c>
      <c r="J120" s="188">
        <f>IFERROR(__xludf.DUMMYFUNCTION("""COMPUTED_VALUE"""),32.0)</f>
        <v>32</v>
      </c>
      <c r="K120" s="188">
        <f>IFERROR(__xludf.DUMMYFUNCTION("""COMPUTED_VALUE"""),16975.0)</f>
        <v>16975</v>
      </c>
      <c r="L120" s="188">
        <f>IFERROR(__xludf.DUMMYFUNCTION("""COMPUTED_VALUE"""),1355.0)</f>
        <v>1355</v>
      </c>
      <c r="M120" s="188">
        <f>IFERROR(__xludf.DUMMYFUNCTION("""COMPUTED_VALUE"""),139443.0)</f>
        <v>139443</v>
      </c>
      <c r="N120" s="188">
        <f>IFERROR(__xludf.DUMMYFUNCTION("""COMPUTED_VALUE"""),156418.0)</f>
        <v>156418</v>
      </c>
      <c r="O120" s="188">
        <f>IFERROR(__xludf.DUMMYFUNCTION("""COMPUTED_VALUE"""),4.0)</f>
        <v>4</v>
      </c>
      <c r="P120" s="188">
        <f>IFERROR(__xludf.DUMMYFUNCTION("""COMPUTED_VALUE"""),2038.0)</f>
        <v>2038</v>
      </c>
      <c r="Q120" s="188">
        <f>IFERROR(__xludf.DUMMYFUNCTION("""COMPUTED_VALUE"""),5.0)</f>
        <v>5</v>
      </c>
      <c r="R120" s="188">
        <f>IFERROR(__xludf.DUMMYFUNCTION("""COMPUTED_VALUE"""),1659.0)</f>
        <v>1659</v>
      </c>
      <c r="S120" s="188">
        <f>IFERROR(__xludf.DUMMYFUNCTION("""COMPUTED_VALUE"""),0.0)</f>
        <v>0</v>
      </c>
      <c r="T120" s="188">
        <f>IFERROR(__xludf.DUMMYFUNCTION("""COMPUTED_VALUE"""),302.0)</f>
        <v>302</v>
      </c>
      <c r="U120" s="188">
        <f>IFERROR(__xludf.DUMMYFUNCTION("""COMPUTED_VALUE"""),77.0)</f>
        <v>77</v>
      </c>
      <c r="V120" s="188">
        <f>IFERROR(__xludf.DUMMYFUNCTION("""COMPUTED_VALUE"""),79.0)</f>
        <v>79</v>
      </c>
      <c r="W120" s="188">
        <f>IFERROR(__xludf.DUMMYFUNCTION("""COMPUTED_VALUE"""),14.0)</f>
        <v>14</v>
      </c>
      <c r="X120" s="188">
        <f>IFERROR(__xludf.DUMMYFUNCTION("""COMPUTED_VALUE"""),14.0)</f>
        <v>14</v>
      </c>
      <c r="Y120" s="188">
        <f>IFERROR(__xludf.DUMMYFUNCTION("""COMPUTED_VALUE"""),1.0)</f>
        <v>1</v>
      </c>
      <c r="Z120" s="188">
        <f>IFERROR(__xludf.DUMMYFUNCTION("""COMPUTED_VALUE"""),967.0)</f>
        <v>967</v>
      </c>
    </row>
    <row r="121">
      <c r="A121" s="187">
        <f>IFERROR(__xludf.DUMMYFUNCTION("""COMPUTED_VALUE"""),44012.0)</f>
        <v>44012</v>
      </c>
      <c r="B121" s="188">
        <f>IFERROR(__xludf.DUMMYFUNCTION("""COMPUTED_VALUE"""),59.0)</f>
        <v>59</v>
      </c>
      <c r="C121" s="188">
        <f>IFERROR(__xludf.DUMMYFUNCTION("""COMPUTED_VALUE"""),61.0)</f>
        <v>61</v>
      </c>
      <c r="D121" s="188">
        <f>IFERROR(__xludf.DUMMYFUNCTION("""COMPUTED_VALUE"""),24729.0)</f>
        <v>24729</v>
      </c>
      <c r="E121" s="188">
        <f>IFERROR(__xludf.DUMMYFUNCTION("""COMPUTED_VALUE"""),1966.0)</f>
        <v>1966</v>
      </c>
      <c r="F121" s="149">
        <f>IFERROR(__xludf.DUMMYFUNCTION("""COMPUTED_VALUE"""),234426.0)</f>
        <v>234426</v>
      </c>
      <c r="G121" s="149">
        <f>IFERROR(__xludf.DUMMYFUNCTION("""COMPUTED_VALUE"""),2025.0)</f>
        <v>2025</v>
      </c>
      <c r="H121" s="149">
        <f>IFERROR(__xludf.DUMMYFUNCTION("""COMPUTED_VALUE"""),259155.0)</f>
        <v>259155</v>
      </c>
      <c r="I121" s="188">
        <f>IFERROR(__xludf.DUMMYFUNCTION("""COMPUTED_VALUE"""),33.0)</f>
        <v>33</v>
      </c>
      <c r="J121" s="188">
        <f>IFERROR(__xludf.DUMMYFUNCTION("""COMPUTED_VALUE"""),30.0)</f>
        <v>30</v>
      </c>
      <c r="K121" s="188">
        <f>IFERROR(__xludf.DUMMYFUNCTION("""COMPUTED_VALUE"""),17008.0)</f>
        <v>17008</v>
      </c>
      <c r="L121" s="188">
        <f>IFERROR(__xludf.DUMMYFUNCTION("""COMPUTED_VALUE"""),996.0)</f>
        <v>996</v>
      </c>
      <c r="M121" s="188">
        <f>IFERROR(__xludf.DUMMYFUNCTION("""COMPUTED_VALUE"""),140439.0)</f>
        <v>140439</v>
      </c>
      <c r="N121" s="188">
        <f>IFERROR(__xludf.DUMMYFUNCTION("""COMPUTED_VALUE"""),157447.0)</f>
        <v>157447</v>
      </c>
      <c r="O121" s="188">
        <f>IFERROR(__xludf.DUMMYFUNCTION("""COMPUTED_VALUE"""),1.0)</f>
        <v>1</v>
      </c>
      <c r="P121" s="188">
        <f>IFERROR(__xludf.DUMMYFUNCTION("""COMPUTED_VALUE"""),2039.0)</f>
        <v>2039</v>
      </c>
      <c r="Q121" s="188">
        <f>IFERROR(__xludf.DUMMYFUNCTION("""COMPUTED_VALUE"""),5.0)</f>
        <v>5</v>
      </c>
      <c r="R121" s="188">
        <f>IFERROR(__xludf.DUMMYFUNCTION("""COMPUTED_VALUE"""),1664.0)</f>
        <v>1664</v>
      </c>
      <c r="S121" s="188">
        <f>IFERROR(__xludf.DUMMYFUNCTION("""COMPUTED_VALUE"""),1.0)</f>
        <v>1</v>
      </c>
      <c r="T121" s="188">
        <f>IFERROR(__xludf.DUMMYFUNCTION("""COMPUTED_VALUE"""),303.0)</f>
        <v>303</v>
      </c>
      <c r="U121" s="188">
        <f>IFERROR(__xludf.DUMMYFUNCTION("""COMPUTED_VALUE"""),72.0)</f>
        <v>72</v>
      </c>
      <c r="V121" s="188">
        <f>IFERROR(__xludf.DUMMYFUNCTION("""COMPUTED_VALUE"""),76.0)</f>
        <v>76</v>
      </c>
      <c r="W121" s="188">
        <f>IFERROR(__xludf.DUMMYFUNCTION("""COMPUTED_VALUE"""),12.0)</f>
        <v>12</v>
      </c>
      <c r="X121" s="188">
        <f>IFERROR(__xludf.DUMMYFUNCTION("""COMPUTED_VALUE"""),11.0)</f>
        <v>11</v>
      </c>
      <c r="Y121" s="188">
        <f>IFERROR(__xludf.DUMMYFUNCTION("""COMPUTED_VALUE"""),4.0)</f>
        <v>4</v>
      </c>
      <c r="Z121" s="188">
        <f>IFERROR(__xludf.DUMMYFUNCTION("""COMPUTED_VALUE"""),971.0)</f>
        <v>971</v>
      </c>
    </row>
    <row r="122">
      <c r="A122" s="187">
        <f>IFERROR(__xludf.DUMMYFUNCTION("""COMPUTED_VALUE"""),44013.0)</f>
        <v>44013</v>
      </c>
      <c r="B122" s="188">
        <f>IFERROR(__xludf.DUMMYFUNCTION("""COMPUTED_VALUE"""),145.0)</f>
        <v>145</v>
      </c>
      <c r="C122" s="188">
        <f>IFERROR(__xludf.DUMMYFUNCTION("""COMPUTED_VALUE"""),96.0)</f>
        <v>96</v>
      </c>
      <c r="D122" s="188">
        <f>IFERROR(__xludf.DUMMYFUNCTION("""COMPUTED_VALUE"""),24874.0)</f>
        <v>24874</v>
      </c>
      <c r="E122" s="188">
        <f>IFERROR(__xludf.DUMMYFUNCTION("""COMPUTED_VALUE"""),4113.0)</f>
        <v>4113</v>
      </c>
      <c r="F122" s="149">
        <f>IFERROR(__xludf.DUMMYFUNCTION("""COMPUTED_VALUE"""),238539.0)</f>
        <v>238539</v>
      </c>
      <c r="G122" s="149">
        <f>IFERROR(__xludf.DUMMYFUNCTION("""COMPUTED_VALUE"""),4258.0)</f>
        <v>4258</v>
      </c>
      <c r="H122" s="149">
        <f>IFERROR(__xludf.DUMMYFUNCTION("""COMPUTED_VALUE"""),263413.0)</f>
        <v>263413</v>
      </c>
      <c r="I122" s="188">
        <f>IFERROR(__xludf.DUMMYFUNCTION("""COMPUTED_VALUE"""),80.0)</f>
        <v>80</v>
      </c>
      <c r="J122" s="188">
        <f>IFERROR(__xludf.DUMMYFUNCTION("""COMPUTED_VALUE"""),51.0)</f>
        <v>51</v>
      </c>
      <c r="K122" s="188">
        <f>IFERROR(__xludf.DUMMYFUNCTION("""COMPUTED_VALUE"""),17088.0)</f>
        <v>17088</v>
      </c>
      <c r="L122" s="188">
        <f>IFERROR(__xludf.DUMMYFUNCTION("""COMPUTED_VALUE"""),1938.0)</f>
        <v>1938</v>
      </c>
      <c r="M122" s="188">
        <f>IFERROR(__xludf.DUMMYFUNCTION("""COMPUTED_VALUE"""),142377.0)</f>
        <v>142377</v>
      </c>
      <c r="N122" s="188">
        <f>IFERROR(__xludf.DUMMYFUNCTION("""COMPUTED_VALUE"""),159465.0)</f>
        <v>159465</v>
      </c>
      <c r="O122" s="188">
        <f>IFERROR(__xludf.DUMMYFUNCTION("""COMPUTED_VALUE"""),7.0)</f>
        <v>7</v>
      </c>
      <c r="P122" s="188">
        <f>IFERROR(__xludf.DUMMYFUNCTION("""COMPUTED_VALUE"""),2046.0)</f>
        <v>2046</v>
      </c>
      <c r="Q122" s="188">
        <f>IFERROR(__xludf.DUMMYFUNCTION("""COMPUTED_VALUE"""),9.0)</f>
        <v>9</v>
      </c>
      <c r="R122" s="188">
        <f>IFERROR(__xludf.DUMMYFUNCTION("""COMPUTED_VALUE"""),1673.0)</f>
        <v>1673</v>
      </c>
      <c r="S122" s="188">
        <f>IFERROR(__xludf.DUMMYFUNCTION("""COMPUTED_VALUE"""),0.0)</f>
        <v>0</v>
      </c>
      <c r="T122" s="188">
        <f>IFERROR(__xludf.DUMMYFUNCTION("""COMPUTED_VALUE"""),303.0)</f>
        <v>303</v>
      </c>
      <c r="U122" s="188">
        <f>IFERROR(__xludf.DUMMYFUNCTION("""COMPUTED_VALUE"""),70.0)</f>
        <v>70</v>
      </c>
      <c r="V122" s="188">
        <f>IFERROR(__xludf.DUMMYFUNCTION("""COMPUTED_VALUE"""),73.0)</f>
        <v>73</v>
      </c>
      <c r="W122" s="188">
        <f>IFERROR(__xludf.DUMMYFUNCTION("""COMPUTED_VALUE"""),11.0)</f>
        <v>11</v>
      </c>
      <c r="X122" s="188">
        <f>IFERROR(__xludf.DUMMYFUNCTION("""COMPUTED_VALUE"""),11.0)</f>
        <v>11</v>
      </c>
      <c r="Y122" s="188">
        <f>IFERROR(__xludf.DUMMYFUNCTION("""COMPUTED_VALUE"""),1.0)</f>
        <v>1</v>
      </c>
      <c r="Z122" s="188">
        <f>IFERROR(__xludf.DUMMYFUNCTION("""COMPUTED_VALUE"""),972.0)</f>
        <v>972</v>
      </c>
    </row>
    <row r="123">
      <c r="A123" s="187">
        <f>IFERROR(__xludf.DUMMYFUNCTION("""COMPUTED_VALUE"""),44014.0)</f>
        <v>44014</v>
      </c>
      <c r="B123" s="188">
        <f>IFERROR(__xludf.DUMMYFUNCTION("""COMPUTED_VALUE"""),103.0)</f>
        <v>103</v>
      </c>
      <c r="C123" s="188">
        <f>IFERROR(__xludf.DUMMYFUNCTION("""COMPUTED_VALUE"""),102.0)</f>
        <v>102</v>
      </c>
      <c r="D123" s="188">
        <f>IFERROR(__xludf.DUMMYFUNCTION("""COMPUTED_VALUE"""),24977.0)</f>
        <v>24977</v>
      </c>
      <c r="E123" s="188">
        <f>IFERROR(__xludf.DUMMYFUNCTION("""COMPUTED_VALUE"""),2812.0)</f>
        <v>2812</v>
      </c>
      <c r="F123" s="149">
        <f>IFERROR(__xludf.DUMMYFUNCTION("""COMPUTED_VALUE"""),241351.0)</f>
        <v>241351</v>
      </c>
      <c r="G123" s="149">
        <f>IFERROR(__xludf.DUMMYFUNCTION("""COMPUTED_VALUE"""),2915.0)</f>
        <v>2915</v>
      </c>
      <c r="H123" s="149">
        <f>IFERROR(__xludf.DUMMYFUNCTION("""COMPUTED_VALUE"""),266328.0)</f>
        <v>266328</v>
      </c>
      <c r="I123" s="188">
        <f>IFERROR(__xludf.DUMMYFUNCTION("""COMPUTED_VALUE"""),57.0)</f>
        <v>57</v>
      </c>
      <c r="J123" s="188">
        <f>IFERROR(__xludf.DUMMYFUNCTION("""COMPUTED_VALUE"""),57.0)</f>
        <v>57</v>
      </c>
      <c r="K123" s="188">
        <f>IFERROR(__xludf.DUMMYFUNCTION("""COMPUTED_VALUE"""),17145.0)</f>
        <v>17145</v>
      </c>
      <c r="L123" s="188">
        <f>IFERROR(__xludf.DUMMYFUNCTION("""COMPUTED_VALUE"""),1089.0)</f>
        <v>1089</v>
      </c>
      <c r="M123" s="188">
        <f>IFERROR(__xludf.DUMMYFUNCTION("""COMPUTED_VALUE"""),143466.0)</f>
        <v>143466</v>
      </c>
      <c r="N123" s="188">
        <f>IFERROR(__xludf.DUMMYFUNCTION("""COMPUTED_VALUE"""),160611.0)</f>
        <v>160611</v>
      </c>
      <c r="O123" s="188">
        <f>IFERROR(__xludf.DUMMYFUNCTION("""COMPUTED_VALUE"""),5.0)</f>
        <v>5</v>
      </c>
      <c r="P123" s="188">
        <f>IFERROR(__xludf.DUMMYFUNCTION("""COMPUTED_VALUE"""),2051.0)</f>
        <v>2051</v>
      </c>
      <c r="Q123" s="188">
        <f>IFERROR(__xludf.DUMMYFUNCTION("""COMPUTED_VALUE"""),5.0)</f>
        <v>5</v>
      </c>
      <c r="R123" s="188">
        <f>IFERROR(__xludf.DUMMYFUNCTION("""COMPUTED_VALUE"""),1678.0)</f>
        <v>1678</v>
      </c>
      <c r="S123" s="188">
        <f>IFERROR(__xludf.DUMMYFUNCTION("""COMPUTED_VALUE"""),1.0)</f>
        <v>1</v>
      </c>
      <c r="T123" s="188">
        <f>IFERROR(__xludf.DUMMYFUNCTION("""COMPUTED_VALUE"""),304.0)</f>
        <v>304</v>
      </c>
      <c r="U123" s="188">
        <f>IFERROR(__xludf.DUMMYFUNCTION("""COMPUTED_VALUE"""),69.0)</f>
        <v>69</v>
      </c>
      <c r="V123" s="188">
        <f>IFERROR(__xludf.DUMMYFUNCTION("""COMPUTED_VALUE"""),70.0)</f>
        <v>70</v>
      </c>
      <c r="W123" s="188">
        <f>IFERROR(__xludf.DUMMYFUNCTION("""COMPUTED_VALUE"""),10.0)</f>
        <v>10</v>
      </c>
      <c r="X123" s="188">
        <f>IFERROR(__xludf.DUMMYFUNCTION("""COMPUTED_VALUE"""),10.0)</f>
        <v>10</v>
      </c>
      <c r="Y123" s="188">
        <f>IFERROR(__xludf.DUMMYFUNCTION("""COMPUTED_VALUE"""),2.0)</f>
        <v>2</v>
      </c>
      <c r="Z123" s="188">
        <f>IFERROR(__xludf.DUMMYFUNCTION("""COMPUTED_VALUE"""),974.0)</f>
        <v>974</v>
      </c>
    </row>
    <row r="124">
      <c r="A124" s="187">
        <f>IFERROR(__xludf.DUMMYFUNCTION("""COMPUTED_VALUE"""),44015.0)</f>
        <v>44015</v>
      </c>
      <c r="B124" s="188">
        <f>IFERROR(__xludf.DUMMYFUNCTION("""COMPUTED_VALUE"""),50.0)</f>
        <v>50</v>
      </c>
      <c r="C124" s="188">
        <f>IFERROR(__xludf.DUMMYFUNCTION("""COMPUTED_VALUE"""),99.0)</f>
        <v>99</v>
      </c>
      <c r="D124" s="188">
        <f>IFERROR(__xludf.DUMMYFUNCTION("""COMPUTED_VALUE"""),25027.0)</f>
        <v>25027</v>
      </c>
      <c r="E124" s="188">
        <f>IFERROR(__xludf.DUMMYFUNCTION("""COMPUTED_VALUE"""),2081.0)</f>
        <v>2081</v>
      </c>
      <c r="F124" s="149">
        <f>IFERROR(__xludf.DUMMYFUNCTION("""COMPUTED_VALUE"""),243432.0)</f>
        <v>243432</v>
      </c>
      <c r="G124" s="149">
        <f>IFERROR(__xludf.DUMMYFUNCTION("""COMPUTED_VALUE"""),2131.0)</f>
        <v>2131</v>
      </c>
      <c r="H124" s="149">
        <f>IFERROR(__xludf.DUMMYFUNCTION("""COMPUTED_VALUE"""),268459.0)</f>
        <v>268459</v>
      </c>
      <c r="I124" s="188">
        <f>IFERROR(__xludf.DUMMYFUNCTION("""COMPUTED_VALUE"""),26.0)</f>
        <v>26</v>
      </c>
      <c r="J124" s="188">
        <f>IFERROR(__xludf.DUMMYFUNCTION("""COMPUTED_VALUE"""),54.0)</f>
        <v>54</v>
      </c>
      <c r="K124" s="188">
        <f>IFERROR(__xludf.DUMMYFUNCTION("""COMPUTED_VALUE"""),17171.0)</f>
        <v>17171</v>
      </c>
      <c r="L124" s="188">
        <f>IFERROR(__xludf.DUMMYFUNCTION("""COMPUTED_VALUE"""),779.0)</f>
        <v>779</v>
      </c>
      <c r="M124" s="188">
        <f>IFERROR(__xludf.DUMMYFUNCTION("""COMPUTED_VALUE"""),144245.0)</f>
        <v>144245</v>
      </c>
      <c r="N124" s="188">
        <f>IFERROR(__xludf.DUMMYFUNCTION("""COMPUTED_VALUE"""),161416.0)</f>
        <v>161416</v>
      </c>
      <c r="O124" s="188">
        <f>IFERROR(__xludf.DUMMYFUNCTION("""COMPUTED_VALUE"""),9.0)</f>
        <v>9</v>
      </c>
      <c r="P124" s="188">
        <f>IFERROR(__xludf.DUMMYFUNCTION("""COMPUTED_VALUE"""),2060.0)</f>
        <v>2060</v>
      </c>
      <c r="Q124" s="188">
        <f>IFERROR(__xludf.DUMMYFUNCTION("""COMPUTED_VALUE"""),6.0)</f>
        <v>6</v>
      </c>
      <c r="R124" s="188">
        <f>IFERROR(__xludf.DUMMYFUNCTION("""COMPUTED_VALUE"""),1684.0)</f>
        <v>1684</v>
      </c>
      <c r="S124" s="188">
        <f>IFERROR(__xludf.DUMMYFUNCTION("""COMPUTED_VALUE"""),0.0)</f>
        <v>0</v>
      </c>
      <c r="T124" s="188">
        <f>IFERROR(__xludf.DUMMYFUNCTION("""COMPUTED_VALUE"""),304.0)</f>
        <v>304</v>
      </c>
      <c r="U124" s="188">
        <f>IFERROR(__xludf.DUMMYFUNCTION("""COMPUTED_VALUE"""),72.0)</f>
        <v>72</v>
      </c>
      <c r="V124" s="188">
        <f>IFERROR(__xludf.DUMMYFUNCTION("""COMPUTED_VALUE"""),70.0)</f>
        <v>70</v>
      </c>
      <c r="W124" s="188">
        <f>IFERROR(__xludf.DUMMYFUNCTION("""COMPUTED_VALUE"""),9.0)</f>
        <v>9</v>
      </c>
      <c r="X124" s="188">
        <f>IFERROR(__xludf.DUMMYFUNCTION("""COMPUTED_VALUE"""),9.0)</f>
        <v>9</v>
      </c>
      <c r="Y124" s="188">
        <f>IFERROR(__xludf.DUMMYFUNCTION("""COMPUTED_VALUE"""),3.0)</f>
        <v>3</v>
      </c>
      <c r="Z124" s="188">
        <f>IFERROR(__xludf.DUMMYFUNCTION("""COMPUTED_VALUE"""),977.0)</f>
        <v>977</v>
      </c>
    </row>
    <row r="125">
      <c r="A125" s="187">
        <f>IFERROR(__xludf.DUMMYFUNCTION("""COMPUTED_VALUE"""),44016.0)</f>
        <v>44016</v>
      </c>
      <c r="B125" s="188">
        <f>IFERROR(__xludf.DUMMYFUNCTION("""COMPUTED_VALUE"""),58.0)</f>
        <v>58</v>
      </c>
      <c r="C125" s="188">
        <f>IFERROR(__xludf.DUMMYFUNCTION("""COMPUTED_VALUE"""),70.0)</f>
        <v>70</v>
      </c>
      <c r="D125" s="188">
        <f>IFERROR(__xludf.DUMMYFUNCTION("""COMPUTED_VALUE"""),25085.0)</f>
        <v>25085</v>
      </c>
      <c r="E125" s="188">
        <f>IFERROR(__xludf.DUMMYFUNCTION("""COMPUTED_VALUE"""),2353.0)</f>
        <v>2353</v>
      </c>
      <c r="F125" s="149">
        <f>IFERROR(__xludf.DUMMYFUNCTION("""COMPUTED_VALUE"""),245785.0)</f>
        <v>245785</v>
      </c>
      <c r="G125" s="149">
        <f>IFERROR(__xludf.DUMMYFUNCTION("""COMPUTED_VALUE"""),2411.0)</f>
        <v>2411</v>
      </c>
      <c r="H125" s="149">
        <f>IFERROR(__xludf.DUMMYFUNCTION("""COMPUTED_VALUE"""),270870.0)</f>
        <v>270870</v>
      </c>
      <c r="I125" s="188">
        <f>IFERROR(__xludf.DUMMYFUNCTION("""COMPUTED_VALUE"""),34.0)</f>
        <v>34</v>
      </c>
      <c r="J125" s="188">
        <f>IFERROR(__xludf.DUMMYFUNCTION("""COMPUTED_VALUE"""),39.0)</f>
        <v>39</v>
      </c>
      <c r="K125" s="188">
        <f>IFERROR(__xludf.DUMMYFUNCTION("""COMPUTED_VALUE"""),17205.0)</f>
        <v>17205</v>
      </c>
      <c r="L125" s="188">
        <f>IFERROR(__xludf.DUMMYFUNCTION("""COMPUTED_VALUE"""),1011.0)</f>
        <v>1011</v>
      </c>
      <c r="M125" s="188">
        <f>IFERROR(__xludf.DUMMYFUNCTION("""COMPUTED_VALUE"""),145256.0)</f>
        <v>145256</v>
      </c>
      <c r="N125" s="188">
        <f>IFERROR(__xludf.DUMMYFUNCTION("""COMPUTED_VALUE"""),162461.0)</f>
        <v>162461</v>
      </c>
      <c r="O125" s="188">
        <f>IFERROR(__xludf.DUMMYFUNCTION("""COMPUTED_VALUE"""),2.0)</f>
        <v>2</v>
      </c>
      <c r="P125" s="188">
        <f>IFERROR(__xludf.DUMMYFUNCTION("""COMPUTED_VALUE"""),2062.0)</f>
        <v>2062</v>
      </c>
      <c r="Q125" s="188">
        <f>IFERROR(__xludf.DUMMYFUNCTION("""COMPUTED_VALUE"""),4.0)</f>
        <v>4</v>
      </c>
      <c r="R125" s="188">
        <f>IFERROR(__xludf.DUMMYFUNCTION("""COMPUTED_VALUE"""),1688.0)</f>
        <v>1688</v>
      </c>
      <c r="S125" s="188">
        <f>IFERROR(__xludf.DUMMYFUNCTION("""COMPUTED_VALUE"""),1.0)</f>
        <v>1</v>
      </c>
      <c r="T125" s="188">
        <f>IFERROR(__xludf.DUMMYFUNCTION("""COMPUTED_VALUE"""),305.0)</f>
        <v>305</v>
      </c>
      <c r="U125" s="188">
        <f>IFERROR(__xludf.DUMMYFUNCTION("""COMPUTED_VALUE"""),69.0)</f>
        <v>69</v>
      </c>
      <c r="V125" s="188">
        <f>IFERROR(__xludf.DUMMYFUNCTION("""COMPUTED_VALUE"""),70.0)</f>
        <v>70</v>
      </c>
      <c r="W125" s="188">
        <f>IFERROR(__xludf.DUMMYFUNCTION("""COMPUTED_VALUE"""),10.0)</f>
        <v>10</v>
      </c>
      <c r="X125" s="188">
        <f>IFERROR(__xludf.DUMMYFUNCTION("""COMPUTED_VALUE"""),9.0)</f>
        <v>9</v>
      </c>
      <c r="Y125" s="188">
        <f>IFERROR(__xludf.DUMMYFUNCTION("""COMPUTED_VALUE"""),2.0)</f>
        <v>2</v>
      </c>
      <c r="Z125" s="188">
        <f>IFERROR(__xludf.DUMMYFUNCTION("""COMPUTED_VALUE"""),979.0)</f>
        <v>979</v>
      </c>
    </row>
    <row r="126">
      <c r="A126" s="187">
        <f>IFERROR(__xludf.DUMMYFUNCTION("""COMPUTED_VALUE"""),44017.0)</f>
        <v>44017</v>
      </c>
      <c r="B126" s="188">
        <f>IFERROR(__xludf.DUMMYFUNCTION("""COMPUTED_VALUE"""),51.0)</f>
        <v>51</v>
      </c>
      <c r="C126" s="188">
        <f>IFERROR(__xludf.DUMMYFUNCTION("""COMPUTED_VALUE"""),53.0)</f>
        <v>53</v>
      </c>
      <c r="D126" s="188">
        <f>IFERROR(__xludf.DUMMYFUNCTION("""COMPUTED_VALUE"""),25136.0)</f>
        <v>25136</v>
      </c>
      <c r="E126" s="188">
        <f>IFERROR(__xludf.DUMMYFUNCTION("""COMPUTED_VALUE"""),2939.0)</f>
        <v>2939</v>
      </c>
      <c r="F126" s="149">
        <f>IFERROR(__xludf.DUMMYFUNCTION("""COMPUTED_VALUE"""),248724.0)</f>
        <v>248724</v>
      </c>
      <c r="G126" s="149">
        <f>IFERROR(__xludf.DUMMYFUNCTION("""COMPUTED_VALUE"""),2990.0)</f>
        <v>2990</v>
      </c>
      <c r="H126" s="149">
        <f>IFERROR(__xludf.DUMMYFUNCTION("""COMPUTED_VALUE"""),273860.0)</f>
        <v>273860</v>
      </c>
      <c r="I126" s="188">
        <f>IFERROR(__xludf.DUMMYFUNCTION("""COMPUTED_VALUE"""),26.0)</f>
        <v>26</v>
      </c>
      <c r="J126" s="188">
        <f>IFERROR(__xludf.DUMMYFUNCTION("""COMPUTED_VALUE"""),29.0)</f>
        <v>29</v>
      </c>
      <c r="K126" s="188">
        <f>IFERROR(__xludf.DUMMYFUNCTION("""COMPUTED_VALUE"""),17231.0)</f>
        <v>17231</v>
      </c>
      <c r="L126" s="188">
        <f>IFERROR(__xludf.DUMMYFUNCTION("""COMPUTED_VALUE"""),1448.0)</f>
        <v>1448</v>
      </c>
      <c r="M126" s="188">
        <f>IFERROR(__xludf.DUMMYFUNCTION("""COMPUTED_VALUE"""),146704.0)</f>
        <v>146704</v>
      </c>
      <c r="N126" s="188">
        <f>IFERROR(__xludf.DUMMYFUNCTION("""COMPUTED_VALUE"""),163935.0)</f>
        <v>163935</v>
      </c>
      <c r="O126" s="188">
        <f>IFERROR(__xludf.DUMMYFUNCTION("""COMPUTED_VALUE"""),1.0)</f>
        <v>1</v>
      </c>
      <c r="P126" s="188">
        <f>IFERROR(__xludf.DUMMYFUNCTION("""COMPUTED_VALUE"""),2063.0)</f>
        <v>2063</v>
      </c>
      <c r="Q126" s="188">
        <f>IFERROR(__xludf.DUMMYFUNCTION("""COMPUTED_VALUE"""),2.0)</f>
        <v>2</v>
      </c>
      <c r="R126" s="188">
        <f>IFERROR(__xludf.DUMMYFUNCTION("""COMPUTED_VALUE"""),1690.0)</f>
        <v>1690</v>
      </c>
      <c r="S126" s="188">
        <f>IFERROR(__xludf.DUMMYFUNCTION("""COMPUTED_VALUE"""),1.0)</f>
        <v>1</v>
      </c>
      <c r="T126" s="188">
        <f>IFERROR(__xludf.DUMMYFUNCTION("""COMPUTED_VALUE"""),306.0)</f>
        <v>306</v>
      </c>
      <c r="U126" s="188">
        <f>IFERROR(__xludf.DUMMYFUNCTION("""COMPUTED_VALUE"""),67.0)</f>
        <v>67</v>
      </c>
      <c r="V126" s="188">
        <f>IFERROR(__xludf.DUMMYFUNCTION("""COMPUTED_VALUE"""),69.0)</f>
        <v>69</v>
      </c>
      <c r="W126" s="188">
        <f>IFERROR(__xludf.DUMMYFUNCTION("""COMPUTED_VALUE"""),8.0)</f>
        <v>8</v>
      </c>
      <c r="X126" s="188">
        <f>IFERROR(__xludf.DUMMYFUNCTION("""COMPUTED_VALUE"""),8.0)</f>
        <v>8</v>
      </c>
      <c r="Y126" s="188">
        <f>IFERROR(__xludf.DUMMYFUNCTION("""COMPUTED_VALUE"""),2.0)</f>
        <v>2</v>
      </c>
      <c r="Z126" s="188">
        <f>IFERROR(__xludf.DUMMYFUNCTION("""COMPUTED_VALUE"""),981.0)</f>
        <v>981</v>
      </c>
    </row>
    <row r="127">
      <c r="A127" s="187">
        <f>IFERROR(__xludf.DUMMYFUNCTION("""COMPUTED_VALUE"""),44018.0)</f>
        <v>44018</v>
      </c>
      <c r="B127" s="188">
        <f>IFERROR(__xludf.DUMMYFUNCTION("""COMPUTED_VALUE"""),102.0)</f>
        <v>102</v>
      </c>
      <c r="C127" s="188">
        <f>IFERROR(__xludf.DUMMYFUNCTION("""COMPUTED_VALUE"""),70.0)</f>
        <v>70</v>
      </c>
      <c r="D127" s="188">
        <f>IFERROR(__xludf.DUMMYFUNCTION("""COMPUTED_VALUE"""),25238.0)</f>
        <v>25238</v>
      </c>
      <c r="E127" s="188">
        <f>IFERROR(__xludf.DUMMYFUNCTION("""COMPUTED_VALUE"""),2821.0)</f>
        <v>2821</v>
      </c>
      <c r="F127" s="149">
        <f>IFERROR(__xludf.DUMMYFUNCTION("""COMPUTED_VALUE"""),251545.0)</f>
        <v>251545</v>
      </c>
      <c r="G127" s="149">
        <f>IFERROR(__xludf.DUMMYFUNCTION("""COMPUTED_VALUE"""),2923.0)</f>
        <v>2923</v>
      </c>
      <c r="H127" s="149">
        <f>IFERROR(__xludf.DUMMYFUNCTION("""COMPUTED_VALUE"""),276783.0)</f>
        <v>276783</v>
      </c>
      <c r="I127" s="188">
        <f>IFERROR(__xludf.DUMMYFUNCTION("""COMPUTED_VALUE"""),58.0)</f>
        <v>58</v>
      </c>
      <c r="J127" s="188">
        <f>IFERROR(__xludf.DUMMYFUNCTION("""COMPUTED_VALUE"""),39.0)</f>
        <v>39</v>
      </c>
      <c r="K127" s="188">
        <f>IFERROR(__xludf.DUMMYFUNCTION("""COMPUTED_VALUE"""),17289.0)</f>
        <v>17289</v>
      </c>
      <c r="L127" s="188">
        <f>IFERROR(__xludf.DUMMYFUNCTION("""COMPUTED_VALUE"""),1553.0)</f>
        <v>1553</v>
      </c>
      <c r="M127" s="188">
        <f>IFERROR(__xludf.DUMMYFUNCTION("""COMPUTED_VALUE"""),148257.0)</f>
        <v>148257</v>
      </c>
      <c r="N127" s="188">
        <f>IFERROR(__xludf.DUMMYFUNCTION("""COMPUTED_VALUE"""),165546.0)</f>
        <v>165546</v>
      </c>
      <c r="O127" s="188">
        <f>IFERROR(__xludf.DUMMYFUNCTION("""COMPUTED_VALUE"""),6.0)</f>
        <v>6</v>
      </c>
      <c r="P127" s="188">
        <f>IFERROR(__xludf.DUMMYFUNCTION("""COMPUTED_VALUE"""),2069.0)</f>
        <v>2069</v>
      </c>
      <c r="Q127" s="188">
        <f>IFERROR(__xludf.DUMMYFUNCTION("""COMPUTED_VALUE"""),6.0)</f>
        <v>6</v>
      </c>
      <c r="R127" s="188">
        <f>IFERROR(__xludf.DUMMYFUNCTION("""COMPUTED_VALUE"""),1696.0)</f>
        <v>1696</v>
      </c>
      <c r="S127" s="188">
        <f>IFERROR(__xludf.DUMMYFUNCTION("""COMPUTED_VALUE"""),0.0)</f>
        <v>0</v>
      </c>
      <c r="T127" s="188">
        <f>IFERROR(__xludf.DUMMYFUNCTION("""COMPUTED_VALUE"""),306.0)</f>
        <v>306</v>
      </c>
      <c r="U127" s="188">
        <f>IFERROR(__xludf.DUMMYFUNCTION("""COMPUTED_VALUE"""),67.0)</f>
        <v>67</v>
      </c>
      <c r="V127" s="188">
        <f>IFERROR(__xludf.DUMMYFUNCTION("""COMPUTED_VALUE"""),68.0)</f>
        <v>68</v>
      </c>
      <c r="W127" s="188">
        <f>IFERROR(__xludf.DUMMYFUNCTION("""COMPUTED_VALUE"""),9.0)</f>
        <v>9</v>
      </c>
      <c r="X127" s="188">
        <f>IFERROR(__xludf.DUMMYFUNCTION("""COMPUTED_VALUE"""),9.0)</f>
        <v>9</v>
      </c>
      <c r="Y127" s="188">
        <f>IFERROR(__xludf.DUMMYFUNCTION("""COMPUTED_VALUE"""),4.0)</f>
        <v>4</v>
      </c>
      <c r="Z127" s="188">
        <f>IFERROR(__xludf.DUMMYFUNCTION("""COMPUTED_VALUE"""),985.0)</f>
        <v>985</v>
      </c>
    </row>
    <row r="128">
      <c r="A128" s="187">
        <f>IFERROR(__xludf.DUMMYFUNCTION("""COMPUTED_VALUE"""),44019.0)</f>
        <v>44019</v>
      </c>
      <c r="B128" s="188">
        <f>IFERROR(__xludf.DUMMYFUNCTION("""COMPUTED_VALUE"""),82.0)</f>
        <v>82</v>
      </c>
      <c r="C128" s="188">
        <f>IFERROR(__xludf.DUMMYFUNCTION("""COMPUTED_VALUE"""),78.0)</f>
        <v>78</v>
      </c>
      <c r="D128" s="188">
        <f>IFERROR(__xludf.DUMMYFUNCTION("""COMPUTED_VALUE"""),25320.0)</f>
        <v>25320</v>
      </c>
      <c r="E128" s="188">
        <f>IFERROR(__xludf.DUMMYFUNCTION("""COMPUTED_VALUE"""),3470.0)</f>
        <v>3470</v>
      </c>
      <c r="F128" s="149">
        <f>IFERROR(__xludf.DUMMYFUNCTION("""COMPUTED_VALUE"""),255015.0)</f>
        <v>255015</v>
      </c>
      <c r="G128" s="149">
        <f>IFERROR(__xludf.DUMMYFUNCTION("""COMPUTED_VALUE"""),3552.0)</f>
        <v>3552</v>
      </c>
      <c r="H128" s="149">
        <f>IFERROR(__xludf.DUMMYFUNCTION("""COMPUTED_VALUE"""),280335.0)</f>
        <v>280335</v>
      </c>
      <c r="I128" s="188">
        <f>IFERROR(__xludf.DUMMYFUNCTION("""COMPUTED_VALUE"""),48.0)</f>
        <v>48</v>
      </c>
      <c r="J128" s="188">
        <f>IFERROR(__xludf.DUMMYFUNCTION("""COMPUTED_VALUE"""),44.0)</f>
        <v>44</v>
      </c>
      <c r="K128" s="188">
        <f>IFERROR(__xludf.DUMMYFUNCTION("""COMPUTED_VALUE"""),17337.0)</f>
        <v>17337</v>
      </c>
      <c r="L128" s="188">
        <f>IFERROR(__xludf.DUMMYFUNCTION("""COMPUTED_VALUE"""),1536.0)</f>
        <v>1536</v>
      </c>
      <c r="M128" s="188">
        <f>IFERROR(__xludf.DUMMYFUNCTION("""COMPUTED_VALUE"""),149793.0)</f>
        <v>149793</v>
      </c>
      <c r="N128" s="188">
        <f>IFERROR(__xludf.DUMMYFUNCTION("""COMPUTED_VALUE"""),167130.0)</f>
        <v>167130</v>
      </c>
      <c r="O128" s="188">
        <f>IFERROR(__xludf.DUMMYFUNCTION("""COMPUTED_VALUE"""),5.0)</f>
        <v>5</v>
      </c>
      <c r="P128" s="188">
        <f>IFERROR(__xludf.DUMMYFUNCTION("""COMPUTED_VALUE"""),2074.0)</f>
        <v>2074</v>
      </c>
      <c r="Q128" s="188">
        <f>IFERROR(__xludf.DUMMYFUNCTION("""COMPUTED_VALUE"""),7.0)</f>
        <v>7</v>
      </c>
      <c r="R128" s="188">
        <f>IFERROR(__xludf.DUMMYFUNCTION("""COMPUTED_VALUE"""),1703.0)</f>
        <v>1703</v>
      </c>
      <c r="S128" s="188">
        <f>IFERROR(__xludf.DUMMYFUNCTION("""COMPUTED_VALUE"""),0.0)</f>
        <v>0</v>
      </c>
      <c r="T128" s="188">
        <f>IFERROR(__xludf.DUMMYFUNCTION("""COMPUTED_VALUE"""),306.0)</f>
        <v>306</v>
      </c>
      <c r="U128" s="188">
        <f>IFERROR(__xludf.DUMMYFUNCTION("""COMPUTED_VALUE"""),65.0)</f>
        <v>65</v>
      </c>
      <c r="V128" s="188">
        <f>IFERROR(__xludf.DUMMYFUNCTION("""COMPUTED_VALUE"""),66.0)</f>
        <v>66</v>
      </c>
      <c r="W128" s="188">
        <f>IFERROR(__xludf.DUMMYFUNCTION("""COMPUTED_VALUE"""),8.0)</f>
        <v>8</v>
      </c>
      <c r="X128" s="188">
        <f>IFERROR(__xludf.DUMMYFUNCTION("""COMPUTED_VALUE"""),8.0)</f>
        <v>8</v>
      </c>
      <c r="Y128" s="188">
        <f>IFERROR(__xludf.DUMMYFUNCTION("""COMPUTED_VALUE"""),2.0)</f>
        <v>2</v>
      </c>
      <c r="Z128" s="188">
        <f>IFERROR(__xludf.DUMMYFUNCTION("""COMPUTED_VALUE"""),987.0)</f>
        <v>987</v>
      </c>
    </row>
    <row r="129">
      <c r="A129" s="187">
        <f>IFERROR(__xludf.DUMMYFUNCTION("""COMPUTED_VALUE"""),44020.0)</f>
        <v>44020</v>
      </c>
      <c r="B129" s="188">
        <f>IFERROR(__xludf.DUMMYFUNCTION("""COMPUTED_VALUE"""),105.0)</f>
        <v>105</v>
      </c>
      <c r="C129" s="188">
        <f>IFERROR(__xludf.DUMMYFUNCTION("""COMPUTED_VALUE"""),96.0)</f>
        <v>96</v>
      </c>
      <c r="D129" s="188">
        <f>IFERROR(__xludf.DUMMYFUNCTION("""COMPUTED_VALUE"""),25425.0)</f>
        <v>25425</v>
      </c>
      <c r="E129" s="188">
        <f>IFERROR(__xludf.DUMMYFUNCTION("""COMPUTED_VALUE"""),3417.0)</f>
        <v>3417</v>
      </c>
      <c r="F129" s="149">
        <f>IFERROR(__xludf.DUMMYFUNCTION("""COMPUTED_VALUE"""),258432.0)</f>
        <v>258432</v>
      </c>
      <c r="G129" s="149">
        <f>IFERROR(__xludf.DUMMYFUNCTION("""COMPUTED_VALUE"""),3522.0)</f>
        <v>3522</v>
      </c>
      <c r="H129" s="149">
        <f>IFERROR(__xludf.DUMMYFUNCTION("""COMPUTED_VALUE"""),283857.0)</f>
        <v>283857</v>
      </c>
      <c r="I129" s="188">
        <f>IFERROR(__xludf.DUMMYFUNCTION("""COMPUTED_VALUE"""),65.0)</f>
        <v>65</v>
      </c>
      <c r="J129" s="188">
        <f>IFERROR(__xludf.DUMMYFUNCTION("""COMPUTED_VALUE"""),57.0)</f>
        <v>57</v>
      </c>
      <c r="K129" s="188">
        <f>IFERROR(__xludf.DUMMYFUNCTION("""COMPUTED_VALUE"""),17402.0)</f>
        <v>17402</v>
      </c>
      <c r="L129" s="188">
        <f>IFERROR(__xludf.DUMMYFUNCTION("""COMPUTED_VALUE"""),1426.0)</f>
        <v>1426</v>
      </c>
      <c r="M129" s="188">
        <f>IFERROR(__xludf.DUMMYFUNCTION("""COMPUTED_VALUE"""),151219.0)</f>
        <v>151219</v>
      </c>
      <c r="N129" s="188">
        <f>IFERROR(__xludf.DUMMYFUNCTION("""COMPUTED_VALUE"""),168621.0)</f>
        <v>168621</v>
      </c>
      <c r="O129" s="188">
        <f>IFERROR(__xludf.DUMMYFUNCTION("""COMPUTED_VALUE"""),4.0)</f>
        <v>4</v>
      </c>
      <c r="P129" s="188">
        <f>IFERROR(__xludf.DUMMYFUNCTION("""COMPUTED_VALUE"""),2078.0)</f>
        <v>2078</v>
      </c>
      <c r="Q129" s="188">
        <f>IFERROR(__xludf.DUMMYFUNCTION("""COMPUTED_VALUE"""),2.0)</f>
        <v>2</v>
      </c>
      <c r="R129" s="188">
        <f>IFERROR(__xludf.DUMMYFUNCTION("""COMPUTED_VALUE"""),1705.0)</f>
        <v>1705</v>
      </c>
      <c r="S129" s="188">
        <f>IFERROR(__xludf.DUMMYFUNCTION("""COMPUTED_VALUE"""),0.0)</f>
        <v>0</v>
      </c>
      <c r="T129" s="188">
        <f>IFERROR(__xludf.DUMMYFUNCTION("""COMPUTED_VALUE"""),306.0)</f>
        <v>306</v>
      </c>
      <c r="U129" s="188">
        <f>IFERROR(__xludf.DUMMYFUNCTION("""COMPUTED_VALUE"""),67.0)</f>
        <v>67</v>
      </c>
      <c r="V129" s="188">
        <f>IFERROR(__xludf.DUMMYFUNCTION("""COMPUTED_VALUE"""),66.0)</f>
        <v>66</v>
      </c>
      <c r="W129" s="188">
        <f>IFERROR(__xludf.DUMMYFUNCTION("""COMPUTED_VALUE"""),9.0)</f>
        <v>9</v>
      </c>
      <c r="X129" s="188">
        <f>IFERROR(__xludf.DUMMYFUNCTION("""COMPUTED_VALUE"""),8.0)</f>
        <v>8</v>
      </c>
      <c r="Y129" s="188">
        <f>IFERROR(__xludf.DUMMYFUNCTION("""COMPUTED_VALUE"""),0.0)</f>
        <v>0</v>
      </c>
      <c r="Z129" s="188">
        <f>IFERROR(__xludf.DUMMYFUNCTION("""COMPUTED_VALUE"""),987.0)</f>
        <v>987</v>
      </c>
    </row>
    <row r="130">
      <c r="A130" s="187">
        <f>IFERROR(__xludf.DUMMYFUNCTION("""COMPUTED_VALUE"""),44021.0)</f>
        <v>44021</v>
      </c>
      <c r="B130" s="188">
        <f>IFERROR(__xludf.DUMMYFUNCTION("""COMPUTED_VALUE"""),96.0)</f>
        <v>96</v>
      </c>
      <c r="C130" s="188">
        <f>IFERROR(__xludf.DUMMYFUNCTION("""COMPUTED_VALUE"""),94.0)</f>
        <v>94</v>
      </c>
      <c r="D130" s="188">
        <f>IFERROR(__xludf.DUMMYFUNCTION("""COMPUTED_VALUE"""),25521.0)</f>
        <v>25521</v>
      </c>
      <c r="E130" s="188">
        <f>IFERROR(__xludf.DUMMYFUNCTION("""COMPUTED_VALUE"""),3730.0)</f>
        <v>3730</v>
      </c>
      <c r="F130" s="149">
        <f>IFERROR(__xludf.DUMMYFUNCTION("""COMPUTED_VALUE"""),262162.0)</f>
        <v>262162</v>
      </c>
      <c r="G130" s="149">
        <f>IFERROR(__xludf.DUMMYFUNCTION("""COMPUTED_VALUE"""),3826.0)</f>
        <v>3826</v>
      </c>
      <c r="H130" s="149">
        <f>IFERROR(__xludf.DUMMYFUNCTION("""COMPUTED_VALUE"""),287683.0)</f>
        <v>287683</v>
      </c>
      <c r="I130" s="188">
        <f>IFERROR(__xludf.DUMMYFUNCTION("""COMPUTED_VALUE"""),51.0)</f>
        <v>51</v>
      </c>
      <c r="J130" s="188">
        <f>IFERROR(__xludf.DUMMYFUNCTION("""COMPUTED_VALUE"""),55.0)</f>
        <v>55</v>
      </c>
      <c r="K130" s="188">
        <f>IFERROR(__xludf.DUMMYFUNCTION("""COMPUTED_VALUE"""),17453.0)</f>
        <v>17453</v>
      </c>
      <c r="L130" s="188">
        <f>IFERROR(__xludf.DUMMYFUNCTION("""COMPUTED_VALUE"""),1631.0)</f>
        <v>1631</v>
      </c>
      <c r="M130" s="188">
        <f>IFERROR(__xludf.DUMMYFUNCTION("""COMPUTED_VALUE"""),152850.0)</f>
        <v>152850</v>
      </c>
      <c r="N130" s="188">
        <f>IFERROR(__xludf.DUMMYFUNCTION("""COMPUTED_VALUE"""),170303.0)</f>
        <v>170303</v>
      </c>
      <c r="O130" s="188">
        <f>IFERROR(__xludf.DUMMYFUNCTION("""COMPUTED_VALUE"""),9.0)</f>
        <v>9</v>
      </c>
      <c r="P130" s="188">
        <f>IFERROR(__xludf.DUMMYFUNCTION("""COMPUTED_VALUE"""),2087.0)</f>
        <v>2087</v>
      </c>
      <c r="Q130" s="188">
        <f>IFERROR(__xludf.DUMMYFUNCTION("""COMPUTED_VALUE"""),3.0)</f>
        <v>3</v>
      </c>
      <c r="R130" s="188">
        <f>IFERROR(__xludf.DUMMYFUNCTION("""COMPUTED_VALUE"""),1708.0)</f>
        <v>1708</v>
      </c>
      <c r="S130" s="188">
        <f>IFERROR(__xludf.DUMMYFUNCTION("""COMPUTED_VALUE"""),0.0)</f>
        <v>0</v>
      </c>
      <c r="T130" s="188">
        <f>IFERROR(__xludf.DUMMYFUNCTION("""COMPUTED_VALUE"""),306.0)</f>
        <v>306</v>
      </c>
      <c r="U130" s="188">
        <f>IFERROR(__xludf.DUMMYFUNCTION("""COMPUTED_VALUE"""),73.0)</f>
        <v>73</v>
      </c>
      <c r="V130" s="188">
        <f>IFERROR(__xludf.DUMMYFUNCTION("""COMPUTED_VALUE"""),68.0)</f>
        <v>68</v>
      </c>
      <c r="W130" s="188">
        <f>IFERROR(__xludf.DUMMYFUNCTION("""COMPUTED_VALUE"""),9.0)</f>
        <v>9</v>
      </c>
      <c r="X130" s="188">
        <f>IFERROR(__xludf.DUMMYFUNCTION("""COMPUTED_VALUE"""),8.0)</f>
        <v>8</v>
      </c>
      <c r="Y130" s="188">
        <f>IFERROR(__xludf.DUMMYFUNCTION("""COMPUTED_VALUE"""),0.0)</f>
        <v>0</v>
      </c>
      <c r="Z130" s="188">
        <f>IFERROR(__xludf.DUMMYFUNCTION("""COMPUTED_VALUE"""),987.0)</f>
        <v>987</v>
      </c>
    </row>
    <row r="131">
      <c r="A131" s="187">
        <f>IFERROR(__xludf.DUMMYFUNCTION("""COMPUTED_VALUE"""),44022.0)</f>
        <v>44022</v>
      </c>
      <c r="B131" s="188">
        <f>IFERROR(__xludf.DUMMYFUNCTION("""COMPUTED_VALUE"""),131.0)</f>
        <v>131</v>
      </c>
      <c r="C131" s="188">
        <f>IFERROR(__xludf.DUMMYFUNCTION("""COMPUTED_VALUE"""),111.0)</f>
        <v>111</v>
      </c>
      <c r="D131" s="188">
        <f>IFERROR(__xludf.DUMMYFUNCTION("""COMPUTED_VALUE"""),25652.0)</f>
        <v>25652</v>
      </c>
      <c r="E131" s="188">
        <f>IFERROR(__xludf.DUMMYFUNCTION("""COMPUTED_VALUE"""),4454.0)</f>
        <v>4454</v>
      </c>
      <c r="F131" s="149">
        <f>IFERROR(__xludf.DUMMYFUNCTION("""COMPUTED_VALUE"""),266616.0)</f>
        <v>266616</v>
      </c>
      <c r="G131" s="149">
        <f>IFERROR(__xludf.DUMMYFUNCTION("""COMPUTED_VALUE"""),4585.0)</f>
        <v>4585</v>
      </c>
      <c r="H131" s="149">
        <f>IFERROR(__xludf.DUMMYFUNCTION("""COMPUTED_VALUE"""),292268.0)</f>
        <v>292268</v>
      </c>
      <c r="I131" s="188">
        <f>IFERROR(__xludf.DUMMYFUNCTION("""COMPUTED_VALUE"""),80.0)</f>
        <v>80</v>
      </c>
      <c r="J131" s="188">
        <f>IFERROR(__xludf.DUMMYFUNCTION("""COMPUTED_VALUE"""),65.0)</f>
        <v>65</v>
      </c>
      <c r="K131" s="188">
        <f>IFERROR(__xludf.DUMMYFUNCTION("""COMPUTED_VALUE"""),17533.0)</f>
        <v>17533</v>
      </c>
      <c r="L131" s="188">
        <f>IFERROR(__xludf.DUMMYFUNCTION("""COMPUTED_VALUE"""),2083.0)</f>
        <v>2083</v>
      </c>
      <c r="M131" s="188">
        <f>IFERROR(__xludf.DUMMYFUNCTION("""COMPUTED_VALUE"""),154933.0)</f>
        <v>154933</v>
      </c>
      <c r="N131" s="188">
        <f>IFERROR(__xludf.DUMMYFUNCTION("""COMPUTED_VALUE"""),172466.0)</f>
        <v>172466</v>
      </c>
      <c r="O131" s="188">
        <f>IFERROR(__xludf.DUMMYFUNCTION("""COMPUTED_VALUE"""),6.0)</f>
        <v>6</v>
      </c>
      <c r="P131" s="188">
        <f>IFERROR(__xludf.DUMMYFUNCTION("""COMPUTED_VALUE"""),2093.0)</f>
        <v>2093</v>
      </c>
      <c r="Q131" s="188">
        <f>IFERROR(__xludf.DUMMYFUNCTION("""COMPUTED_VALUE"""),3.0)</f>
        <v>3</v>
      </c>
      <c r="R131" s="188">
        <f>IFERROR(__xludf.DUMMYFUNCTION("""COMPUTED_VALUE"""),1711.0)</f>
        <v>1711</v>
      </c>
      <c r="S131" s="188">
        <f>IFERROR(__xludf.DUMMYFUNCTION("""COMPUTED_VALUE"""),2.0)</f>
        <v>2</v>
      </c>
      <c r="T131" s="188">
        <f>IFERROR(__xludf.DUMMYFUNCTION("""COMPUTED_VALUE"""),308.0)</f>
        <v>308</v>
      </c>
      <c r="U131" s="188">
        <f>IFERROR(__xludf.DUMMYFUNCTION("""COMPUTED_VALUE"""),74.0)</f>
        <v>74</v>
      </c>
      <c r="V131" s="188">
        <f>IFERROR(__xludf.DUMMYFUNCTION("""COMPUTED_VALUE"""),71.0)</f>
        <v>71</v>
      </c>
      <c r="W131" s="188">
        <f>IFERROR(__xludf.DUMMYFUNCTION("""COMPUTED_VALUE"""),7.0)</f>
        <v>7</v>
      </c>
      <c r="X131" s="188">
        <f>IFERROR(__xludf.DUMMYFUNCTION("""COMPUTED_VALUE"""),7.0)</f>
        <v>7</v>
      </c>
      <c r="Y131" s="188">
        <f>IFERROR(__xludf.DUMMYFUNCTION("""COMPUTED_VALUE"""),3.0)</f>
        <v>3</v>
      </c>
      <c r="Z131" s="188">
        <f>IFERROR(__xludf.DUMMYFUNCTION("""COMPUTED_VALUE"""),990.0)</f>
        <v>990</v>
      </c>
    </row>
    <row r="132">
      <c r="A132" s="187">
        <f>IFERROR(__xludf.DUMMYFUNCTION("""COMPUTED_VALUE"""),44023.0)</f>
        <v>44023</v>
      </c>
      <c r="B132" s="188">
        <f>IFERROR(__xludf.DUMMYFUNCTION("""COMPUTED_VALUE"""),64.0)</f>
        <v>64</v>
      </c>
      <c r="C132" s="188">
        <f>IFERROR(__xludf.DUMMYFUNCTION("""COMPUTED_VALUE"""),97.0)</f>
        <v>97</v>
      </c>
      <c r="D132" s="188">
        <f>IFERROR(__xludf.DUMMYFUNCTION("""COMPUTED_VALUE"""),25716.0)</f>
        <v>25716</v>
      </c>
      <c r="E132" s="188">
        <f>IFERROR(__xludf.DUMMYFUNCTION("""COMPUTED_VALUE"""),2944.0)</f>
        <v>2944</v>
      </c>
      <c r="F132" s="149">
        <f>IFERROR(__xludf.DUMMYFUNCTION("""COMPUTED_VALUE"""),269560.0)</f>
        <v>269560</v>
      </c>
      <c r="G132" s="149">
        <f>IFERROR(__xludf.DUMMYFUNCTION("""COMPUTED_VALUE"""),3008.0)</f>
        <v>3008</v>
      </c>
      <c r="H132" s="149">
        <f>IFERROR(__xludf.DUMMYFUNCTION("""COMPUTED_VALUE"""),295276.0)</f>
        <v>295276</v>
      </c>
      <c r="I132" s="188">
        <f>IFERROR(__xludf.DUMMYFUNCTION("""COMPUTED_VALUE"""),34.0)</f>
        <v>34</v>
      </c>
      <c r="J132" s="188">
        <f>IFERROR(__xludf.DUMMYFUNCTION("""COMPUTED_VALUE"""),55.0)</f>
        <v>55</v>
      </c>
      <c r="K132" s="188">
        <f>IFERROR(__xludf.DUMMYFUNCTION("""COMPUTED_VALUE"""),17567.0)</f>
        <v>17567</v>
      </c>
      <c r="L132" s="188">
        <f>IFERROR(__xludf.DUMMYFUNCTION("""COMPUTED_VALUE"""),1319.0)</f>
        <v>1319</v>
      </c>
      <c r="M132" s="188">
        <f>IFERROR(__xludf.DUMMYFUNCTION("""COMPUTED_VALUE"""),156252.0)</f>
        <v>156252</v>
      </c>
      <c r="N132" s="188">
        <f>IFERROR(__xludf.DUMMYFUNCTION("""COMPUTED_VALUE"""),173819.0)</f>
        <v>173819</v>
      </c>
      <c r="O132" s="188">
        <f>IFERROR(__xludf.DUMMYFUNCTION("""COMPUTED_VALUE"""),6.0)</f>
        <v>6</v>
      </c>
      <c r="P132" s="188">
        <f>IFERROR(__xludf.DUMMYFUNCTION("""COMPUTED_VALUE"""),2099.0)</f>
        <v>2099</v>
      </c>
      <c r="Q132" s="188">
        <f>IFERROR(__xludf.DUMMYFUNCTION("""COMPUTED_VALUE"""),3.0)</f>
        <v>3</v>
      </c>
      <c r="R132" s="188">
        <f>IFERROR(__xludf.DUMMYFUNCTION("""COMPUTED_VALUE"""),1714.0)</f>
        <v>1714</v>
      </c>
      <c r="S132" s="188">
        <f>IFERROR(__xludf.DUMMYFUNCTION("""COMPUTED_VALUE"""),1.0)</f>
        <v>1</v>
      </c>
      <c r="T132" s="188">
        <f>IFERROR(__xludf.DUMMYFUNCTION("""COMPUTED_VALUE"""),309.0)</f>
        <v>309</v>
      </c>
      <c r="U132" s="188">
        <f>IFERROR(__xludf.DUMMYFUNCTION("""COMPUTED_VALUE"""),76.0)</f>
        <v>76</v>
      </c>
      <c r="V132" s="188">
        <f>IFERROR(__xludf.DUMMYFUNCTION("""COMPUTED_VALUE"""),74.0)</f>
        <v>74</v>
      </c>
      <c r="W132" s="188">
        <f>IFERROR(__xludf.DUMMYFUNCTION("""COMPUTED_VALUE"""),6.0)</f>
        <v>6</v>
      </c>
      <c r="X132" s="188">
        <f>IFERROR(__xludf.DUMMYFUNCTION("""COMPUTED_VALUE"""),6.0)</f>
        <v>6</v>
      </c>
      <c r="Y132" s="188">
        <f>IFERROR(__xludf.DUMMYFUNCTION("""COMPUTED_VALUE"""),3.0)</f>
        <v>3</v>
      </c>
      <c r="Z132" s="188">
        <f>IFERROR(__xludf.DUMMYFUNCTION("""COMPUTED_VALUE"""),993.0)</f>
        <v>993</v>
      </c>
    </row>
    <row r="133">
      <c r="A133" s="187">
        <f>IFERROR(__xludf.DUMMYFUNCTION("""COMPUTED_VALUE"""),44024.0)</f>
        <v>44024</v>
      </c>
      <c r="B133" s="188">
        <f>IFERROR(__xludf.DUMMYFUNCTION("""COMPUTED_VALUE"""),47.0)</f>
        <v>47</v>
      </c>
      <c r="C133" s="188">
        <f>IFERROR(__xludf.DUMMYFUNCTION("""COMPUTED_VALUE"""),81.0)</f>
        <v>81</v>
      </c>
      <c r="D133" s="188">
        <f>IFERROR(__xludf.DUMMYFUNCTION("""COMPUTED_VALUE"""),25763.0)</f>
        <v>25763</v>
      </c>
      <c r="E133" s="188">
        <f>IFERROR(__xludf.DUMMYFUNCTION("""COMPUTED_VALUE"""),1846.0)</f>
        <v>1846</v>
      </c>
      <c r="F133" s="149">
        <f>IFERROR(__xludf.DUMMYFUNCTION("""COMPUTED_VALUE"""),271406.0)</f>
        <v>271406</v>
      </c>
      <c r="G133" s="149">
        <f>IFERROR(__xludf.DUMMYFUNCTION("""COMPUTED_VALUE"""),1893.0)</f>
        <v>1893</v>
      </c>
      <c r="H133" s="149">
        <f>IFERROR(__xludf.DUMMYFUNCTION("""COMPUTED_VALUE"""),297169.0)</f>
        <v>297169</v>
      </c>
      <c r="I133" s="188">
        <f>IFERROR(__xludf.DUMMYFUNCTION("""COMPUTED_VALUE"""),34.0)</f>
        <v>34</v>
      </c>
      <c r="J133" s="188">
        <f>IFERROR(__xludf.DUMMYFUNCTION("""COMPUTED_VALUE"""),49.0)</f>
        <v>49</v>
      </c>
      <c r="K133" s="188">
        <f>IFERROR(__xludf.DUMMYFUNCTION("""COMPUTED_VALUE"""),17601.0)</f>
        <v>17601</v>
      </c>
      <c r="L133" s="188">
        <f>IFERROR(__xludf.DUMMYFUNCTION("""COMPUTED_VALUE"""),943.0)</f>
        <v>943</v>
      </c>
      <c r="M133" s="188">
        <f>IFERROR(__xludf.DUMMYFUNCTION("""COMPUTED_VALUE"""),157195.0)</f>
        <v>157195</v>
      </c>
      <c r="N133" s="188">
        <f>IFERROR(__xludf.DUMMYFUNCTION("""COMPUTED_VALUE"""),174796.0)</f>
        <v>174796</v>
      </c>
      <c r="O133" s="188">
        <f>IFERROR(__xludf.DUMMYFUNCTION("""COMPUTED_VALUE"""),1.0)</f>
        <v>1</v>
      </c>
      <c r="P133" s="188">
        <f>IFERROR(__xludf.DUMMYFUNCTION("""COMPUTED_VALUE"""),2100.0)</f>
        <v>2100</v>
      </c>
      <c r="Q133" s="188">
        <f>IFERROR(__xludf.DUMMYFUNCTION("""COMPUTED_VALUE"""),3.0)</f>
        <v>3</v>
      </c>
      <c r="R133" s="188">
        <f>IFERROR(__xludf.DUMMYFUNCTION("""COMPUTED_VALUE"""),1717.0)</f>
        <v>1717</v>
      </c>
      <c r="S133" s="188">
        <f>IFERROR(__xludf.DUMMYFUNCTION("""COMPUTED_VALUE"""),1.0)</f>
        <v>1</v>
      </c>
      <c r="T133" s="188">
        <f>IFERROR(__xludf.DUMMYFUNCTION("""COMPUTED_VALUE"""),310.0)</f>
        <v>310</v>
      </c>
      <c r="U133" s="188">
        <f>IFERROR(__xludf.DUMMYFUNCTION("""COMPUTED_VALUE"""),73.0)</f>
        <v>73</v>
      </c>
      <c r="V133" s="188">
        <f>IFERROR(__xludf.DUMMYFUNCTION("""COMPUTED_VALUE"""),74.0)</f>
        <v>74</v>
      </c>
      <c r="W133" s="188">
        <f>IFERROR(__xludf.DUMMYFUNCTION("""COMPUTED_VALUE"""),6.0)</f>
        <v>6</v>
      </c>
      <c r="X133" s="188">
        <f>IFERROR(__xludf.DUMMYFUNCTION("""COMPUTED_VALUE"""),5.0)</f>
        <v>5</v>
      </c>
      <c r="Y133" s="188">
        <f>IFERROR(__xludf.DUMMYFUNCTION("""COMPUTED_VALUE"""),3.0)</f>
        <v>3</v>
      </c>
      <c r="Z133" s="188">
        <f>IFERROR(__xludf.DUMMYFUNCTION("""COMPUTED_VALUE"""),996.0)</f>
        <v>996</v>
      </c>
    </row>
    <row r="134">
      <c r="A134" s="187">
        <f>IFERROR(__xludf.DUMMYFUNCTION("""COMPUTED_VALUE"""),44025.0)</f>
        <v>44025</v>
      </c>
      <c r="B134" s="188">
        <f>IFERROR(__xludf.DUMMYFUNCTION("""COMPUTED_VALUE"""),84.0)</f>
        <v>84</v>
      </c>
      <c r="C134" s="188">
        <f>IFERROR(__xludf.DUMMYFUNCTION("""COMPUTED_VALUE"""),65.0)</f>
        <v>65</v>
      </c>
      <c r="D134" s="188">
        <f>IFERROR(__xludf.DUMMYFUNCTION("""COMPUTED_VALUE"""),25847.0)</f>
        <v>25847</v>
      </c>
      <c r="E134" s="188">
        <f>IFERROR(__xludf.DUMMYFUNCTION("""COMPUTED_VALUE"""),3170.0)</f>
        <v>3170</v>
      </c>
      <c r="F134" s="149">
        <f>IFERROR(__xludf.DUMMYFUNCTION("""COMPUTED_VALUE"""),274576.0)</f>
        <v>274576</v>
      </c>
      <c r="G134" s="149">
        <f>IFERROR(__xludf.DUMMYFUNCTION("""COMPUTED_VALUE"""),3254.0)</f>
        <v>3254</v>
      </c>
      <c r="H134" s="149">
        <f>IFERROR(__xludf.DUMMYFUNCTION("""COMPUTED_VALUE"""),300423.0)</f>
        <v>300423</v>
      </c>
      <c r="I134" s="188">
        <f>IFERROR(__xludf.DUMMYFUNCTION("""COMPUTED_VALUE"""),61.0)</f>
        <v>61</v>
      </c>
      <c r="J134" s="188">
        <f>IFERROR(__xludf.DUMMYFUNCTION("""COMPUTED_VALUE"""),43.0)</f>
        <v>43</v>
      </c>
      <c r="K134" s="188">
        <f>IFERROR(__xludf.DUMMYFUNCTION("""COMPUTED_VALUE"""),17662.0)</f>
        <v>17662</v>
      </c>
      <c r="L134" s="188">
        <f>IFERROR(__xludf.DUMMYFUNCTION("""COMPUTED_VALUE"""),1475.0)</f>
        <v>1475</v>
      </c>
      <c r="M134" s="188">
        <f>IFERROR(__xludf.DUMMYFUNCTION("""COMPUTED_VALUE"""),158670.0)</f>
        <v>158670</v>
      </c>
      <c r="N134" s="188">
        <f>IFERROR(__xludf.DUMMYFUNCTION("""COMPUTED_VALUE"""),176332.0)</f>
        <v>176332</v>
      </c>
      <c r="O134" s="188">
        <f>IFERROR(__xludf.DUMMYFUNCTION("""COMPUTED_VALUE"""),8.0)</f>
        <v>8</v>
      </c>
      <c r="P134" s="188">
        <f>IFERROR(__xludf.DUMMYFUNCTION("""COMPUTED_VALUE"""),2108.0)</f>
        <v>2108</v>
      </c>
      <c r="Q134" s="188">
        <f>IFERROR(__xludf.DUMMYFUNCTION("""COMPUTED_VALUE"""),10.0)</f>
        <v>10</v>
      </c>
      <c r="R134" s="188">
        <f>IFERROR(__xludf.DUMMYFUNCTION("""COMPUTED_VALUE"""),1727.0)</f>
        <v>1727</v>
      </c>
      <c r="S134" s="188">
        <f>IFERROR(__xludf.DUMMYFUNCTION("""COMPUTED_VALUE"""),0.0)</f>
        <v>0</v>
      </c>
      <c r="T134" s="188">
        <f>IFERROR(__xludf.DUMMYFUNCTION("""COMPUTED_VALUE"""),310.0)</f>
        <v>310</v>
      </c>
      <c r="U134" s="188">
        <f>IFERROR(__xludf.DUMMYFUNCTION("""COMPUTED_VALUE"""),71.0)</f>
        <v>71</v>
      </c>
      <c r="V134" s="188">
        <f>IFERROR(__xludf.DUMMYFUNCTION("""COMPUTED_VALUE"""),73.0)</f>
        <v>73</v>
      </c>
      <c r="W134" s="188">
        <f>IFERROR(__xludf.DUMMYFUNCTION("""COMPUTED_VALUE"""),6.0)</f>
        <v>6</v>
      </c>
      <c r="X134" s="188">
        <f>IFERROR(__xludf.DUMMYFUNCTION("""COMPUTED_VALUE"""),5.0)</f>
        <v>5</v>
      </c>
      <c r="Y134" s="188">
        <f>IFERROR(__xludf.DUMMYFUNCTION("""COMPUTED_VALUE"""),1.0)</f>
        <v>1</v>
      </c>
      <c r="Z134" s="188">
        <f>IFERROR(__xludf.DUMMYFUNCTION("""COMPUTED_VALUE"""),997.0)</f>
        <v>997</v>
      </c>
    </row>
    <row r="135">
      <c r="A135" s="187">
        <f>IFERROR(__xludf.DUMMYFUNCTION("""COMPUTED_VALUE"""),44026.0)</f>
        <v>44026</v>
      </c>
      <c r="B135" s="188">
        <f>IFERROR(__xludf.DUMMYFUNCTION("""COMPUTED_VALUE"""),74.0)</f>
        <v>74</v>
      </c>
      <c r="C135" s="188">
        <f>IFERROR(__xludf.DUMMYFUNCTION("""COMPUTED_VALUE"""),68.0)</f>
        <v>68</v>
      </c>
      <c r="D135" s="188">
        <f>IFERROR(__xludf.DUMMYFUNCTION("""COMPUTED_VALUE"""),25921.0)</f>
        <v>25921</v>
      </c>
      <c r="E135" s="188">
        <f>IFERROR(__xludf.DUMMYFUNCTION("""COMPUTED_VALUE"""),3301.0)</f>
        <v>3301</v>
      </c>
      <c r="F135" s="149">
        <f>IFERROR(__xludf.DUMMYFUNCTION("""COMPUTED_VALUE"""),277877.0)</f>
        <v>277877</v>
      </c>
      <c r="G135" s="149">
        <f>IFERROR(__xludf.DUMMYFUNCTION("""COMPUTED_VALUE"""),3375.0)</f>
        <v>3375</v>
      </c>
      <c r="H135" s="149">
        <f>IFERROR(__xludf.DUMMYFUNCTION("""COMPUTED_VALUE"""),303798.0)</f>
        <v>303798</v>
      </c>
      <c r="I135" s="188">
        <f>IFERROR(__xludf.DUMMYFUNCTION("""COMPUTED_VALUE"""),49.0)</f>
        <v>49</v>
      </c>
      <c r="J135" s="188">
        <f>IFERROR(__xludf.DUMMYFUNCTION("""COMPUTED_VALUE"""),48.0)</f>
        <v>48</v>
      </c>
      <c r="K135" s="188">
        <f>IFERROR(__xludf.DUMMYFUNCTION("""COMPUTED_VALUE"""),17711.0)</f>
        <v>17711</v>
      </c>
      <c r="L135" s="188">
        <f>IFERROR(__xludf.DUMMYFUNCTION("""COMPUTED_VALUE"""),1375.0)</f>
        <v>1375</v>
      </c>
      <c r="M135" s="188">
        <f>IFERROR(__xludf.DUMMYFUNCTION("""COMPUTED_VALUE"""),160045.0)</f>
        <v>160045</v>
      </c>
      <c r="N135" s="188">
        <f>IFERROR(__xludf.DUMMYFUNCTION("""COMPUTED_VALUE"""),177756.0)</f>
        <v>177756</v>
      </c>
      <c r="O135" s="188">
        <f>IFERROR(__xludf.DUMMYFUNCTION("""COMPUTED_VALUE"""),7.0)</f>
        <v>7</v>
      </c>
      <c r="P135" s="188">
        <f>IFERROR(__xludf.DUMMYFUNCTION("""COMPUTED_VALUE"""),2115.0)</f>
        <v>2115</v>
      </c>
      <c r="Q135" s="188">
        <f>IFERROR(__xludf.DUMMYFUNCTION("""COMPUTED_VALUE"""),4.0)</f>
        <v>4</v>
      </c>
      <c r="R135" s="188">
        <f>IFERROR(__xludf.DUMMYFUNCTION("""COMPUTED_VALUE"""),1731.0)</f>
        <v>1731</v>
      </c>
      <c r="S135" s="188">
        <f>IFERROR(__xludf.DUMMYFUNCTION("""COMPUTED_VALUE"""),0.0)</f>
        <v>0</v>
      </c>
      <c r="T135" s="188">
        <f>IFERROR(__xludf.DUMMYFUNCTION("""COMPUTED_VALUE"""),310.0)</f>
        <v>310</v>
      </c>
      <c r="U135" s="188">
        <f>IFERROR(__xludf.DUMMYFUNCTION("""COMPUTED_VALUE"""),74.0)</f>
        <v>74</v>
      </c>
      <c r="V135" s="188">
        <f>IFERROR(__xludf.DUMMYFUNCTION("""COMPUTED_VALUE"""),73.0)</f>
        <v>73</v>
      </c>
      <c r="W135" s="188">
        <f>IFERROR(__xludf.DUMMYFUNCTION("""COMPUTED_VALUE"""),5.0)</f>
        <v>5</v>
      </c>
      <c r="X135" s="188">
        <f>IFERROR(__xludf.DUMMYFUNCTION("""COMPUTED_VALUE"""),5.0)</f>
        <v>5</v>
      </c>
      <c r="Y135" s="188">
        <f>IFERROR(__xludf.DUMMYFUNCTION("""COMPUTED_VALUE"""),1.0)</f>
        <v>1</v>
      </c>
      <c r="Z135" s="188">
        <f>IFERROR(__xludf.DUMMYFUNCTION("""COMPUTED_VALUE"""),998.0)</f>
        <v>998</v>
      </c>
    </row>
    <row r="136">
      <c r="A136" s="187">
        <f>IFERROR(__xludf.DUMMYFUNCTION("""COMPUTED_VALUE"""),44027.0)</f>
        <v>44027</v>
      </c>
      <c r="B136" s="188">
        <f>IFERROR(__xludf.DUMMYFUNCTION("""COMPUTED_VALUE"""),130.0)</f>
        <v>130</v>
      </c>
      <c r="C136" s="188">
        <f>IFERROR(__xludf.DUMMYFUNCTION("""COMPUTED_VALUE"""),96.0)</f>
        <v>96</v>
      </c>
      <c r="D136" s="188">
        <f>IFERROR(__xludf.DUMMYFUNCTION("""COMPUTED_VALUE"""),26051.0)</f>
        <v>26051</v>
      </c>
      <c r="E136" s="188">
        <f>IFERROR(__xludf.DUMMYFUNCTION("""COMPUTED_VALUE"""),4185.0)</f>
        <v>4185</v>
      </c>
      <c r="F136" s="149">
        <f>IFERROR(__xludf.DUMMYFUNCTION("""COMPUTED_VALUE"""),282062.0)</f>
        <v>282062</v>
      </c>
      <c r="G136" s="149">
        <f>IFERROR(__xludf.DUMMYFUNCTION("""COMPUTED_VALUE"""),4315.0)</f>
        <v>4315</v>
      </c>
      <c r="H136" s="149">
        <f>IFERROR(__xludf.DUMMYFUNCTION("""COMPUTED_VALUE"""),308113.0)</f>
        <v>308113</v>
      </c>
      <c r="I136" s="188">
        <f>IFERROR(__xludf.DUMMYFUNCTION("""COMPUTED_VALUE"""),100.0)</f>
        <v>100</v>
      </c>
      <c r="J136" s="188">
        <f>IFERROR(__xludf.DUMMYFUNCTION("""COMPUTED_VALUE"""),70.0)</f>
        <v>70</v>
      </c>
      <c r="K136" s="188">
        <f>IFERROR(__xludf.DUMMYFUNCTION("""COMPUTED_VALUE"""),17811.0)</f>
        <v>17811</v>
      </c>
      <c r="L136" s="188">
        <f>IFERROR(__xludf.DUMMYFUNCTION("""COMPUTED_VALUE"""),1753.0)</f>
        <v>1753</v>
      </c>
      <c r="M136" s="188">
        <f>IFERROR(__xludf.DUMMYFUNCTION("""COMPUTED_VALUE"""),161798.0)</f>
        <v>161798</v>
      </c>
      <c r="N136" s="188">
        <f>IFERROR(__xludf.DUMMYFUNCTION("""COMPUTED_VALUE"""),179609.0)</f>
        <v>179609</v>
      </c>
      <c r="O136" s="188">
        <f>IFERROR(__xludf.DUMMYFUNCTION("""COMPUTED_VALUE"""),5.0)</f>
        <v>5</v>
      </c>
      <c r="P136" s="188">
        <f>IFERROR(__xludf.DUMMYFUNCTION("""COMPUTED_VALUE"""),2120.0)</f>
        <v>2120</v>
      </c>
      <c r="Q136" s="188">
        <f>IFERROR(__xludf.DUMMYFUNCTION("""COMPUTED_VALUE"""),7.0)</f>
        <v>7</v>
      </c>
      <c r="R136" s="188">
        <f>IFERROR(__xludf.DUMMYFUNCTION("""COMPUTED_VALUE"""),1738.0)</f>
        <v>1738</v>
      </c>
      <c r="S136" s="188">
        <f>IFERROR(__xludf.DUMMYFUNCTION("""COMPUTED_VALUE"""),0.0)</f>
        <v>0</v>
      </c>
      <c r="T136" s="188">
        <f>IFERROR(__xludf.DUMMYFUNCTION("""COMPUTED_VALUE"""),310.0)</f>
        <v>310</v>
      </c>
      <c r="U136" s="188">
        <f>IFERROR(__xludf.DUMMYFUNCTION("""COMPUTED_VALUE"""),72.0)</f>
        <v>72</v>
      </c>
      <c r="V136" s="188">
        <f>IFERROR(__xludf.DUMMYFUNCTION("""COMPUTED_VALUE"""),72.0)</f>
        <v>72</v>
      </c>
      <c r="W136" s="188">
        <f>IFERROR(__xludf.DUMMYFUNCTION("""COMPUTED_VALUE"""),5.0)</f>
        <v>5</v>
      </c>
      <c r="X136" s="188">
        <f>IFERROR(__xludf.DUMMYFUNCTION("""COMPUTED_VALUE"""),4.0)</f>
        <v>4</v>
      </c>
      <c r="Y136" s="188">
        <f>IFERROR(__xludf.DUMMYFUNCTION("""COMPUTED_VALUE"""),0.0)</f>
        <v>0</v>
      </c>
      <c r="Z136" s="188">
        <f>IFERROR(__xludf.DUMMYFUNCTION("""COMPUTED_VALUE"""),998.0)</f>
        <v>998</v>
      </c>
    </row>
    <row r="137">
      <c r="A137" s="187">
        <f>IFERROR(__xludf.DUMMYFUNCTION("""COMPUTED_VALUE"""),44028.0)</f>
        <v>44028</v>
      </c>
      <c r="B137" s="188">
        <f>IFERROR(__xludf.DUMMYFUNCTION("""COMPUTED_VALUE"""),102.0)</f>
        <v>102</v>
      </c>
      <c r="C137" s="188">
        <f>IFERROR(__xludf.DUMMYFUNCTION("""COMPUTED_VALUE"""),102.0)</f>
        <v>102</v>
      </c>
      <c r="D137" s="188">
        <f>IFERROR(__xludf.DUMMYFUNCTION("""COMPUTED_VALUE"""),26153.0)</f>
        <v>26153</v>
      </c>
      <c r="E137" s="188">
        <f>IFERROR(__xludf.DUMMYFUNCTION("""COMPUTED_VALUE"""),3749.0)</f>
        <v>3749</v>
      </c>
      <c r="F137" s="149">
        <f>IFERROR(__xludf.DUMMYFUNCTION("""COMPUTED_VALUE"""),285811.0)</f>
        <v>285811</v>
      </c>
      <c r="G137" s="149">
        <f>IFERROR(__xludf.DUMMYFUNCTION("""COMPUTED_VALUE"""),3851.0)</f>
        <v>3851</v>
      </c>
      <c r="H137" s="149">
        <f>IFERROR(__xludf.DUMMYFUNCTION("""COMPUTED_VALUE"""),311964.0)</f>
        <v>311964</v>
      </c>
      <c r="I137" s="188">
        <f>IFERROR(__xludf.DUMMYFUNCTION("""COMPUTED_VALUE"""),78.0)</f>
        <v>78</v>
      </c>
      <c r="J137" s="188">
        <f>IFERROR(__xludf.DUMMYFUNCTION("""COMPUTED_VALUE"""),76.0)</f>
        <v>76</v>
      </c>
      <c r="K137" s="188">
        <f>IFERROR(__xludf.DUMMYFUNCTION("""COMPUTED_VALUE"""),17889.0)</f>
        <v>17889</v>
      </c>
      <c r="L137" s="188">
        <f>IFERROR(__xludf.DUMMYFUNCTION("""COMPUTED_VALUE"""),1620.0)</f>
        <v>1620</v>
      </c>
      <c r="M137" s="188">
        <f>IFERROR(__xludf.DUMMYFUNCTION("""COMPUTED_VALUE"""),163418.0)</f>
        <v>163418</v>
      </c>
      <c r="N137" s="188">
        <f>IFERROR(__xludf.DUMMYFUNCTION("""COMPUTED_VALUE"""),181307.0)</f>
        <v>181307</v>
      </c>
      <c r="O137" s="188">
        <f>IFERROR(__xludf.DUMMYFUNCTION("""COMPUTED_VALUE"""),6.0)</f>
        <v>6</v>
      </c>
      <c r="P137" s="188">
        <f>IFERROR(__xludf.DUMMYFUNCTION("""COMPUTED_VALUE"""),2126.0)</f>
        <v>2126</v>
      </c>
      <c r="Q137" s="188">
        <f>IFERROR(__xludf.DUMMYFUNCTION("""COMPUTED_VALUE"""),9.0)</f>
        <v>9</v>
      </c>
      <c r="R137" s="188">
        <f>IFERROR(__xludf.DUMMYFUNCTION("""COMPUTED_VALUE"""),1747.0)</f>
        <v>1747</v>
      </c>
      <c r="S137" s="188">
        <f>IFERROR(__xludf.DUMMYFUNCTION("""COMPUTED_VALUE"""),0.0)</f>
        <v>0</v>
      </c>
      <c r="T137" s="188">
        <f>IFERROR(__xludf.DUMMYFUNCTION("""COMPUTED_VALUE"""),310.0)</f>
        <v>310</v>
      </c>
      <c r="U137" s="188">
        <f>IFERROR(__xludf.DUMMYFUNCTION("""COMPUTED_VALUE"""),69.0)</f>
        <v>69</v>
      </c>
      <c r="V137" s="188">
        <f>IFERROR(__xludf.DUMMYFUNCTION("""COMPUTED_VALUE"""),72.0)</f>
        <v>72</v>
      </c>
      <c r="W137" s="188">
        <f>IFERROR(__xludf.DUMMYFUNCTION("""COMPUTED_VALUE"""),6.0)</f>
        <v>6</v>
      </c>
      <c r="X137" s="188">
        <f>IFERROR(__xludf.DUMMYFUNCTION("""COMPUTED_VALUE"""),5.0)</f>
        <v>5</v>
      </c>
      <c r="Y137" s="188">
        <f>IFERROR(__xludf.DUMMYFUNCTION("""COMPUTED_VALUE"""),1.0)</f>
        <v>1</v>
      </c>
      <c r="Z137" s="188">
        <f>IFERROR(__xludf.DUMMYFUNCTION("""COMPUTED_VALUE"""),999.0)</f>
        <v>999</v>
      </c>
    </row>
    <row r="138">
      <c r="A138" s="187">
        <f>IFERROR(__xludf.DUMMYFUNCTION("""COMPUTED_VALUE"""),44029.0)</f>
        <v>44029</v>
      </c>
      <c r="B138" s="188">
        <f>IFERROR(__xludf.DUMMYFUNCTION("""COMPUTED_VALUE"""),158.0)</f>
        <v>158</v>
      </c>
      <c r="C138" s="188">
        <f>IFERROR(__xludf.DUMMYFUNCTION("""COMPUTED_VALUE"""),130.0)</f>
        <v>130</v>
      </c>
      <c r="D138" s="188">
        <f>IFERROR(__xludf.DUMMYFUNCTION("""COMPUTED_VALUE"""),26311.0)</f>
        <v>26311</v>
      </c>
      <c r="E138" s="188">
        <f>IFERROR(__xludf.DUMMYFUNCTION("""COMPUTED_VALUE"""),4248.0)</f>
        <v>4248</v>
      </c>
      <c r="F138" s="149">
        <f>IFERROR(__xludf.DUMMYFUNCTION("""COMPUTED_VALUE"""),290059.0)</f>
        <v>290059</v>
      </c>
      <c r="G138" s="149">
        <f>IFERROR(__xludf.DUMMYFUNCTION("""COMPUTED_VALUE"""),4406.0)</f>
        <v>4406</v>
      </c>
      <c r="H138" s="149">
        <f>IFERROR(__xludf.DUMMYFUNCTION("""COMPUTED_VALUE"""),316370.0)</f>
        <v>316370</v>
      </c>
      <c r="I138" s="188">
        <f>IFERROR(__xludf.DUMMYFUNCTION("""COMPUTED_VALUE"""),81.0)</f>
        <v>81</v>
      </c>
      <c r="J138" s="188">
        <f>IFERROR(__xludf.DUMMYFUNCTION("""COMPUTED_VALUE"""),86.0)</f>
        <v>86</v>
      </c>
      <c r="K138" s="188">
        <f>IFERROR(__xludf.DUMMYFUNCTION("""COMPUTED_VALUE"""),17970.0)</f>
        <v>17970</v>
      </c>
      <c r="L138" s="188">
        <f>IFERROR(__xludf.DUMMYFUNCTION("""COMPUTED_VALUE"""),1850.0)</f>
        <v>1850</v>
      </c>
      <c r="M138" s="188">
        <f>IFERROR(__xludf.DUMMYFUNCTION("""COMPUTED_VALUE"""),165268.0)</f>
        <v>165268</v>
      </c>
      <c r="N138" s="188">
        <f>IFERROR(__xludf.DUMMYFUNCTION("""COMPUTED_VALUE"""),183238.0)</f>
        <v>183238</v>
      </c>
      <c r="O138" s="188">
        <f>IFERROR(__xludf.DUMMYFUNCTION("""COMPUTED_VALUE"""),14.0)</f>
        <v>14</v>
      </c>
      <c r="P138" s="188">
        <f>IFERROR(__xludf.DUMMYFUNCTION("""COMPUTED_VALUE"""),2140.0)</f>
        <v>2140</v>
      </c>
      <c r="Q138" s="188">
        <f>IFERROR(__xludf.DUMMYFUNCTION("""COMPUTED_VALUE"""),3.0)</f>
        <v>3</v>
      </c>
      <c r="R138" s="188">
        <f>IFERROR(__xludf.DUMMYFUNCTION("""COMPUTED_VALUE"""),1750.0)</f>
        <v>1750</v>
      </c>
      <c r="S138" s="188">
        <f>IFERROR(__xludf.DUMMYFUNCTION("""COMPUTED_VALUE"""),1.0)</f>
        <v>1</v>
      </c>
      <c r="T138" s="188">
        <f>IFERROR(__xludf.DUMMYFUNCTION("""COMPUTED_VALUE"""),311.0)</f>
        <v>311</v>
      </c>
      <c r="U138" s="188">
        <f>IFERROR(__xludf.DUMMYFUNCTION("""COMPUTED_VALUE"""),79.0)</f>
        <v>79</v>
      </c>
      <c r="V138" s="188">
        <f>IFERROR(__xludf.DUMMYFUNCTION("""COMPUTED_VALUE"""),73.0)</f>
        <v>73</v>
      </c>
      <c r="W138" s="188">
        <f>IFERROR(__xludf.DUMMYFUNCTION("""COMPUTED_VALUE"""),5.0)</f>
        <v>5</v>
      </c>
      <c r="X138" s="188">
        <f>IFERROR(__xludf.DUMMYFUNCTION("""COMPUTED_VALUE"""),5.0)</f>
        <v>5</v>
      </c>
      <c r="Y138" s="188">
        <f>IFERROR(__xludf.DUMMYFUNCTION("""COMPUTED_VALUE"""),2.0)</f>
        <v>2</v>
      </c>
      <c r="Z138" s="188">
        <f>IFERROR(__xludf.DUMMYFUNCTION("""COMPUTED_VALUE"""),1001.0)</f>
        <v>1001</v>
      </c>
    </row>
    <row r="139">
      <c r="A139" s="187">
        <f>IFERROR(__xludf.DUMMYFUNCTION("""COMPUTED_VALUE"""),44030.0)</f>
        <v>44030</v>
      </c>
      <c r="B139" s="188">
        <f>IFERROR(__xludf.DUMMYFUNCTION("""COMPUTED_VALUE"""),85.0)</f>
        <v>85</v>
      </c>
      <c r="C139" s="188">
        <f>IFERROR(__xludf.DUMMYFUNCTION("""COMPUTED_VALUE"""),115.0)</f>
        <v>115</v>
      </c>
      <c r="D139" s="188">
        <f>IFERROR(__xludf.DUMMYFUNCTION("""COMPUTED_VALUE"""),26396.0)</f>
        <v>26396</v>
      </c>
      <c r="E139" s="188">
        <f>IFERROR(__xludf.DUMMYFUNCTION("""COMPUTED_VALUE"""),3277.0)</f>
        <v>3277</v>
      </c>
      <c r="F139" s="149">
        <f>IFERROR(__xludf.DUMMYFUNCTION("""COMPUTED_VALUE"""),293336.0)</f>
        <v>293336</v>
      </c>
      <c r="G139" s="149">
        <f>IFERROR(__xludf.DUMMYFUNCTION("""COMPUTED_VALUE"""),3362.0)</f>
        <v>3362</v>
      </c>
      <c r="H139" s="149">
        <f>IFERROR(__xludf.DUMMYFUNCTION("""COMPUTED_VALUE"""),319732.0)</f>
        <v>319732</v>
      </c>
      <c r="I139" s="188">
        <f>IFERROR(__xludf.DUMMYFUNCTION("""COMPUTED_VALUE"""),69.0)</f>
        <v>69</v>
      </c>
      <c r="J139" s="188">
        <f>IFERROR(__xludf.DUMMYFUNCTION("""COMPUTED_VALUE"""),76.0)</f>
        <v>76</v>
      </c>
      <c r="K139" s="188">
        <f>IFERROR(__xludf.DUMMYFUNCTION("""COMPUTED_VALUE"""),18039.0)</f>
        <v>18039</v>
      </c>
      <c r="L139" s="188">
        <f>IFERROR(__xludf.DUMMYFUNCTION("""COMPUTED_VALUE"""),1402.0)</f>
        <v>1402</v>
      </c>
      <c r="M139" s="188">
        <f>IFERROR(__xludf.DUMMYFUNCTION("""COMPUTED_VALUE"""),166670.0)</f>
        <v>166670</v>
      </c>
      <c r="N139" s="188">
        <f>IFERROR(__xludf.DUMMYFUNCTION("""COMPUTED_VALUE"""),184709.0)</f>
        <v>184709</v>
      </c>
      <c r="O139" s="188">
        <f>IFERROR(__xludf.DUMMYFUNCTION("""COMPUTED_VALUE"""),5.0)</f>
        <v>5</v>
      </c>
      <c r="P139" s="188">
        <f>IFERROR(__xludf.DUMMYFUNCTION("""COMPUTED_VALUE"""),2145.0)</f>
        <v>2145</v>
      </c>
      <c r="Q139" s="188">
        <f>IFERROR(__xludf.DUMMYFUNCTION("""COMPUTED_VALUE"""),9.0)</f>
        <v>9</v>
      </c>
      <c r="R139" s="188">
        <f>IFERROR(__xludf.DUMMYFUNCTION("""COMPUTED_VALUE"""),1759.0)</f>
        <v>1759</v>
      </c>
      <c r="S139" s="188">
        <f>IFERROR(__xludf.DUMMYFUNCTION("""COMPUTED_VALUE"""),1.0)</f>
        <v>1</v>
      </c>
      <c r="T139" s="188">
        <f>IFERROR(__xludf.DUMMYFUNCTION("""COMPUTED_VALUE"""),312.0)</f>
        <v>312</v>
      </c>
      <c r="U139" s="188">
        <f>IFERROR(__xludf.DUMMYFUNCTION("""COMPUTED_VALUE"""),74.0)</f>
        <v>74</v>
      </c>
      <c r="V139" s="188">
        <f>IFERROR(__xludf.DUMMYFUNCTION("""COMPUTED_VALUE"""),74.0)</f>
        <v>74</v>
      </c>
      <c r="W139" s="188">
        <f>IFERROR(__xludf.DUMMYFUNCTION("""COMPUTED_VALUE"""),5.0)</f>
        <v>5</v>
      </c>
      <c r="X139" s="188">
        <f>IFERROR(__xludf.DUMMYFUNCTION("""COMPUTED_VALUE"""),4.0)</f>
        <v>4</v>
      </c>
      <c r="Y139" s="188">
        <f>IFERROR(__xludf.DUMMYFUNCTION("""COMPUTED_VALUE"""),4.0)</f>
        <v>4</v>
      </c>
      <c r="Z139" s="188">
        <f>IFERROR(__xludf.DUMMYFUNCTION("""COMPUTED_VALUE"""),1005.0)</f>
        <v>1005</v>
      </c>
    </row>
    <row r="140">
      <c r="A140" s="187">
        <f>IFERROR(__xludf.DUMMYFUNCTION("""COMPUTED_VALUE"""),44031.0)</f>
        <v>44031</v>
      </c>
      <c r="B140" s="188">
        <f>IFERROR(__xludf.DUMMYFUNCTION("""COMPUTED_VALUE"""),83.0)</f>
        <v>83</v>
      </c>
      <c r="C140" s="188">
        <f>IFERROR(__xludf.DUMMYFUNCTION("""COMPUTED_VALUE"""),109.0)</f>
        <v>109</v>
      </c>
      <c r="D140" s="188">
        <f>IFERROR(__xludf.DUMMYFUNCTION("""COMPUTED_VALUE"""),26479.0)</f>
        <v>26479</v>
      </c>
      <c r="E140" s="188">
        <f>IFERROR(__xludf.DUMMYFUNCTION("""COMPUTED_VALUE"""),2709.0)</f>
        <v>2709</v>
      </c>
      <c r="F140" s="149">
        <f>IFERROR(__xludf.DUMMYFUNCTION("""COMPUTED_VALUE"""),296045.0)</f>
        <v>296045</v>
      </c>
      <c r="G140" s="149">
        <f>IFERROR(__xludf.DUMMYFUNCTION("""COMPUTED_VALUE"""),2792.0)</f>
        <v>2792</v>
      </c>
      <c r="H140" s="149">
        <f>IFERROR(__xludf.DUMMYFUNCTION("""COMPUTED_VALUE"""),322524.0)</f>
        <v>322524</v>
      </c>
      <c r="I140" s="188">
        <f>IFERROR(__xludf.DUMMYFUNCTION("""COMPUTED_VALUE"""),59.0)</f>
        <v>59</v>
      </c>
      <c r="J140" s="188">
        <f>IFERROR(__xludf.DUMMYFUNCTION("""COMPUTED_VALUE"""),70.0)</f>
        <v>70</v>
      </c>
      <c r="K140" s="188">
        <f>IFERROR(__xludf.DUMMYFUNCTION("""COMPUTED_VALUE"""),18098.0)</f>
        <v>18098</v>
      </c>
      <c r="L140" s="188">
        <f>IFERROR(__xludf.DUMMYFUNCTION("""COMPUTED_VALUE"""),1151.0)</f>
        <v>1151</v>
      </c>
      <c r="M140" s="188">
        <f>IFERROR(__xludf.DUMMYFUNCTION("""COMPUTED_VALUE"""),167821.0)</f>
        <v>167821</v>
      </c>
      <c r="N140" s="188">
        <f>IFERROR(__xludf.DUMMYFUNCTION("""COMPUTED_VALUE"""),185919.0)</f>
        <v>185919</v>
      </c>
      <c r="O140" s="188">
        <f>IFERROR(__xludf.DUMMYFUNCTION("""COMPUTED_VALUE"""),7.0)</f>
        <v>7</v>
      </c>
      <c r="P140" s="188">
        <f>IFERROR(__xludf.DUMMYFUNCTION("""COMPUTED_VALUE"""),2152.0)</f>
        <v>2152</v>
      </c>
      <c r="Q140" s="188">
        <f>IFERROR(__xludf.DUMMYFUNCTION("""COMPUTED_VALUE"""),3.0)</f>
        <v>3</v>
      </c>
      <c r="R140" s="188">
        <f>IFERROR(__xludf.DUMMYFUNCTION("""COMPUTED_VALUE"""),1762.0)</f>
        <v>1762</v>
      </c>
      <c r="S140" s="188">
        <f>IFERROR(__xludf.DUMMYFUNCTION("""COMPUTED_VALUE"""),0.0)</f>
        <v>0</v>
      </c>
      <c r="T140" s="188">
        <f>IFERROR(__xludf.DUMMYFUNCTION("""COMPUTED_VALUE"""),312.0)</f>
        <v>312</v>
      </c>
      <c r="U140" s="188">
        <f>IFERROR(__xludf.DUMMYFUNCTION("""COMPUTED_VALUE"""),78.0)</f>
        <v>78</v>
      </c>
      <c r="V140" s="188">
        <f>IFERROR(__xludf.DUMMYFUNCTION("""COMPUTED_VALUE"""),77.0)</f>
        <v>77</v>
      </c>
      <c r="W140" s="188">
        <f>IFERROR(__xludf.DUMMYFUNCTION("""COMPUTED_VALUE"""),6.0)</f>
        <v>6</v>
      </c>
      <c r="X140" s="188">
        <f>IFERROR(__xludf.DUMMYFUNCTION("""COMPUTED_VALUE"""),4.0)</f>
        <v>4</v>
      </c>
      <c r="Y140" s="188">
        <f>IFERROR(__xludf.DUMMYFUNCTION("""COMPUTED_VALUE"""),2.0)</f>
        <v>2</v>
      </c>
      <c r="Z140" s="188">
        <f>IFERROR(__xludf.DUMMYFUNCTION("""COMPUTED_VALUE"""),1007.0)</f>
        <v>1007</v>
      </c>
    </row>
    <row r="141">
      <c r="A141" s="187">
        <f>IFERROR(__xludf.DUMMYFUNCTION("""COMPUTED_VALUE"""),44032.0)</f>
        <v>44032</v>
      </c>
      <c r="B141" s="188">
        <f>IFERROR(__xludf.DUMMYFUNCTION("""COMPUTED_VALUE"""),71.0)</f>
        <v>71</v>
      </c>
      <c r="C141" s="188">
        <f>IFERROR(__xludf.DUMMYFUNCTION("""COMPUTED_VALUE"""),80.0)</f>
        <v>80</v>
      </c>
      <c r="D141" s="188">
        <f>IFERROR(__xludf.DUMMYFUNCTION("""COMPUTED_VALUE"""),26550.0)</f>
        <v>26550</v>
      </c>
      <c r="E141" s="188">
        <f>IFERROR(__xludf.DUMMYFUNCTION("""COMPUTED_VALUE"""),2668.0)</f>
        <v>2668</v>
      </c>
      <c r="F141" s="149">
        <f>IFERROR(__xludf.DUMMYFUNCTION("""COMPUTED_VALUE"""),298713.0)</f>
        <v>298713</v>
      </c>
      <c r="G141" s="149">
        <f>IFERROR(__xludf.DUMMYFUNCTION("""COMPUTED_VALUE"""),2739.0)</f>
        <v>2739</v>
      </c>
      <c r="H141" s="149">
        <f>IFERROR(__xludf.DUMMYFUNCTION("""COMPUTED_VALUE"""),325263.0)</f>
        <v>325263</v>
      </c>
      <c r="I141" s="188">
        <f>IFERROR(__xludf.DUMMYFUNCTION("""COMPUTED_VALUE"""),69.0)</f>
        <v>69</v>
      </c>
      <c r="J141" s="188">
        <f>IFERROR(__xludf.DUMMYFUNCTION("""COMPUTED_VALUE"""),66.0)</f>
        <v>66</v>
      </c>
      <c r="K141" s="188">
        <f>IFERROR(__xludf.DUMMYFUNCTION("""COMPUTED_VALUE"""),18167.0)</f>
        <v>18167</v>
      </c>
      <c r="L141" s="188">
        <f>IFERROR(__xludf.DUMMYFUNCTION("""COMPUTED_VALUE"""),1467.0)</f>
        <v>1467</v>
      </c>
      <c r="M141" s="188">
        <f>IFERROR(__xludf.DUMMYFUNCTION("""COMPUTED_VALUE"""),169288.0)</f>
        <v>169288</v>
      </c>
      <c r="N141" s="188">
        <f>IFERROR(__xludf.DUMMYFUNCTION("""COMPUTED_VALUE"""),187455.0)</f>
        <v>187455</v>
      </c>
      <c r="O141" s="188">
        <f>IFERROR(__xludf.DUMMYFUNCTION("""COMPUTED_VALUE"""),9.0)</f>
        <v>9</v>
      </c>
      <c r="P141" s="188">
        <f>IFERROR(__xludf.DUMMYFUNCTION("""COMPUTED_VALUE"""),2161.0)</f>
        <v>2161</v>
      </c>
      <c r="Q141" s="188">
        <f>IFERROR(__xludf.DUMMYFUNCTION("""COMPUTED_VALUE"""),7.0)</f>
        <v>7</v>
      </c>
      <c r="R141" s="188">
        <f>IFERROR(__xludf.DUMMYFUNCTION("""COMPUTED_VALUE"""),1769.0)</f>
        <v>1769</v>
      </c>
      <c r="S141" s="188">
        <f>IFERROR(__xludf.DUMMYFUNCTION("""COMPUTED_VALUE"""),0.0)</f>
        <v>0</v>
      </c>
      <c r="T141" s="188">
        <f>IFERROR(__xludf.DUMMYFUNCTION("""COMPUTED_VALUE"""),312.0)</f>
        <v>312</v>
      </c>
      <c r="U141" s="188">
        <f>IFERROR(__xludf.DUMMYFUNCTION("""COMPUTED_VALUE"""),80.0)</f>
        <v>80</v>
      </c>
      <c r="V141" s="188">
        <f>IFERROR(__xludf.DUMMYFUNCTION("""COMPUTED_VALUE"""),77.0)</f>
        <v>77</v>
      </c>
      <c r="W141" s="188">
        <f>IFERROR(__xludf.DUMMYFUNCTION("""COMPUTED_VALUE"""),7.0)</f>
        <v>7</v>
      </c>
      <c r="X141" s="188">
        <f>IFERROR(__xludf.DUMMYFUNCTION("""COMPUTED_VALUE"""),5.0)</f>
        <v>5</v>
      </c>
      <c r="Y141" s="188">
        <f>IFERROR(__xludf.DUMMYFUNCTION("""COMPUTED_VALUE"""),2.0)</f>
        <v>2</v>
      </c>
      <c r="Z141" s="188">
        <f>IFERROR(__xludf.DUMMYFUNCTION("""COMPUTED_VALUE"""),1009.0)</f>
        <v>1009</v>
      </c>
    </row>
    <row r="142">
      <c r="A142" s="187">
        <f>IFERROR(__xludf.DUMMYFUNCTION("""COMPUTED_VALUE"""),44033.0)</f>
        <v>44033</v>
      </c>
      <c r="B142" s="188">
        <f>IFERROR(__xludf.DUMMYFUNCTION("""COMPUTED_VALUE"""),131.0)</f>
        <v>131</v>
      </c>
      <c r="C142" s="188">
        <f>IFERROR(__xludf.DUMMYFUNCTION("""COMPUTED_VALUE"""),95.0)</f>
        <v>95</v>
      </c>
      <c r="D142" s="188">
        <f>IFERROR(__xludf.DUMMYFUNCTION("""COMPUTED_VALUE"""),26681.0)</f>
        <v>26681</v>
      </c>
      <c r="E142" s="188">
        <f>IFERROR(__xludf.DUMMYFUNCTION("""COMPUTED_VALUE"""),4317.0)</f>
        <v>4317</v>
      </c>
      <c r="F142" s="149">
        <f>IFERROR(__xludf.DUMMYFUNCTION("""COMPUTED_VALUE"""),303030.0)</f>
        <v>303030</v>
      </c>
      <c r="G142" s="149">
        <f>IFERROR(__xludf.DUMMYFUNCTION("""COMPUTED_VALUE"""),4448.0)</f>
        <v>4448</v>
      </c>
      <c r="H142" s="149">
        <f>IFERROR(__xludf.DUMMYFUNCTION("""COMPUTED_VALUE"""),329711.0)</f>
        <v>329711</v>
      </c>
      <c r="I142" s="188">
        <f>IFERROR(__xludf.DUMMYFUNCTION("""COMPUTED_VALUE"""),109.0)</f>
        <v>109</v>
      </c>
      <c r="J142" s="188">
        <f>IFERROR(__xludf.DUMMYFUNCTION("""COMPUTED_VALUE"""),79.0)</f>
        <v>79</v>
      </c>
      <c r="K142" s="188">
        <f>IFERROR(__xludf.DUMMYFUNCTION("""COMPUTED_VALUE"""),18276.0)</f>
        <v>18276</v>
      </c>
      <c r="L142" s="188">
        <f>IFERROR(__xludf.DUMMYFUNCTION("""COMPUTED_VALUE"""),1924.0)</f>
        <v>1924</v>
      </c>
      <c r="M142" s="188">
        <f>IFERROR(__xludf.DUMMYFUNCTION("""COMPUTED_VALUE"""),171212.0)</f>
        <v>171212</v>
      </c>
      <c r="N142" s="188">
        <f>IFERROR(__xludf.DUMMYFUNCTION("""COMPUTED_VALUE"""),189488.0)</f>
        <v>189488</v>
      </c>
      <c r="O142" s="188">
        <f>IFERROR(__xludf.DUMMYFUNCTION("""COMPUTED_VALUE"""),9.0)</f>
        <v>9</v>
      </c>
      <c r="P142" s="188">
        <f>IFERROR(__xludf.DUMMYFUNCTION("""COMPUTED_VALUE"""),2170.0)</f>
        <v>2170</v>
      </c>
      <c r="Q142" s="188">
        <f>IFERROR(__xludf.DUMMYFUNCTION("""COMPUTED_VALUE"""),11.0)</f>
        <v>11</v>
      </c>
      <c r="R142" s="188">
        <f>IFERROR(__xludf.DUMMYFUNCTION("""COMPUTED_VALUE"""),1780.0)</f>
        <v>1780</v>
      </c>
      <c r="S142" s="188">
        <f>IFERROR(__xludf.DUMMYFUNCTION("""COMPUTED_VALUE"""),0.0)</f>
        <v>0</v>
      </c>
      <c r="T142" s="188">
        <f>IFERROR(__xludf.DUMMYFUNCTION("""COMPUTED_VALUE"""),312.0)</f>
        <v>312</v>
      </c>
      <c r="U142" s="188">
        <f>IFERROR(__xludf.DUMMYFUNCTION("""COMPUTED_VALUE"""),78.0)</f>
        <v>78</v>
      </c>
      <c r="V142" s="188">
        <f>IFERROR(__xludf.DUMMYFUNCTION("""COMPUTED_VALUE"""),79.0)</f>
        <v>79</v>
      </c>
      <c r="W142" s="188">
        <f>IFERROR(__xludf.DUMMYFUNCTION("""COMPUTED_VALUE"""),9.0)</f>
        <v>9</v>
      </c>
      <c r="X142" s="188">
        <f>IFERROR(__xludf.DUMMYFUNCTION("""COMPUTED_VALUE"""),6.0)</f>
        <v>6</v>
      </c>
      <c r="Y142" s="188">
        <f>IFERROR(__xludf.DUMMYFUNCTION("""COMPUTED_VALUE"""),1.0)</f>
        <v>1</v>
      </c>
      <c r="Z142" s="188">
        <f>IFERROR(__xludf.DUMMYFUNCTION("""COMPUTED_VALUE"""),1010.0)</f>
        <v>1010</v>
      </c>
    </row>
    <row r="143">
      <c r="A143" s="187">
        <f>IFERROR(__xludf.DUMMYFUNCTION("""COMPUTED_VALUE"""),44034.0)</f>
        <v>44034</v>
      </c>
      <c r="B143" s="188">
        <f>IFERROR(__xludf.DUMMYFUNCTION("""COMPUTED_VALUE"""),130.0)</f>
        <v>130</v>
      </c>
      <c r="C143" s="188">
        <f>IFERROR(__xludf.DUMMYFUNCTION("""COMPUTED_VALUE"""),111.0)</f>
        <v>111</v>
      </c>
      <c r="D143" s="188">
        <f>IFERROR(__xludf.DUMMYFUNCTION("""COMPUTED_VALUE"""),26811.0)</f>
        <v>26811</v>
      </c>
      <c r="E143" s="188">
        <f>IFERROR(__xludf.DUMMYFUNCTION("""COMPUTED_VALUE"""),3939.0)</f>
        <v>3939</v>
      </c>
      <c r="F143" s="149">
        <f>IFERROR(__xludf.DUMMYFUNCTION("""COMPUTED_VALUE"""),306969.0)</f>
        <v>306969</v>
      </c>
      <c r="G143" s="149">
        <f>IFERROR(__xludf.DUMMYFUNCTION("""COMPUTED_VALUE"""),4069.0)</f>
        <v>4069</v>
      </c>
      <c r="H143" s="149">
        <f>IFERROR(__xludf.DUMMYFUNCTION("""COMPUTED_VALUE"""),333780.0)</f>
        <v>333780</v>
      </c>
      <c r="I143" s="188">
        <f>IFERROR(__xludf.DUMMYFUNCTION("""COMPUTED_VALUE"""),87.0)</f>
        <v>87</v>
      </c>
      <c r="J143" s="188">
        <f>IFERROR(__xludf.DUMMYFUNCTION("""COMPUTED_VALUE"""),88.0)</f>
        <v>88</v>
      </c>
      <c r="K143" s="188">
        <f>IFERROR(__xludf.DUMMYFUNCTION("""COMPUTED_VALUE"""),18363.0)</f>
        <v>18363</v>
      </c>
      <c r="L143" s="188">
        <f>IFERROR(__xludf.DUMMYFUNCTION("""COMPUTED_VALUE"""),1684.0)</f>
        <v>1684</v>
      </c>
      <c r="M143" s="188">
        <f>IFERROR(__xludf.DUMMYFUNCTION("""COMPUTED_VALUE"""),172896.0)</f>
        <v>172896</v>
      </c>
      <c r="N143" s="188">
        <f>IFERROR(__xludf.DUMMYFUNCTION("""COMPUTED_VALUE"""),191259.0)</f>
        <v>191259</v>
      </c>
      <c r="O143" s="188">
        <f>IFERROR(__xludf.DUMMYFUNCTION("""COMPUTED_VALUE"""),11.0)</f>
        <v>11</v>
      </c>
      <c r="P143" s="188">
        <f>IFERROR(__xludf.DUMMYFUNCTION("""COMPUTED_VALUE"""),2181.0)</f>
        <v>2181</v>
      </c>
      <c r="Q143" s="188">
        <f>IFERROR(__xludf.DUMMYFUNCTION("""COMPUTED_VALUE"""),11.0)</f>
        <v>11</v>
      </c>
      <c r="R143" s="188">
        <f>IFERROR(__xludf.DUMMYFUNCTION("""COMPUTED_VALUE"""),1791.0)</f>
        <v>1791</v>
      </c>
      <c r="S143" s="188">
        <f>IFERROR(__xludf.DUMMYFUNCTION("""COMPUTED_VALUE"""),1.0)</f>
        <v>1</v>
      </c>
      <c r="T143" s="188">
        <f>IFERROR(__xludf.DUMMYFUNCTION("""COMPUTED_VALUE"""),313.0)</f>
        <v>313</v>
      </c>
      <c r="U143" s="188">
        <f>IFERROR(__xludf.DUMMYFUNCTION("""COMPUTED_VALUE"""),77.0)</f>
        <v>77</v>
      </c>
      <c r="V143" s="188">
        <f>IFERROR(__xludf.DUMMYFUNCTION("""COMPUTED_VALUE"""),78.0)</f>
        <v>78</v>
      </c>
      <c r="W143" s="188">
        <f>IFERROR(__xludf.DUMMYFUNCTION("""COMPUTED_VALUE"""),7.0)</f>
        <v>7</v>
      </c>
      <c r="X143" s="188">
        <f>IFERROR(__xludf.DUMMYFUNCTION("""COMPUTED_VALUE"""),6.0)</f>
        <v>6</v>
      </c>
      <c r="Y143" s="188">
        <f>IFERROR(__xludf.DUMMYFUNCTION("""COMPUTED_VALUE"""),1.0)</f>
        <v>1</v>
      </c>
      <c r="Z143" s="188">
        <f>IFERROR(__xludf.DUMMYFUNCTION("""COMPUTED_VALUE"""),1011.0)</f>
        <v>1011</v>
      </c>
    </row>
    <row r="144">
      <c r="A144" s="187">
        <f>IFERROR(__xludf.DUMMYFUNCTION("""COMPUTED_VALUE"""),44035.0)</f>
        <v>44035</v>
      </c>
      <c r="B144" s="188">
        <f>IFERROR(__xludf.DUMMYFUNCTION("""COMPUTED_VALUE"""),142.0)</f>
        <v>142</v>
      </c>
      <c r="C144" s="188">
        <f>IFERROR(__xludf.DUMMYFUNCTION("""COMPUTED_VALUE"""),134.0)</f>
        <v>134</v>
      </c>
      <c r="D144" s="188">
        <f>IFERROR(__xludf.DUMMYFUNCTION("""COMPUTED_VALUE"""),26953.0)</f>
        <v>26953</v>
      </c>
      <c r="E144" s="188">
        <f>IFERROR(__xludf.DUMMYFUNCTION("""COMPUTED_VALUE"""),4393.0)</f>
        <v>4393</v>
      </c>
      <c r="F144" s="149">
        <f>IFERROR(__xludf.DUMMYFUNCTION("""COMPUTED_VALUE"""),311362.0)</f>
        <v>311362</v>
      </c>
      <c r="G144" s="149">
        <f>IFERROR(__xludf.DUMMYFUNCTION("""COMPUTED_VALUE"""),4535.0)</f>
        <v>4535</v>
      </c>
      <c r="H144" s="149">
        <f>IFERROR(__xludf.DUMMYFUNCTION("""COMPUTED_VALUE"""),338315.0)</f>
        <v>338315</v>
      </c>
      <c r="I144" s="188">
        <f>IFERROR(__xludf.DUMMYFUNCTION("""COMPUTED_VALUE"""),116.0)</f>
        <v>116</v>
      </c>
      <c r="J144" s="188">
        <f>IFERROR(__xludf.DUMMYFUNCTION("""COMPUTED_VALUE"""),104.0)</f>
        <v>104</v>
      </c>
      <c r="K144" s="188">
        <f>IFERROR(__xludf.DUMMYFUNCTION("""COMPUTED_VALUE"""),18479.0)</f>
        <v>18479</v>
      </c>
      <c r="L144" s="188">
        <f>IFERROR(__xludf.DUMMYFUNCTION("""COMPUTED_VALUE"""),1972.0)</f>
        <v>1972</v>
      </c>
      <c r="M144" s="188">
        <f>IFERROR(__xludf.DUMMYFUNCTION("""COMPUTED_VALUE"""),174868.0)</f>
        <v>174868</v>
      </c>
      <c r="N144" s="188">
        <f>IFERROR(__xludf.DUMMYFUNCTION("""COMPUTED_VALUE"""),193347.0)</f>
        <v>193347</v>
      </c>
      <c r="O144" s="188">
        <f>IFERROR(__xludf.DUMMYFUNCTION("""COMPUTED_VALUE"""),8.0)</f>
        <v>8</v>
      </c>
      <c r="P144" s="188">
        <f>IFERROR(__xludf.DUMMYFUNCTION("""COMPUTED_VALUE"""),2189.0)</f>
        <v>2189</v>
      </c>
      <c r="Q144" s="188">
        <f>IFERROR(__xludf.DUMMYFUNCTION("""COMPUTED_VALUE"""),6.0)</f>
        <v>6</v>
      </c>
      <c r="R144" s="188">
        <f>IFERROR(__xludf.DUMMYFUNCTION("""COMPUTED_VALUE"""),1797.0)</f>
        <v>1797</v>
      </c>
      <c r="S144" s="188">
        <f>IFERROR(__xludf.DUMMYFUNCTION("""COMPUTED_VALUE"""),0.0)</f>
        <v>0</v>
      </c>
      <c r="T144" s="188">
        <f>IFERROR(__xludf.DUMMYFUNCTION("""COMPUTED_VALUE"""),313.0)</f>
        <v>313</v>
      </c>
      <c r="U144" s="188">
        <f>IFERROR(__xludf.DUMMYFUNCTION("""COMPUTED_VALUE"""),79.0)</f>
        <v>79</v>
      </c>
      <c r="V144" s="188">
        <f>IFERROR(__xludf.DUMMYFUNCTION("""COMPUTED_VALUE"""),78.0)</f>
        <v>78</v>
      </c>
      <c r="W144" s="188">
        <f>IFERROR(__xludf.DUMMYFUNCTION("""COMPUTED_VALUE"""),8.0)</f>
        <v>8</v>
      </c>
      <c r="X144" s="188">
        <f>IFERROR(__xludf.DUMMYFUNCTION("""COMPUTED_VALUE"""),7.0)</f>
        <v>7</v>
      </c>
      <c r="Y144" s="188">
        <f>IFERROR(__xludf.DUMMYFUNCTION("""COMPUTED_VALUE"""),0.0)</f>
        <v>0</v>
      </c>
      <c r="Z144" s="188">
        <f>IFERROR(__xludf.DUMMYFUNCTION("""COMPUTED_VALUE"""),1011.0)</f>
        <v>1011</v>
      </c>
    </row>
    <row r="145">
      <c r="A145" s="187">
        <f>IFERROR(__xludf.DUMMYFUNCTION("""COMPUTED_VALUE"""),44036.0)</f>
        <v>44036</v>
      </c>
      <c r="B145" s="188">
        <f>IFERROR(__xludf.DUMMYFUNCTION("""COMPUTED_VALUE"""),175.0)</f>
        <v>175</v>
      </c>
      <c r="C145" s="188">
        <f>IFERROR(__xludf.DUMMYFUNCTION("""COMPUTED_VALUE"""),149.0)</f>
        <v>149</v>
      </c>
      <c r="D145" s="188">
        <f>IFERROR(__xludf.DUMMYFUNCTION("""COMPUTED_VALUE"""),27128.0)</f>
        <v>27128</v>
      </c>
      <c r="E145" s="188">
        <f>IFERROR(__xludf.DUMMYFUNCTION("""COMPUTED_VALUE"""),5979.0)</f>
        <v>5979</v>
      </c>
      <c r="F145" s="149">
        <f>IFERROR(__xludf.DUMMYFUNCTION("""COMPUTED_VALUE"""),317341.0)</f>
        <v>317341</v>
      </c>
      <c r="G145" s="149">
        <f>IFERROR(__xludf.DUMMYFUNCTION("""COMPUTED_VALUE"""),6154.0)</f>
        <v>6154</v>
      </c>
      <c r="H145" s="149">
        <f>IFERROR(__xludf.DUMMYFUNCTION("""COMPUTED_VALUE"""),344469.0)</f>
        <v>344469</v>
      </c>
      <c r="I145" s="188">
        <f>IFERROR(__xludf.DUMMYFUNCTION("""COMPUTED_VALUE"""),123.0)</f>
        <v>123</v>
      </c>
      <c r="J145" s="188">
        <f>IFERROR(__xludf.DUMMYFUNCTION("""COMPUTED_VALUE"""),109.0)</f>
        <v>109</v>
      </c>
      <c r="K145" s="188">
        <f>IFERROR(__xludf.DUMMYFUNCTION("""COMPUTED_VALUE"""),18602.0)</f>
        <v>18602</v>
      </c>
      <c r="L145" s="188">
        <f>IFERROR(__xludf.DUMMYFUNCTION("""COMPUTED_VALUE"""),2326.0)</f>
        <v>2326</v>
      </c>
      <c r="M145" s="188">
        <f>IFERROR(__xludf.DUMMYFUNCTION("""COMPUTED_VALUE"""),177194.0)</f>
        <v>177194</v>
      </c>
      <c r="N145" s="188">
        <f>IFERROR(__xludf.DUMMYFUNCTION("""COMPUTED_VALUE"""),195796.0)</f>
        <v>195796</v>
      </c>
      <c r="O145" s="188">
        <f>IFERROR(__xludf.DUMMYFUNCTION("""COMPUTED_VALUE"""),14.0)</f>
        <v>14</v>
      </c>
      <c r="P145" s="188">
        <f>IFERROR(__xludf.DUMMYFUNCTION("""COMPUTED_VALUE"""),2203.0)</f>
        <v>2203</v>
      </c>
      <c r="Q145" s="188">
        <f>IFERROR(__xludf.DUMMYFUNCTION("""COMPUTED_VALUE"""),14.0)</f>
        <v>14</v>
      </c>
      <c r="R145" s="188">
        <f>IFERROR(__xludf.DUMMYFUNCTION("""COMPUTED_VALUE"""),1811.0)</f>
        <v>1811</v>
      </c>
      <c r="S145" s="188">
        <f>IFERROR(__xludf.DUMMYFUNCTION("""COMPUTED_VALUE"""),0.0)</f>
        <v>0</v>
      </c>
      <c r="T145" s="188">
        <f>IFERROR(__xludf.DUMMYFUNCTION("""COMPUTED_VALUE"""),313.0)</f>
        <v>313</v>
      </c>
      <c r="U145" s="188">
        <f>IFERROR(__xludf.DUMMYFUNCTION("""COMPUTED_VALUE"""),79.0)</f>
        <v>79</v>
      </c>
      <c r="V145" s="188">
        <f>IFERROR(__xludf.DUMMYFUNCTION("""COMPUTED_VALUE"""),78.0)</f>
        <v>78</v>
      </c>
      <c r="W145" s="188">
        <f>IFERROR(__xludf.DUMMYFUNCTION("""COMPUTED_VALUE"""),9.0)</f>
        <v>9</v>
      </c>
      <c r="X145" s="188">
        <f>IFERROR(__xludf.DUMMYFUNCTION("""COMPUTED_VALUE"""),7.0)</f>
        <v>7</v>
      </c>
      <c r="Y145" s="188">
        <f>IFERROR(__xludf.DUMMYFUNCTION("""COMPUTED_VALUE"""),0.0)</f>
        <v>0</v>
      </c>
      <c r="Z145" s="188">
        <f>IFERROR(__xludf.DUMMYFUNCTION("""COMPUTED_VALUE"""),1011.0)</f>
        <v>1011</v>
      </c>
    </row>
    <row r="146">
      <c r="A146" s="187">
        <f>IFERROR(__xludf.DUMMYFUNCTION("""COMPUTED_VALUE"""),44037.0)</f>
        <v>44037</v>
      </c>
      <c r="B146" s="188">
        <f>IFERROR(__xludf.DUMMYFUNCTION("""COMPUTED_VALUE"""),136.0)</f>
        <v>136</v>
      </c>
      <c r="C146" s="188">
        <f>IFERROR(__xludf.DUMMYFUNCTION("""COMPUTED_VALUE"""),151.0)</f>
        <v>151</v>
      </c>
      <c r="D146" s="188">
        <f>IFERROR(__xludf.DUMMYFUNCTION("""COMPUTED_VALUE"""),27264.0)</f>
        <v>27264</v>
      </c>
      <c r="E146" s="188">
        <f>IFERROR(__xludf.DUMMYFUNCTION("""COMPUTED_VALUE"""),4417.0)</f>
        <v>4417</v>
      </c>
      <c r="F146" s="149">
        <f>IFERROR(__xludf.DUMMYFUNCTION("""COMPUTED_VALUE"""),321758.0)</f>
        <v>321758</v>
      </c>
      <c r="G146" s="149">
        <f>IFERROR(__xludf.DUMMYFUNCTION("""COMPUTED_VALUE"""),4553.0)</f>
        <v>4553</v>
      </c>
      <c r="H146" s="149">
        <f>IFERROR(__xludf.DUMMYFUNCTION("""COMPUTED_VALUE"""),349022.0)</f>
        <v>349022</v>
      </c>
      <c r="I146" s="188">
        <f>IFERROR(__xludf.DUMMYFUNCTION("""COMPUTED_VALUE"""),107.0)</f>
        <v>107</v>
      </c>
      <c r="J146" s="188">
        <f>IFERROR(__xludf.DUMMYFUNCTION("""COMPUTED_VALUE"""),115.0)</f>
        <v>115</v>
      </c>
      <c r="K146" s="188">
        <f>IFERROR(__xludf.DUMMYFUNCTION("""COMPUTED_VALUE"""),18709.0)</f>
        <v>18709</v>
      </c>
      <c r="L146" s="188">
        <f>IFERROR(__xludf.DUMMYFUNCTION("""COMPUTED_VALUE"""),2101.0)</f>
        <v>2101</v>
      </c>
      <c r="M146" s="188">
        <f>IFERROR(__xludf.DUMMYFUNCTION("""COMPUTED_VALUE"""),179295.0)</f>
        <v>179295</v>
      </c>
      <c r="N146" s="188">
        <f>IFERROR(__xludf.DUMMYFUNCTION("""COMPUTED_VALUE"""),198004.0)</f>
        <v>198004</v>
      </c>
      <c r="O146" s="188">
        <f>IFERROR(__xludf.DUMMYFUNCTION("""COMPUTED_VALUE"""),7.0)</f>
        <v>7</v>
      </c>
      <c r="P146" s="188">
        <f>IFERROR(__xludf.DUMMYFUNCTION("""COMPUTED_VALUE"""),2210.0)</f>
        <v>2210</v>
      </c>
      <c r="Q146" s="188">
        <f>IFERROR(__xludf.DUMMYFUNCTION("""COMPUTED_VALUE"""),7.0)</f>
        <v>7</v>
      </c>
      <c r="R146" s="188">
        <f>IFERROR(__xludf.DUMMYFUNCTION("""COMPUTED_VALUE"""),1818.0)</f>
        <v>1818</v>
      </c>
      <c r="S146" s="188">
        <f>IFERROR(__xludf.DUMMYFUNCTION("""COMPUTED_VALUE"""),0.0)</f>
        <v>0</v>
      </c>
      <c r="T146" s="188">
        <f>IFERROR(__xludf.DUMMYFUNCTION("""COMPUTED_VALUE"""),313.0)</f>
        <v>313</v>
      </c>
      <c r="U146" s="188">
        <f>IFERROR(__xludf.DUMMYFUNCTION("""COMPUTED_VALUE"""),79.0)</f>
        <v>79</v>
      </c>
      <c r="V146" s="188">
        <f>IFERROR(__xludf.DUMMYFUNCTION("""COMPUTED_VALUE"""),79.0)</f>
        <v>79</v>
      </c>
      <c r="W146" s="188">
        <f>IFERROR(__xludf.DUMMYFUNCTION("""COMPUTED_VALUE"""),10.0)</f>
        <v>10</v>
      </c>
      <c r="X146" s="188">
        <f>IFERROR(__xludf.DUMMYFUNCTION("""COMPUTED_VALUE"""),8.0)</f>
        <v>8</v>
      </c>
      <c r="Y146" s="188">
        <f>IFERROR(__xludf.DUMMYFUNCTION("""COMPUTED_VALUE"""),2.0)</f>
        <v>2</v>
      </c>
      <c r="Z146" s="188">
        <f>IFERROR(__xludf.DUMMYFUNCTION("""COMPUTED_VALUE"""),1013.0)</f>
        <v>1013</v>
      </c>
    </row>
    <row r="147">
      <c r="A147" s="187">
        <f>IFERROR(__xludf.DUMMYFUNCTION("""COMPUTED_VALUE"""),44038.0)</f>
        <v>44038</v>
      </c>
      <c r="B147" s="188">
        <f>IFERROR(__xludf.DUMMYFUNCTION("""COMPUTED_VALUE"""),63.0)</f>
        <v>63</v>
      </c>
      <c r="C147" s="188">
        <f>IFERROR(__xludf.DUMMYFUNCTION("""COMPUTED_VALUE"""),125.0)</f>
        <v>125</v>
      </c>
      <c r="D147" s="188">
        <f>IFERROR(__xludf.DUMMYFUNCTION("""COMPUTED_VALUE"""),27327.0)</f>
        <v>27327</v>
      </c>
      <c r="E147" s="188">
        <f>IFERROR(__xludf.DUMMYFUNCTION("""COMPUTED_VALUE"""),3046.0)</f>
        <v>3046</v>
      </c>
      <c r="F147" s="149">
        <f>IFERROR(__xludf.DUMMYFUNCTION("""COMPUTED_VALUE"""),324804.0)</f>
        <v>324804</v>
      </c>
      <c r="G147" s="149">
        <f>IFERROR(__xludf.DUMMYFUNCTION("""COMPUTED_VALUE"""),3109.0)</f>
        <v>3109</v>
      </c>
      <c r="H147" s="149">
        <f>IFERROR(__xludf.DUMMYFUNCTION("""COMPUTED_VALUE"""),352131.0)</f>
        <v>352131</v>
      </c>
      <c r="I147" s="188">
        <f>IFERROR(__xludf.DUMMYFUNCTION("""COMPUTED_VALUE"""),54.0)</f>
        <v>54</v>
      </c>
      <c r="J147" s="188">
        <f>IFERROR(__xludf.DUMMYFUNCTION("""COMPUTED_VALUE"""),95.0)</f>
        <v>95</v>
      </c>
      <c r="K147" s="188">
        <f>IFERROR(__xludf.DUMMYFUNCTION("""COMPUTED_VALUE"""),18763.0)</f>
        <v>18763</v>
      </c>
      <c r="L147" s="188">
        <f>IFERROR(__xludf.DUMMYFUNCTION("""COMPUTED_VALUE"""),1340.0)</f>
        <v>1340</v>
      </c>
      <c r="M147" s="188">
        <f>IFERROR(__xludf.DUMMYFUNCTION("""COMPUTED_VALUE"""),180635.0)</f>
        <v>180635</v>
      </c>
      <c r="N147" s="188">
        <f>IFERROR(__xludf.DUMMYFUNCTION("""COMPUTED_VALUE"""),199398.0)</f>
        <v>199398</v>
      </c>
      <c r="O147" s="188">
        <f>IFERROR(__xludf.DUMMYFUNCTION("""COMPUTED_VALUE"""),8.0)</f>
        <v>8</v>
      </c>
      <c r="P147" s="188">
        <f>IFERROR(__xludf.DUMMYFUNCTION("""COMPUTED_VALUE"""),2218.0)</f>
        <v>2218</v>
      </c>
      <c r="Q147" s="188">
        <f>IFERROR(__xludf.DUMMYFUNCTION("""COMPUTED_VALUE"""),9.0)</f>
        <v>9</v>
      </c>
      <c r="R147" s="188">
        <f>IFERROR(__xludf.DUMMYFUNCTION("""COMPUTED_VALUE"""),1827.0)</f>
        <v>1827</v>
      </c>
      <c r="S147" s="188">
        <f>IFERROR(__xludf.DUMMYFUNCTION("""COMPUTED_VALUE"""),0.0)</f>
        <v>0</v>
      </c>
      <c r="T147" s="188">
        <f>IFERROR(__xludf.DUMMYFUNCTION("""COMPUTED_VALUE"""),313.0)</f>
        <v>313</v>
      </c>
      <c r="U147" s="188">
        <f>IFERROR(__xludf.DUMMYFUNCTION("""COMPUTED_VALUE"""),78.0)</f>
        <v>78</v>
      </c>
      <c r="V147" s="188">
        <f>IFERROR(__xludf.DUMMYFUNCTION("""COMPUTED_VALUE"""),79.0)</f>
        <v>79</v>
      </c>
      <c r="W147" s="188">
        <f>IFERROR(__xludf.DUMMYFUNCTION("""COMPUTED_VALUE"""),11.0)</f>
        <v>11</v>
      </c>
      <c r="X147" s="188">
        <f>IFERROR(__xludf.DUMMYFUNCTION("""COMPUTED_VALUE"""),7.0)</f>
        <v>7</v>
      </c>
      <c r="Y147" s="188">
        <f>IFERROR(__xludf.DUMMYFUNCTION("""COMPUTED_VALUE"""),1.0)</f>
        <v>1</v>
      </c>
      <c r="Z147" s="188">
        <f>IFERROR(__xludf.DUMMYFUNCTION("""COMPUTED_VALUE"""),1014.0)</f>
        <v>1014</v>
      </c>
    </row>
    <row r="148">
      <c r="A148" s="187">
        <f>IFERROR(__xludf.DUMMYFUNCTION("""COMPUTED_VALUE"""),44039.0)</f>
        <v>44039</v>
      </c>
      <c r="B148" s="188">
        <f>IFERROR(__xludf.DUMMYFUNCTION("""COMPUTED_VALUE"""),186.0)</f>
        <v>186</v>
      </c>
      <c r="C148" s="188">
        <f>IFERROR(__xludf.DUMMYFUNCTION("""COMPUTED_VALUE"""),128.0)</f>
        <v>128</v>
      </c>
      <c r="D148" s="188">
        <f>IFERROR(__xludf.DUMMYFUNCTION("""COMPUTED_VALUE"""),27513.0)</f>
        <v>27513</v>
      </c>
      <c r="E148" s="188">
        <f>IFERROR(__xludf.DUMMYFUNCTION("""COMPUTED_VALUE"""),4195.0)</f>
        <v>4195</v>
      </c>
      <c r="F148" s="149">
        <f>IFERROR(__xludf.DUMMYFUNCTION("""COMPUTED_VALUE"""),328999.0)</f>
        <v>328999</v>
      </c>
      <c r="G148" s="149">
        <f>IFERROR(__xludf.DUMMYFUNCTION("""COMPUTED_VALUE"""),4381.0)</f>
        <v>4381</v>
      </c>
      <c r="H148" s="149">
        <f>IFERROR(__xludf.DUMMYFUNCTION("""COMPUTED_VALUE"""),356512.0)</f>
        <v>356512</v>
      </c>
      <c r="I148" s="188">
        <f>IFERROR(__xludf.DUMMYFUNCTION("""COMPUTED_VALUE"""),141.0)</f>
        <v>141</v>
      </c>
      <c r="J148" s="188">
        <f>IFERROR(__xludf.DUMMYFUNCTION("""COMPUTED_VALUE"""),101.0)</f>
        <v>101</v>
      </c>
      <c r="K148" s="188">
        <f>IFERROR(__xludf.DUMMYFUNCTION("""COMPUTED_VALUE"""),18904.0)</f>
        <v>18904</v>
      </c>
      <c r="L148" s="188">
        <f>IFERROR(__xludf.DUMMYFUNCTION("""COMPUTED_VALUE"""),2334.0)</f>
        <v>2334</v>
      </c>
      <c r="M148" s="188">
        <f>IFERROR(__xludf.DUMMYFUNCTION("""COMPUTED_VALUE"""),182969.0)</f>
        <v>182969</v>
      </c>
      <c r="N148" s="188">
        <f>IFERROR(__xludf.DUMMYFUNCTION("""COMPUTED_VALUE"""),201873.0)</f>
        <v>201873</v>
      </c>
      <c r="O148" s="188">
        <f>IFERROR(__xludf.DUMMYFUNCTION("""COMPUTED_VALUE"""),12.0)</f>
        <v>12</v>
      </c>
      <c r="P148" s="188">
        <f>IFERROR(__xludf.DUMMYFUNCTION("""COMPUTED_VALUE"""),2230.0)</f>
        <v>2230</v>
      </c>
      <c r="Q148" s="188">
        <f>IFERROR(__xludf.DUMMYFUNCTION("""COMPUTED_VALUE"""),7.0)</f>
        <v>7</v>
      </c>
      <c r="R148" s="188">
        <f>IFERROR(__xludf.DUMMYFUNCTION("""COMPUTED_VALUE"""),1834.0)</f>
        <v>1834</v>
      </c>
      <c r="S148" s="188">
        <f>IFERROR(__xludf.DUMMYFUNCTION("""COMPUTED_VALUE"""),0.0)</f>
        <v>0</v>
      </c>
      <c r="T148" s="188">
        <f>IFERROR(__xludf.DUMMYFUNCTION("""COMPUTED_VALUE"""),313.0)</f>
        <v>313</v>
      </c>
      <c r="U148" s="188">
        <f>IFERROR(__xludf.DUMMYFUNCTION("""COMPUTED_VALUE"""),83.0)</f>
        <v>83</v>
      </c>
      <c r="V148" s="188">
        <f>IFERROR(__xludf.DUMMYFUNCTION("""COMPUTED_VALUE"""),80.0)</f>
        <v>80</v>
      </c>
      <c r="W148" s="188">
        <f>IFERROR(__xludf.DUMMYFUNCTION("""COMPUTED_VALUE"""),13.0)</f>
        <v>13</v>
      </c>
      <c r="X148" s="188">
        <f>IFERROR(__xludf.DUMMYFUNCTION("""COMPUTED_VALUE"""),8.0)</f>
        <v>8</v>
      </c>
      <c r="Y148" s="188">
        <f>IFERROR(__xludf.DUMMYFUNCTION("""COMPUTED_VALUE"""),1.0)</f>
        <v>1</v>
      </c>
      <c r="Z148" s="188">
        <f>IFERROR(__xludf.DUMMYFUNCTION("""COMPUTED_VALUE"""),1015.0)</f>
        <v>1015</v>
      </c>
    </row>
    <row r="149">
      <c r="A149" s="187">
        <f>IFERROR(__xludf.DUMMYFUNCTION("""COMPUTED_VALUE"""),44040.0)</f>
        <v>44040</v>
      </c>
      <c r="B149" s="188">
        <f>IFERROR(__xludf.DUMMYFUNCTION("""COMPUTED_VALUE"""),105.0)</f>
        <v>105</v>
      </c>
      <c r="C149" s="188">
        <f>IFERROR(__xludf.DUMMYFUNCTION("""COMPUTED_VALUE"""),118.0)</f>
        <v>118</v>
      </c>
      <c r="D149" s="188">
        <f>IFERROR(__xludf.DUMMYFUNCTION("""COMPUTED_VALUE"""),27618.0)</f>
        <v>27618</v>
      </c>
      <c r="E149" s="188">
        <f>IFERROR(__xludf.DUMMYFUNCTION("""COMPUTED_VALUE"""),3866.0)</f>
        <v>3866</v>
      </c>
      <c r="F149" s="149">
        <f>IFERROR(__xludf.DUMMYFUNCTION("""COMPUTED_VALUE"""),332865.0)</f>
        <v>332865</v>
      </c>
      <c r="G149" s="149">
        <f>IFERROR(__xludf.DUMMYFUNCTION("""COMPUTED_VALUE"""),3971.0)</f>
        <v>3971</v>
      </c>
      <c r="H149" s="149">
        <f>IFERROR(__xludf.DUMMYFUNCTION("""COMPUTED_VALUE"""),360483.0)</f>
        <v>360483</v>
      </c>
      <c r="I149" s="188">
        <f>IFERROR(__xludf.DUMMYFUNCTION("""COMPUTED_VALUE"""),94.0)</f>
        <v>94</v>
      </c>
      <c r="J149" s="188">
        <f>IFERROR(__xludf.DUMMYFUNCTION("""COMPUTED_VALUE"""),96.0)</f>
        <v>96</v>
      </c>
      <c r="K149" s="188">
        <f>IFERROR(__xludf.DUMMYFUNCTION("""COMPUTED_VALUE"""),18998.0)</f>
        <v>18998</v>
      </c>
      <c r="L149" s="188">
        <f>IFERROR(__xludf.DUMMYFUNCTION("""COMPUTED_VALUE"""),1635.0)</f>
        <v>1635</v>
      </c>
      <c r="M149" s="188">
        <f>IFERROR(__xludf.DUMMYFUNCTION("""COMPUTED_VALUE"""),184604.0)</f>
        <v>184604</v>
      </c>
      <c r="N149" s="188">
        <f>IFERROR(__xludf.DUMMYFUNCTION("""COMPUTED_VALUE"""),203602.0)</f>
        <v>203602</v>
      </c>
      <c r="O149" s="188">
        <f>IFERROR(__xludf.DUMMYFUNCTION("""COMPUTED_VALUE"""),5.0)</f>
        <v>5</v>
      </c>
      <c r="P149" s="188">
        <f>IFERROR(__xludf.DUMMYFUNCTION("""COMPUTED_VALUE"""),2235.0)</f>
        <v>2235</v>
      </c>
      <c r="Q149" s="188">
        <f>IFERROR(__xludf.DUMMYFUNCTION("""COMPUTED_VALUE"""),5.0)</f>
        <v>5</v>
      </c>
      <c r="R149" s="188">
        <f>IFERROR(__xludf.DUMMYFUNCTION("""COMPUTED_VALUE"""),1839.0)</f>
        <v>1839</v>
      </c>
      <c r="S149" s="188">
        <f>IFERROR(__xludf.DUMMYFUNCTION("""COMPUTED_VALUE"""),0.0)</f>
        <v>0</v>
      </c>
      <c r="T149" s="188">
        <f>IFERROR(__xludf.DUMMYFUNCTION("""COMPUTED_VALUE"""),313.0)</f>
        <v>313</v>
      </c>
      <c r="U149" s="188">
        <f>IFERROR(__xludf.DUMMYFUNCTION("""COMPUTED_VALUE"""),83.0)</f>
        <v>83</v>
      </c>
      <c r="V149" s="188">
        <f>IFERROR(__xludf.DUMMYFUNCTION("""COMPUTED_VALUE"""),81.0)</f>
        <v>81</v>
      </c>
      <c r="W149" s="188">
        <f>IFERROR(__xludf.DUMMYFUNCTION("""COMPUTED_VALUE"""),14.0)</f>
        <v>14</v>
      </c>
      <c r="X149" s="188">
        <f>IFERROR(__xludf.DUMMYFUNCTION("""COMPUTED_VALUE"""),7.0)</f>
        <v>7</v>
      </c>
      <c r="Y149" s="188">
        <f>IFERROR(__xludf.DUMMYFUNCTION("""COMPUTED_VALUE"""),1.0)</f>
        <v>1</v>
      </c>
      <c r="Z149" s="188">
        <f>IFERROR(__xludf.DUMMYFUNCTION("""COMPUTED_VALUE"""),1016.0)</f>
        <v>1016</v>
      </c>
    </row>
    <row r="150">
      <c r="A150" s="187">
        <f>IFERROR(__xludf.DUMMYFUNCTION("""COMPUTED_VALUE"""),44041.0)</f>
        <v>44041</v>
      </c>
      <c r="B150" s="188">
        <f>IFERROR(__xludf.DUMMYFUNCTION("""COMPUTED_VALUE"""),191.0)</f>
        <v>191</v>
      </c>
      <c r="C150" s="188">
        <f>IFERROR(__xludf.DUMMYFUNCTION("""COMPUTED_VALUE"""),161.0)</f>
        <v>161</v>
      </c>
      <c r="D150" s="188">
        <f>IFERROR(__xludf.DUMMYFUNCTION("""COMPUTED_VALUE"""),27809.0)</f>
        <v>27809</v>
      </c>
      <c r="E150" s="188">
        <f>IFERROR(__xludf.DUMMYFUNCTION("""COMPUTED_VALUE"""),5236.0)</f>
        <v>5236</v>
      </c>
      <c r="F150" s="149">
        <f>IFERROR(__xludf.DUMMYFUNCTION("""COMPUTED_VALUE"""),338101.0)</f>
        <v>338101</v>
      </c>
      <c r="G150" s="149">
        <f>IFERROR(__xludf.DUMMYFUNCTION("""COMPUTED_VALUE"""),5427.0)</f>
        <v>5427</v>
      </c>
      <c r="H150" s="149">
        <f>IFERROR(__xludf.DUMMYFUNCTION("""COMPUTED_VALUE"""),365910.0)</f>
        <v>365910</v>
      </c>
      <c r="I150" s="188">
        <f>IFERROR(__xludf.DUMMYFUNCTION("""COMPUTED_VALUE"""),157.0)</f>
        <v>157</v>
      </c>
      <c r="J150" s="188">
        <f>IFERROR(__xludf.DUMMYFUNCTION("""COMPUTED_VALUE"""),131.0)</f>
        <v>131</v>
      </c>
      <c r="K150" s="188">
        <f>IFERROR(__xludf.DUMMYFUNCTION("""COMPUTED_VALUE"""),19155.0)</f>
        <v>19155</v>
      </c>
      <c r="L150" s="188">
        <f>IFERROR(__xludf.DUMMYFUNCTION("""COMPUTED_VALUE"""),2325.0)</f>
        <v>2325</v>
      </c>
      <c r="M150" s="188">
        <f>IFERROR(__xludf.DUMMYFUNCTION("""COMPUTED_VALUE"""),186929.0)</f>
        <v>186929</v>
      </c>
      <c r="N150" s="188">
        <f>IFERROR(__xludf.DUMMYFUNCTION("""COMPUTED_VALUE"""),206084.0)</f>
        <v>206084</v>
      </c>
      <c r="O150" s="188">
        <f>IFERROR(__xludf.DUMMYFUNCTION("""COMPUTED_VALUE"""),11.0)</f>
        <v>11</v>
      </c>
      <c r="P150" s="188">
        <f>IFERROR(__xludf.DUMMYFUNCTION("""COMPUTED_VALUE"""),2246.0)</f>
        <v>2246</v>
      </c>
      <c r="Q150" s="188">
        <f>IFERROR(__xludf.DUMMYFUNCTION("""COMPUTED_VALUE"""),12.0)</f>
        <v>12</v>
      </c>
      <c r="R150" s="188">
        <f>IFERROR(__xludf.DUMMYFUNCTION("""COMPUTED_VALUE"""),1851.0)</f>
        <v>1851</v>
      </c>
      <c r="S150" s="188">
        <f>IFERROR(__xludf.DUMMYFUNCTION("""COMPUTED_VALUE"""),0.0)</f>
        <v>0</v>
      </c>
      <c r="T150" s="188">
        <f>IFERROR(__xludf.DUMMYFUNCTION("""COMPUTED_VALUE"""),313.0)</f>
        <v>313</v>
      </c>
      <c r="U150" s="188">
        <f>IFERROR(__xludf.DUMMYFUNCTION("""COMPUTED_VALUE"""),82.0)</f>
        <v>82</v>
      </c>
      <c r="V150" s="188">
        <f>IFERROR(__xludf.DUMMYFUNCTION("""COMPUTED_VALUE"""),83.0)</f>
        <v>83</v>
      </c>
      <c r="W150" s="188">
        <f>IFERROR(__xludf.DUMMYFUNCTION("""COMPUTED_VALUE"""),15.0)</f>
        <v>15</v>
      </c>
      <c r="X150" s="188">
        <f>IFERROR(__xludf.DUMMYFUNCTION("""COMPUTED_VALUE"""),7.0)</f>
        <v>7</v>
      </c>
      <c r="Y150" s="188">
        <f>IFERROR(__xludf.DUMMYFUNCTION("""COMPUTED_VALUE"""),0.0)</f>
        <v>0</v>
      </c>
      <c r="Z150" s="188">
        <f>IFERROR(__xludf.DUMMYFUNCTION("""COMPUTED_VALUE"""),1016.0)</f>
        <v>1016</v>
      </c>
    </row>
    <row r="151">
      <c r="A151" s="187">
        <f>IFERROR(__xludf.DUMMYFUNCTION("""COMPUTED_VALUE"""),44042.0)</f>
        <v>44042</v>
      </c>
      <c r="B151" s="188">
        <f>IFERROR(__xludf.DUMMYFUNCTION("""COMPUTED_VALUE"""),121.0)</f>
        <v>121</v>
      </c>
      <c r="C151" s="188">
        <f>IFERROR(__xludf.DUMMYFUNCTION("""COMPUTED_VALUE"""),139.0)</f>
        <v>139</v>
      </c>
      <c r="D151" s="188">
        <f>IFERROR(__xludf.DUMMYFUNCTION("""COMPUTED_VALUE"""),27930.0)</f>
        <v>27930</v>
      </c>
      <c r="E151" s="188">
        <f>IFERROR(__xludf.DUMMYFUNCTION("""COMPUTED_VALUE"""),4358.0)</f>
        <v>4358</v>
      </c>
      <c r="F151" s="149">
        <f>IFERROR(__xludf.DUMMYFUNCTION("""COMPUTED_VALUE"""),342459.0)</f>
        <v>342459</v>
      </c>
      <c r="G151" s="149">
        <f>IFERROR(__xludf.DUMMYFUNCTION("""COMPUTED_VALUE"""),4479.0)</f>
        <v>4479</v>
      </c>
      <c r="H151" s="149">
        <f>IFERROR(__xludf.DUMMYFUNCTION("""COMPUTED_VALUE"""),370389.0)</f>
        <v>370389</v>
      </c>
      <c r="I151" s="188">
        <f>IFERROR(__xludf.DUMMYFUNCTION("""COMPUTED_VALUE"""),96.0)</f>
        <v>96</v>
      </c>
      <c r="J151" s="188">
        <f>IFERROR(__xludf.DUMMYFUNCTION("""COMPUTED_VALUE"""),116.0)</f>
        <v>116</v>
      </c>
      <c r="K151" s="188">
        <f>IFERROR(__xludf.DUMMYFUNCTION("""COMPUTED_VALUE"""),19251.0)</f>
        <v>19251</v>
      </c>
      <c r="L151" s="188">
        <f>IFERROR(__xludf.DUMMYFUNCTION("""COMPUTED_VALUE"""),1651.0)</f>
        <v>1651</v>
      </c>
      <c r="M151" s="188">
        <f>IFERROR(__xludf.DUMMYFUNCTION("""COMPUTED_VALUE"""),188580.0)</f>
        <v>188580</v>
      </c>
      <c r="N151" s="188">
        <f>IFERROR(__xludf.DUMMYFUNCTION("""COMPUTED_VALUE"""),207831.0)</f>
        <v>207831</v>
      </c>
      <c r="O151" s="188">
        <f>IFERROR(__xludf.DUMMYFUNCTION("""COMPUTED_VALUE"""),6.0)</f>
        <v>6</v>
      </c>
      <c r="P151" s="188">
        <f>IFERROR(__xludf.DUMMYFUNCTION("""COMPUTED_VALUE"""),2252.0)</f>
        <v>2252</v>
      </c>
      <c r="Q151" s="188">
        <f>IFERROR(__xludf.DUMMYFUNCTION("""COMPUTED_VALUE"""),2.0)</f>
        <v>2</v>
      </c>
      <c r="R151" s="188">
        <f>IFERROR(__xludf.DUMMYFUNCTION("""COMPUTED_VALUE"""),1853.0)</f>
        <v>1853</v>
      </c>
      <c r="S151" s="188">
        <f>IFERROR(__xludf.DUMMYFUNCTION("""COMPUTED_VALUE"""),1.0)</f>
        <v>1</v>
      </c>
      <c r="T151" s="188">
        <f>IFERROR(__xludf.DUMMYFUNCTION("""COMPUTED_VALUE"""),314.0)</f>
        <v>314</v>
      </c>
      <c r="U151" s="188">
        <f>IFERROR(__xludf.DUMMYFUNCTION("""COMPUTED_VALUE"""),85.0)</f>
        <v>85</v>
      </c>
      <c r="V151" s="188">
        <f>IFERROR(__xludf.DUMMYFUNCTION("""COMPUTED_VALUE"""),83.0)</f>
        <v>83</v>
      </c>
      <c r="W151" s="188">
        <f>IFERROR(__xludf.DUMMYFUNCTION("""COMPUTED_VALUE"""),15.0)</f>
        <v>15</v>
      </c>
      <c r="X151" s="188">
        <f>IFERROR(__xludf.DUMMYFUNCTION("""COMPUTED_VALUE"""),6.0)</f>
        <v>6</v>
      </c>
      <c r="Y151" s="188">
        <f>IFERROR(__xludf.DUMMYFUNCTION("""COMPUTED_VALUE"""),1.0)</f>
        <v>1</v>
      </c>
      <c r="Z151" s="188">
        <f>IFERROR(__xludf.DUMMYFUNCTION("""COMPUTED_VALUE"""),1017.0)</f>
        <v>1017</v>
      </c>
    </row>
    <row r="152">
      <c r="A152" s="187">
        <f>IFERROR(__xludf.DUMMYFUNCTION("""COMPUTED_VALUE"""),44043.0)</f>
        <v>44043</v>
      </c>
      <c r="B152" s="188">
        <f>IFERROR(__xludf.DUMMYFUNCTION("""COMPUTED_VALUE"""),132.0)</f>
        <v>132</v>
      </c>
      <c r="C152" s="188">
        <f>IFERROR(__xludf.DUMMYFUNCTION("""COMPUTED_VALUE"""),148.0)</f>
        <v>148</v>
      </c>
      <c r="D152" s="188">
        <f>IFERROR(__xludf.DUMMYFUNCTION("""COMPUTED_VALUE"""),28062.0)</f>
        <v>28062</v>
      </c>
      <c r="E152" s="188">
        <f>IFERROR(__xludf.DUMMYFUNCTION("""COMPUTED_VALUE"""),5527.0)</f>
        <v>5527</v>
      </c>
      <c r="F152" s="149">
        <f>IFERROR(__xludf.DUMMYFUNCTION("""COMPUTED_VALUE"""),347986.0)</f>
        <v>347986</v>
      </c>
      <c r="G152" s="149">
        <f>IFERROR(__xludf.DUMMYFUNCTION("""COMPUTED_VALUE"""),5659.0)</f>
        <v>5659</v>
      </c>
      <c r="H152" s="149">
        <f>IFERROR(__xludf.DUMMYFUNCTION("""COMPUTED_VALUE"""),376048.0)</f>
        <v>376048</v>
      </c>
      <c r="I152" s="188">
        <f>IFERROR(__xludf.DUMMYFUNCTION("""COMPUTED_VALUE"""),90.0)</f>
        <v>90</v>
      </c>
      <c r="J152" s="188">
        <f>IFERROR(__xludf.DUMMYFUNCTION("""COMPUTED_VALUE"""),114.0)</f>
        <v>114</v>
      </c>
      <c r="K152" s="188">
        <f>IFERROR(__xludf.DUMMYFUNCTION("""COMPUTED_VALUE"""),19341.0)</f>
        <v>19341</v>
      </c>
      <c r="L152" s="188">
        <f>IFERROR(__xludf.DUMMYFUNCTION("""COMPUTED_VALUE"""),1859.0)</f>
        <v>1859</v>
      </c>
      <c r="M152" s="188">
        <f>IFERROR(__xludf.DUMMYFUNCTION("""COMPUTED_VALUE"""),190439.0)</f>
        <v>190439</v>
      </c>
      <c r="N152" s="188">
        <f>IFERROR(__xludf.DUMMYFUNCTION("""COMPUTED_VALUE"""),209780.0)</f>
        <v>209780</v>
      </c>
      <c r="O152" s="188">
        <f>IFERROR(__xludf.DUMMYFUNCTION("""COMPUTED_VALUE"""),8.0)</f>
        <v>8</v>
      </c>
      <c r="P152" s="188">
        <f>IFERROR(__xludf.DUMMYFUNCTION("""COMPUTED_VALUE"""),2260.0)</f>
        <v>2260</v>
      </c>
      <c r="Q152" s="188">
        <f>IFERROR(__xludf.DUMMYFUNCTION("""COMPUTED_VALUE"""),10.0)</f>
        <v>10</v>
      </c>
      <c r="R152" s="188">
        <f>IFERROR(__xludf.DUMMYFUNCTION("""COMPUTED_VALUE"""),1863.0)</f>
        <v>1863</v>
      </c>
      <c r="S152" s="188">
        <f>IFERROR(__xludf.DUMMYFUNCTION("""COMPUTED_VALUE"""),0.0)</f>
        <v>0</v>
      </c>
      <c r="T152" s="188">
        <f>IFERROR(__xludf.DUMMYFUNCTION("""COMPUTED_VALUE"""),314.0)</f>
        <v>314</v>
      </c>
      <c r="U152" s="188">
        <f>IFERROR(__xludf.DUMMYFUNCTION("""COMPUTED_VALUE"""),83.0)</f>
        <v>83</v>
      </c>
      <c r="V152" s="188">
        <f>IFERROR(__xludf.DUMMYFUNCTION("""COMPUTED_VALUE"""),83.0)</f>
        <v>83</v>
      </c>
      <c r="W152" s="188">
        <f>IFERROR(__xludf.DUMMYFUNCTION("""COMPUTED_VALUE"""),15.0)</f>
        <v>15</v>
      </c>
      <c r="X152" s="188">
        <f>IFERROR(__xludf.DUMMYFUNCTION("""COMPUTED_VALUE"""),7.0)</f>
        <v>7</v>
      </c>
      <c r="Y152" s="188">
        <f>IFERROR(__xludf.DUMMYFUNCTION("""COMPUTED_VALUE"""),0.0)</f>
        <v>0</v>
      </c>
      <c r="Z152" s="188">
        <f>IFERROR(__xludf.DUMMYFUNCTION("""COMPUTED_VALUE"""),1017.0)</f>
        <v>1017</v>
      </c>
    </row>
    <row r="153">
      <c r="A153" s="187">
        <f>IFERROR(__xludf.DUMMYFUNCTION("""COMPUTED_VALUE"""),44044.0)</f>
        <v>44044</v>
      </c>
      <c r="B153" s="188">
        <f>IFERROR(__xludf.DUMMYFUNCTION("""COMPUTED_VALUE"""),109.0)</f>
        <v>109</v>
      </c>
      <c r="C153" s="188">
        <f>IFERROR(__xludf.DUMMYFUNCTION("""COMPUTED_VALUE"""),121.0)</f>
        <v>121</v>
      </c>
      <c r="D153" s="188">
        <f>IFERROR(__xludf.DUMMYFUNCTION("""COMPUTED_VALUE"""),28171.0)</f>
        <v>28171</v>
      </c>
      <c r="E153" s="188">
        <f>IFERROR(__xludf.DUMMYFUNCTION("""COMPUTED_VALUE"""),4320.0)</f>
        <v>4320</v>
      </c>
      <c r="F153" s="149">
        <f>IFERROR(__xludf.DUMMYFUNCTION("""COMPUTED_VALUE"""),352306.0)</f>
        <v>352306</v>
      </c>
      <c r="G153" s="149">
        <f>IFERROR(__xludf.DUMMYFUNCTION("""COMPUTED_VALUE"""),4429.0)</f>
        <v>4429</v>
      </c>
      <c r="H153" s="149">
        <f>IFERROR(__xludf.DUMMYFUNCTION("""COMPUTED_VALUE"""),380477.0)</f>
        <v>380477</v>
      </c>
      <c r="I153" s="188">
        <f>IFERROR(__xludf.DUMMYFUNCTION("""COMPUTED_VALUE"""),88.0)</f>
        <v>88</v>
      </c>
      <c r="J153" s="188">
        <f>IFERROR(__xludf.DUMMYFUNCTION("""COMPUTED_VALUE"""),91.0)</f>
        <v>91</v>
      </c>
      <c r="K153" s="188">
        <f>IFERROR(__xludf.DUMMYFUNCTION("""COMPUTED_VALUE"""),19429.0)</f>
        <v>19429</v>
      </c>
      <c r="L153" s="188">
        <f>IFERROR(__xludf.DUMMYFUNCTION("""COMPUTED_VALUE"""),1559.0)</f>
        <v>1559</v>
      </c>
      <c r="M153" s="188">
        <f>IFERROR(__xludf.DUMMYFUNCTION("""COMPUTED_VALUE"""),191998.0)</f>
        <v>191998</v>
      </c>
      <c r="N153" s="188">
        <f>IFERROR(__xludf.DUMMYFUNCTION("""COMPUTED_VALUE"""),211427.0)</f>
        <v>211427</v>
      </c>
      <c r="O153" s="188">
        <f>IFERROR(__xludf.DUMMYFUNCTION("""COMPUTED_VALUE"""),7.0)</f>
        <v>7</v>
      </c>
      <c r="P153" s="188">
        <f>IFERROR(__xludf.DUMMYFUNCTION("""COMPUTED_VALUE"""),2267.0)</f>
        <v>2267</v>
      </c>
      <c r="Q153" s="188">
        <f>IFERROR(__xludf.DUMMYFUNCTION("""COMPUTED_VALUE"""),2.0)</f>
        <v>2</v>
      </c>
      <c r="R153" s="188">
        <f>IFERROR(__xludf.DUMMYFUNCTION("""COMPUTED_VALUE"""),1865.0)</f>
        <v>1865</v>
      </c>
      <c r="S153" s="188">
        <f>IFERROR(__xludf.DUMMYFUNCTION("""COMPUTED_VALUE"""),0.0)</f>
        <v>0</v>
      </c>
      <c r="T153" s="188">
        <f>IFERROR(__xludf.DUMMYFUNCTION("""COMPUTED_VALUE"""),314.0)</f>
        <v>314</v>
      </c>
      <c r="U153" s="188">
        <f>IFERROR(__xludf.DUMMYFUNCTION("""COMPUTED_VALUE"""),88.0)</f>
        <v>88</v>
      </c>
      <c r="V153" s="188">
        <f>IFERROR(__xludf.DUMMYFUNCTION("""COMPUTED_VALUE"""),85.0)</f>
        <v>85</v>
      </c>
      <c r="W153" s="188">
        <f>IFERROR(__xludf.DUMMYFUNCTION("""COMPUTED_VALUE"""),14.0)</f>
        <v>14</v>
      </c>
      <c r="X153" s="188">
        <f>IFERROR(__xludf.DUMMYFUNCTION("""COMPUTED_VALUE"""),7.0)</f>
        <v>7</v>
      </c>
      <c r="Y153" s="188">
        <f>IFERROR(__xludf.DUMMYFUNCTION("""COMPUTED_VALUE"""),1.0)</f>
        <v>1</v>
      </c>
      <c r="Z153" s="188">
        <f>IFERROR(__xludf.DUMMYFUNCTION("""COMPUTED_VALUE"""),1018.0)</f>
        <v>1018</v>
      </c>
    </row>
    <row r="154">
      <c r="A154" s="187">
        <f>IFERROR(__xludf.DUMMYFUNCTION("""COMPUTED_VALUE"""),44045.0)</f>
        <v>44045</v>
      </c>
      <c r="B154" s="188">
        <f>IFERROR(__xludf.DUMMYFUNCTION("""COMPUTED_VALUE"""),84.0)</f>
        <v>84</v>
      </c>
      <c r="C154" s="188">
        <f>IFERROR(__xludf.DUMMYFUNCTION("""COMPUTED_VALUE"""),108.0)</f>
        <v>108</v>
      </c>
      <c r="D154" s="188">
        <f>IFERROR(__xludf.DUMMYFUNCTION("""COMPUTED_VALUE"""),28255.0)</f>
        <v>28255</v>
      </c>
      <c r="E154" s="188">
        <f>IFERROR(__xludf.DUMMYFUNCTION("""COMPUTED_VALUE"""),2818.0)</f>
        <v>2818</v>
      </c>
      <c r="F154" s="149">
        <f>IFERROR(__xludf.DUMMYFUNCTION("""COMPUTED_VALUE"""),355124.0)</f>
        <v>355124</v>
      </c>
      <c r="G154" s="149">
        <f>IFERROR(__xludf.DUMMYFUNCTION("""COMPUTED_VALUE"""),2902.0)</f>
        <v>2902</v>
      </c>
      <c r="H154" s="149">
        <f>IFERROR(__xludf.DUMMYFUNCTION("""COMPUTED_VALUE"""),383379.0)</f>
        <v>383379</v>
      </c>
      <c r="I154" s="188">
        <f>IFERROR(__xludf.DUMMYFUNCTION("""COMPUTED_VALUE"""),62.0)</f>
        <v>62</v>
      </c>
      <c r="J154" s="188">
        <f>IFERROR(__xludf.DUMMYFUNCTION("""COMPUTED_VALUE"""),80.0)</f>
        <v>80</v>
      </c>
      <c r="K154" s="188">
        <f>IFERROR(__xludf.DUMMYFUNCTION("""COMPUTED_VALUE"""),19491.0)</f>
        <v>19491</v>
      </c>
      <c r="L154" s="188">
        <f>IFERROR(__xludf.DUMMYFUNCTION("""COMPUTED_VALUE"""),1276.0)</f>
        <v>1276</v>
      </c>
      <c r="M154" s="188">
        <f>IFERROR(__xludf.DUMMYFUNCTION("""COMPUTED_VALUE"""),193274.0)</f>
        <v>193274</v>
      </c>
      <c r="N154" s="188">
        <f>IFERROR(__xludf.DUMMYFUNCTION("""COMPUTED_VALUE"""),212765.0)</f>
        <v>212765</v>
      </c>
      <c r="O154" s="188">
        <f>IFERROR(__xludf.DUMMYFUNCTION("""COMPUTED_VALUE"""),12.0)</f>
        <v>12</v>
      </c>
      <c r="P154" s="188">
        <f>IFERROR(__xludf.DUMMYFUNCTION("""COMPUTED_VALUE"""),2279.0)</f>
        <v>2279</v>
      </c>
      <c r="Q154" s="188">
        <f>IFERROR(__xludf.DUMMYFUNCTION("""COMPUTED_VALUE"""),12.0)</f>
        <v>12</v>
      </c>
      <c r="R154" s="188">
        <f>IFERROR(__xludf.DUMMYFUNCTION("""COMPUTED_VALUE"""),1877.0)</f>
        <v>1877</v>
      </c>
      <c r="S154" s="188">
        <f>IFERROR(__xludf.DUMMYFUNCTION("""COMPUTED_VALUE"""),2.0)</f>
        <v>2</v>
      </c>
      <c r="T154" s="188">
        <f>IFERROR(__xludf.DUMMYFUNCTION("""COMPUTED_VALUE"""),316.0)</f>
        <v>316</v>
      </c>
      <c r="U154" s="188">
        <f>IFERROR(__xludf.DUMMYFUNCTION("""COMPUTED_VALUE"""),86.0)</f>
        <v>86</v>
      </c>
      <c r="V154" s="188">
        <f>IFERROR(__xludf.DUMMYFUNCTION("""COMPUTED_VALUE"""),86.0)</f>
        <v>86</v>
      </c>
      <c r="W154" s="188">
        <f>IFERROR(__xludf.DUMMYFUNCTION("""COMPUTED_VALUE"""),14.0)</f>
        <v>14</v>
      </c>
      <c r="X154" s="188">
        <f>IFERROR(__xludf.DUMMYFUNCTION("""COMPUTED_VALUE"""),8.0)</f>
        <v>8</v>
      </c>
      <c r="Y154" s="188">
        <f>IFERROR(__xludf.DUMMYFUNCTION("""COMPUTED_VALUE"""),2.0)</f>
        <v>2</v>
      </c>
      <c r="Z154" s="188">
        <f>IFERROR(__xludf.DUMMYFUNCTION("""COMPUTED_VALUE"""),1020.0)</f>
        <v>1020</v>
      </c>
    </row>
    <row r="155">
      <c r="A155" s="187">
        <f>IFERROR(__xludf.DUMMYFUNCTION("""COMPUTED_VALUE"""),44046.0)</f>
        <v>44046</v>
      </c>
      <c r="B155" s="188">
        <f>IFERROR(__xludf.DUMMYFUNCTION("""COMPUTED_VALUE"""),187.0)</f>
        <v>187</v>
      </c>
      <c r="C155" s="188">
        <f>IFERROR(__xludf.DUMMYFUNCTION("""COMPUTED_VALUE"""),127.0)</f>
        <v>127</v>
      </c>
      <c r="D155" s="188">
        <f>IFERROR(__xludf.DUMMYFUNCTION("""COMPUTED_VALUE"""),28442.0)</f>
        <v>28442</v>
      </c>
      <c r="E155" s="188">
        <f>IFERROR(__xludf.DUMMYFUNCTION("""COMPUTED_VALUE"""),5218.0)</f>
        <v>5218</v>
      </c>
      <c r="F155" s="149">
        <f>IFERROR(__xludf.DUMMYFUNCTION("""COMPUTED_VALUE"""),360342.0)</f>
        <v>360342</v>
      </c>
      <c r="G155" s="149">
        <f>IFERROR(__xludf.DUMMYFUNCTION("""COMPUTED_VALUE"""),5405.0)</f>
        <v>5405</v>
      </c>
      <c r="H155" s="149">
        <f>IFERROR(__xludf.DUMMYFUNCTION("""COMPUTED_VALUE"""),388784.0)</f>
        <v>388784</v>
      </c>
      <c r="I155" s="188">
        <f>IFERROR(__xludf.DUMMYFUNCTION("""COMPUTED_VALUE"""),154.0)</f>
        <v>154</v>
      </c>
      <c r="J155" s="188">
        <f>IFERROR(__xludf.DUMMYFUNCTION("""COMPUTED_VALUE"""),101.0)</f>
        <v>101</v>
      </c>
      <c r="K155" s="188">
        <f>IFERROR(__xludf.DUMMYFUNCTION("""COMPUTED_VALUE"""),19645.0)</f>
        <v>19645</v>
      </c>
      <c r="L155" s="188">
        <f>IFERROR(__xludf.DUMMYFUNCTION("""COMPUTED_VALUE"""),2187.0)</f>
        <v>2187</v>
      </c>
      <c r="M155" s="188">
        <f>IFERROR(__xludf.DUMMYFUNCTION("""COMPUTED_VALUE"""),195461.0)</f>
        <v>195461</v>
      </c>
      <c r="N155" s="188">
        <f>IFERROR(__xludf.DUMMYFUNCTION("""COMPUTED_VALUE"""),215106.0)</f>
        <v>215106</v>
      </c>
      <c r="O155" s="188">
        <f>IFERROR(__xludf.DUMMYFUNCTION("""COMPUTED_VALUE"""),13.0)</f>
        <v>13</v>
      </c>
      <c r="P155" s="188">
        <f>IFERROR(__xludf.DUMMYFUNCTION("""COMPUTED_VALUE"""),2292.0)</f>
        <v>2292</v>
      </c>
      <c r="Q155" s="188">
        <f>IFERROR(__xludf.DUMMYFUNCTION("""COMPUTED_VALUE"""),12.0)</f>
        <v>12</v>
      </c>
      <c r="R155" s="188">
        <f>IFERROR(__xludf.DUMMYFUNCTION("""COMPUTED_VALUE"""),1889.0)</f>
        <v>1889</v>
      </c>
      <c r="S155" s="188">
        <f>IFERROR(__xludf.DUMMYFUNCTION("""COMPUTED_VALUE"""),0.0)</f>
        <v>0</v>
      </c>
      <c r="T155" s="188">
        <f>IFERROR(__xludf.DUMMYFUNCTION("""COMPUTED_VALUE"""),316.0)</f>
        <v>316</v>
      </c>
      <c r="U155" s="188">
        <f>IFERROR(__xludf.DUMMYFUNCTION("""COMPUTED_VALUE"""),87.0)</f>
        <v>87</v>
      </c>
      <c r="V155" s="188">
        <f>IFERROR(__xludf.DUMMYFUNCTION("""COMPUTED_VALUE"""),87.0)</f>
        <v>87</v>
      </c>
      <c r="W155" s="188">
        <f>IFERROR(__xludf.DUMMYFUNCTION("""COMPUTED_VALUE"""),16.0)</f>
        <v>16</v>
      </c>
      <c r="X155" s="188">
        <f>IFERROR(__xludf.DUMMYFUNCTION("""COMPUTED_VALUE"""),7.0)</f>
        <v>7</v>
      </c>
      <c r="Y155" s="188">
        <f>IFERROR(__xludf.DUMMYFUNCTION("""COMPUTED_VALUE"""),1.0)</f>
        <v>1</v>
      </c>
      <c r="Z155" s="188">
        <f>IFERROR(__xludf.DUMMYFUNCTION("""COMPUTED_VALUE"""),1021.0)</f>
        <v>1021</v>
      </c>
    </row>
    <row r="156">
      <c r="A156" s="187">
        <f>IFERROR(__xludf.DUMMYFUNCTION("""COMPUTED_VALUE"""),44047.0)</f>
        <v>44047</v>
      </c>
      <c r="B156" s="188">
        <f>IFERROR(__xludf.DUMMYFUNCTION("""COMPUTED_VALUE"""),126.0)</f>
        <v>126</v>
      </c>
      <c r="C156" s="188">
        <f>IFERROR(__xludf.DUMMYFUNCTION("""COMPUTED_VALUE"""),132.0)</f>
        <v>132</v>
      </c>
      <c r="D156" s="188">
        <f>IFERROR(__xludf.DUMMYFUNCTION("""COMPUTED_VALUE"""),28568.0)</f>
        <v>28568</v>
      </c>
      <c r="E156" s="188">
        <f>IFERROR(__xludf.DUMMYFUNCTION("""COMPUTED_VALUE"""),3708.0)</f>
        <v>3708</v>
      </c>
      <c r="F156" s="149">
        <f>IFERROR(__xludf.DUMMYFUNCTION("""COMPUTED_VALUE"""),364050.0)</f>
        <v>364050</v>
      </c>
      <c r="G156" s="149">
        <f>IFERROR(__xludf.DUMMYFUNCTION("""COMPUTED_VALUE"""),3834.0)</f>
        <v>3834</v>
      </c>
      <c r="H156" s="149">
        <f>IFERROR(__xludf.DUMMYFUNCTION("""COMPUTED_VALUE"""),392618.0)</f>
        <v>392618</v>
      </c>
      <c r="I156" s="188">
        <f>IFERROR(__xludf.DUMMYFUNCTION("""COMPUTED_VALUE"""),99.0)</f>
        <v>99</v>
      </c>
      <c r="J156" s="188">
        <f>IFERROR(__xludf.DUMMYFUNCTION("""COMPUTED_VALUE"""),105.0)</f>
        <v>105</v>
      </c>
      <c r="K156" s="188">
        <f>IFERROR(__xludf.DUMMYFUNCTION("""COMPUTED_VALUE"""),19744.0)</f>
        <v>19744</v>
      </c>
      <c r="L156" s="188">
        <f>IFERROR(__xludf.DUMMYFUNCTION("""COMPUTED_VALUE"""),1775.0)</f>
        <v>1775</v>
      </c>
      <c r="M156" s="188">
        <f>IFERROR(__xludf.DUMMYFUNCTION("""COMPUTED_VALUE"""),197236.0)</f>
        <v>197236</v>
      </c>
      <c r="N156" s="188">
        <f>IFERROR(__xludf.DUMMYFUNCTION("""COMPUTED_VALUE"""),216980.0)</f>
        <v>216980</v>
      </c>
      <c r="O156" s="188">
        <f>IFERROR(__xludf.DUMMYFUNCTION("""COMPUTED_VALUE"""),8.0)</f>
        <v>8</v>
      </c>
      <c r="P156" s="188">
        <f>IFERROR(__xludf.DUMMYFUNCTION("""COMPUTED_VALUE"""),2300.0)</f>
        <v>2300</v>
      </c>
      <c r="Q156" s="188">
        <f>IFERROR(__xludf.DUMMYFUNCTION("""COMPUTED_VALUE"""),6.0)</f>
        <v>6</v>
      </c>
      <c r="R156" s="188">
        <f>IFERROR(__xludf.DUMMYFUNCTION("""COMPUTED_VALUE"""),1895.0)</f>
        <v>1895</v>
      </c>
      <c r="S156" s="188">
        <f>IFERROR(__xludf.DUMMYFUNCTION("""COMPUTED_VALUE"""),1.0)</f>
        <v>1</v>
      </c>
      <c r="T156" s="188">
        <f>IFERROR(__xludf.DUMMYFUNCTION("""COMPUTED_VALUE"""),317.0)</f>
        <v>317</v>
      </c>
      <c r="U156" s="188">
        <f>IFERROR(__xludf.DUMMYFUNCTION("""COMPUTED_VALUE"""),88.0)</f>
        <v>88</v>
      </c>
      <c r="V156" s="188">
        <f>IFERROR(__xludf.DUMMYFUNCTION("""COMPUTED_VALUE"""),87.0)</f>
        <v>87</v>
      </c>
      <c r="W156" s="188">
        <f>IFERROR(__xludf.DUMMYFUNCTION("""COMPUTED_VALUE"""),12.0)</f>
        <v>12</v>
      </c>
      <c r="X156" s="188">
        <f>IFERROR(__xludf.DUMMYFUNCTION("""COMPUTED_VALUE"""),5.0)</f>
        <v>5</v>
      </c>
      <c r="Y156" s="188">
        <f>IFERROR(__xludf.DUMMYFUNCTION("""COMPUTED_VALUE"""),2.0)</f>
        <v>2</v>
      </c>
      <c r="Z156" s="188">
        <f>IFERROR(__xludf.DUMMYFUNCTION("""COMPUTED_VALUE"""),1023.0)</f>
        <v>1023</v>
      </c>
    </row>
    <row r="157">
      <c r="A157" s="187">
        <f>IFERROR(__xludf.DUMMYFUNCTION("""COMPUTED_VALUE"""),44048.0)</f>
        <v>44048</v>
      </c>
      <c r="B157" s="188">
        <f>IFERROR(__xludf.DUMMYFUNCTION("""COMPUTED_VALUE"""),151.0)</f>
        <v>151</v>
      </c>
      <c r="C157" s="188">
        <f>IFERROR(__xludf.DUMMYFUNCTION("""COMPUTED_VALUE"""),155.0)</f>
        <v>155</v>
      </c>
      <c r="D157" s="188">
        <f>IFERROR(__xludf.DUMMYFUNCTION("""COMPUTED_VALUE"""),28719.0)</f>
        <v>28719</v>
      </c>
      <c r="E157" s="188">
        <f>IFERROR(__xludf.DUMMYFUNCTION("""COMPUTED_VALUE"""),5948.0)</f>
        <v>5948</v>
      </c>
      <c r="F157" s="149">
        <f>IFERROR(__xludf.DUMMYFUNCTION("""COMPUTED_VALUE"""),369998.0)</f>
        <v>369998</v>
      </c>
      <c r="G157" s="149">
        <f>IFERROR(__xludf.DUMMYFUNCTION("""COMPUTED_VALUE"""),6099.0)</f>
        <v>6099</v>
      </c>
      <c r="H157" s="149">
        <f>IFERROR(__xludf.DUMMYFUNCTION("""COMPUTED_VALUE"""),398717.0)</f>
        <v>398717</v>
      </c>
      <c r="I157" s="188">
        <f>IFERROR(__xludf.DUMMYFUNCTION("""COMPUTED_VALUE"""),118.0)</f>
        <v>118</v>
      </c>
      <c r="J157" s="188">
        <f>IFERROR(__xludf.DUMMYFUNCTION("""COMPUTED_VALUE"""),124.0)</f>
        <v>124</v>
      </c>
      <c r="K157" s="188">
        <f>IFERROR(__xludf.DUMMYFUNCTION("""COMPUTED_VALUE"""),19862.0)</f>
        <v>19862</v>
      </c>
      <c r="L157" s="188">
        <f>IFERROR(__xludf.DUMMYFUNCTION("""COMPUTED_VALUE"""),2472.0)</f>
        <v>2472</v>
      </c>
      <c r="M157" s="188">
        <f>IFERROR(__xludf.DUMMYFUNCTION("""COMPUTED_VALUE"""),199708.0)</f>
        <v>199708</v>
      </c>
      <c r="N157" s="188">
        <f>IFERROR(__xludf.DUMMYFUNCTION("""COMPUTED_VALUE"""),219570.0)</f>
        <v>219570</v>
      </c>
      <c r="O157" s="188">
        <f>IFERROR(__xludf.DUMMYFUNCTION("""COMPUTED_VALUE"""),12.0)</f>
        <v>12</v>
      </c>
      <c r="P157" s="188">
        <f>IFERROR(__xludf.DUMMYFUNCTION("""COMPUTED_VALUE"""),2312.0)</f>
        <v>2312</v>
      </c>
      <c r="Q157" s="188">
        <f>IFERROR(__xludf.DUMMYFUNCTION("""COMPUTED_VALUE"""),10.0)</f>
        <v>10</v>
      </c>
      <c r="R157" s="188">
        <f>IFERROR(__xludf.DUMMYFUNCTION("""COMPUTED_VALUE"""),1905.0)</f>
        <v>1905</v>
      </c>
      <c r="S157" s="188">
        <f>IFERROR(__xludf.DUMMYFUNCTION("""COMPUTED_VALUE"""),1.0)</f>
        <v>1</v>
      </c>
      <c r="T157" s="188">
        <f>IFERROR(__xludf.DUMMYFUNCTION("""COMPUTED_VALUE"""),318.0)</f>
        <v>318</v>
      </c>
      <c r="U157" s="188">
        <f>IFERROR(__xludf.DUMMYFUNCTION("""COMPUTED_VALUE"""),89.0)</f>
        <v>89</v>
      </c>
      <c r="V157" s="188">
        <f>IFERROR(__xludf.DUMMYFUNCTION("""COMPUTED_VALUE"""),88.0)</f>
        <v>88</v>
      </c>
      <c r="W157" s="188">
        <f>IFERROR(__xludf.DUMMYFUNCTION("""COMPUTED_VALUE"""),10.0)</f>
        <v>10</v>
      </c>
      <c r="X157" s="188">
        <f>IFERROR(__xludf.DUMMYFUNCTION("""COMPUTED_VALUE"""),5.0)</f>
        <v>5</v>
      </c>
      <c r="Y157" s="188">
        <f>IFERROR(__xludf.DUMMYFUNCTION("""COMPUTED_VALUE"""),2.0)</f>
        <v>2</v>
      </c>
      <c r="Z157" s="188">
        <f>IFERROR(__xludf.DUMMYFUNCTION("""COMPUTED_VALUE"""),1025.0)</f>
        <v>1025</v>
      </c>
    </row>
    <row r="158">
      <c r="A158" s="187">
        <f>IFERROR(__xludf.DUMMYFUNCTION("""COMPUTED_VALUE"""),44049.0)</f>
        <v>44049</v>
      </c>
      <c r="B158" s="188">
        <f>IFERROR(__xludf.DUMMYFUNCTION("""COMPUTED_VALUE"""),171.0)</f>
        <v>171</v>
      </c>
      <c r="C158" s="188">
        <f>IFERROR(__xludf.DUMMYFUNCTION("""COMPUTED_VALUE"""),149.0)</f>
        <v>149</v>
      </c>
      <c r="D158" s="188">
        <f>IFERROR(__xludf.DUMMYFUNCTION("""COMPUTED_VALUE"""),28890.0)</f>
        <v>28890</v>
      </c>
      <c r="E158" s="188">
        <f>IFERROR(__xludf.DUMMYFUNCTION("""COMPUTED_VALUE"""),5557.0)</f>
        <v>5557</v>
      </c>
      <c r="F158" s="149">
        <f>IFERROR(__xludf.DUMMYFUNCTION("""COMPUTED_VALUE"""),375555.0)</f>
        <v>375555</v>
      </c>
      <c r="G158" s="149">
        <f>IFERROR(__xludf.DUMMYFUNCTION("""COMPUTED_VALUE"""),5728.0)</f>
        <v>5728</v>
      </c>
      <c r="H158" s="149">
        <f>IFERROR(__xludf.DUMMYFUNCTION("""COMPUTED_VALUE"""),404445.0)</f>
        <v>404445</v>
      </c>
      <c r="I158" s="188">
        <f>IFERROR(__xludf.DUMMYFUNCTION("""COMPUTED_VALUE"""),122.0)</f>
        <v>122</v>
      </c>
      <c r="J158" s="188">
        <f>IFERROR(__xludf.DUMMYFUNCTION("""COMPUTED_VALUE"""),113.0)</f>
        <v>113</v>
      </c>
      <c r="K158" s="188">
        <f>IFERROR(__xludf.DUMMYFUNCTION("""COMPUTED_VALUE"""),19984.0)</f>
        <v>19984</v>
      </c>
      <c r="L158" s="188">
        <f>IFERROR(__xludf.DUMMYFUNCTION("""COMPUTED_VALUE"""),2428.0)</f>
        <v>2428</v>
      </c>
      <c r="M158" s="188">
        <f>IFERROR(__xludf.DUMMYFUNCTION("""COMPUTED_VALUE"""),202136.0)</f>
        <v>202136</v>
      </c>
      <c r="N158" s="188">
        <f>IFERROR(__xludf.DUMMYFUNCTION("""COMPUTED_VALUE"""),222120.0)</f>
        <v>222120</v>
      </c>
      <c r="O158" s="188">
        <f>IFERROR(__xludf.DUMMYFUNCTION("""COMPUTED_VALUE"""),7.0)</f>
        <v>7</v>
      </c>
      <c r="P158" s="188">
        <f>IFERROR(__xludf.DUMMYFUNCTION("""COMPUTED_VALUE"""),2319.0)</f>
        <v>2319</v>
      </c>
      <c r="Q158" s="188">
        <f>IFERROR(__xludf.DUMMYFUNCTION("""COMPUTED_VALUE"""),9.0)</f>
        <v>9</v>
      </c>
      <c r="R158" s="188">
        <f>IFERROR(__xludf.DUMMYFUNCTION("""COMPUTED_VALUE"""),1914.0)</f>
        <v>1914</v>
      </c>
      <c r="S158" s="188">
        <f>IFERROR(__xludf.DUMMYFUNCTION("""COMPUTED_VALUE"""),0.0)</f>
        <v>0</v>
      </c>
      <c r="T158" s="188">
        <f>IFERROR(__xludf.DUMMYFUNCTION("""COMPUTED_VALUE"""),318.0)</f>
        <v>318</v>
      </c>
      <c r="U158" s="188">
        <f>IFERROR(__xludf.DUMMYFUNCTION("""COMPUTED_VALUE"""),87.0)</f>
        <v>87</v>
      </c>
      <c r="V158" s="188">
        <f>IFERROR(__xludf.DUMMYFUNCTION("""COMPUTED_VALUE"""),88.0)</f>
        <v>88</v>
      </c>
      <c r="W158" s="188">
        <f>IFERROR(__xludf.DUMMYFUNCTION("""COMPUTED_VALUE"""),9.0)</f>
        <v>9</v>
      </c>
      <c r="X158" s="188">
        <f>IFERROR(__xludf.DUMMYFUNCTION("""COMPUTED_VALUE"""),4.0)</f>
        <v>4</v>
      </c>
      <c r="Y158" s="188">
        <f>IFERROR(__xludf.DUMMYFUNCTION("""COMPUTED_VALUE"""),0.0)</f>
        <v>0</v>
      </c>
      <c r="Z158" s="188">
        <f>IFERROR(__xludf.DUMMYFUNCTION("""COMPUTED_VALUE"""),1025.0)</f>
        <v>1025</v>
      </c>
    </row>
    <row r="159">
      <c r="A159" s="187">
        <f>IFERROR(__xludf.DUMMYFUNCTION("""COMPUTED_VALUE"""),44050.0)</f>
        <v>44050</v>
      </c>
      <c r="B159" s="188">
        <f>IFERROR(__xludf.DUMMYFUNCTION("""COMPUTED_VALUE"""),122.0)</f>
        <v>122</v>
      </c>
      <c r="C159" s="188">
        <f>IFERROR(__xludf.DUMMYFUNCTION("""COMPUTED_VALUE"""),148.0)</f>
        <v>148</v>
      </c>
      <c r="D159" s="188">
        <f>IFERROR(__xludf.DUMMYFUNCTION("""COMPUTED_VALUE"""),29012.0)</f>
        <v>29012</v>
      </c>
      <c r="E159" s="188">
        <f>IFERROR(__xludf.DUMMYFUNCTION("""COMPUTED_VALUE"""),4858.0)</f>
        <v>4858</v>
      </c>
      <c r="F159" s="149">
        <f>IFERROR(__xludf.DUMMYFUNCTION("""COMPUTED_VALUE"""),380413.0)</f>
        <v>380413</v>
      </c>
      <c r="G159" s="149">
        <f>IFERROR(__xludf.DUMMYFUNCTION("""COMPUTED_VALUE"""),4980.0)</f>
        <v>4980</v>
      </c>
      <c r="H159" s="149">
        <f>IFERROR(__xludf.DUMMYFUNCTION("""COMPUTED_VALUE"""),409425.0)</f>
        <v>409425</v>
      </c>
      <c r="I159" s="188">
        <f>IFERROR(__xludf.DUMMYFUNCTION("""COMPUTED_VALUE"""),90.0)</f>
        <v>90</v>
      </c>
      <c r="J159" s="188">
        <f>IFERROR(__xludf.DUMMYFUNCTION("""COMPUTED_VALUE"""),110.0)</f>
        <v>110</v>
      </c>
      <c r="K159" s="188">
        <f>IFERROR(__xludf.DUMMYFUNCTION("""COMPUTED_VALUE"""),20074.0)</f>
        <v>20074</v>
      </c>
      <c r="L159" s="188">
        <f>IFERROR(__xludf.DUMMYFUNCTION("""COMPUTED_VALUE"""),2159.0)</f>
        <v>2159</v>
      </c>
      <c r="M159" s="188">
        <f>IFERROR(__xludf.DUMMYFUNCTION("""COMPUTED_VALUE"""),204295.0)</f>
        <v>204295</v>
      </c>
      <c r="N159" s="188">
        <f>IFERROR(__xludf.DUMMYFUNCTION("""COMPUTED_VALUE"""),224369.0)</f>
        <v>224369</v>
      </c>
      <c r="O159" s="188">
        <f>IFERROR(__xludf.DUMMYFUNCTION("""COMPUTED_VALUE"""),13.0)</f>
        <v>13</v>
      </c>
      <c r="P159" s="188">
        <f>IFERROR(__xludf.DUMMYFUNCTION("""COMPUTED_VALUE"""),2332.0)</f>
        <v>2332</v>
      </c>
      <c r="Q159" s="188">
        <f>IFERROR(__xludf.DUMMYFUNCTION("""COMPUTED_VALUE"""),10.0)</f>
        <v>10</v>
      </c>
      <c r="R159" s="188">
        <f>IFERROR(__xludf.DUMMYFUNCTION("""COMPUTED_VALUE"""),1924.0)</f>
        <v>1924</v>
      </c>
      <c r="S159" s="188">
        <f>IFERROR(__xludf.DUMMYFUNCTION("""COMPUTED_VALUE"""),1.0)</f>
        <v>1</v>
      </c>
      <c r="T159" s="188">
        <f>IFERROR(__xludf.DUMMYFUNCTION("""COMPUTED_VALUE"""),319.0)</f>
        <v>319</v>
      </c>
      <c r="U159" s="188">
        <f>IFERROR(__xludf.DUMMYFUNCTION("""COMPUTED_VALUE"""),89.0)</f>
        <v>89</v>
      </c>
      <c r="V159" s="188">
        <f>IFERROR(__xludf.DUMMYFUNCTION("""COMPUTED_VALUE"""),88.0)</f>
        <v>88</v>
      </c>
      <c r="W159" s="188">
        <f>IFERROR(__xludf.DUMMYFUNCTION("""COMPUTED_VALUE"""),9.0)</f>
        <v>9</v>
      </c>
      <c r="X159" s="188">
        <f>IFERROR(__xludf.DUMMYFUNCTION("""COMPUTED_VALUE"""),3.0)</f>
        <v>3</v>
      </c>
      <c r="Y159" s="188">
        <f>IFERROR(__xludf.DUMMYFUNCTION("""COMPUTED_VALUE"""),2.0)</f>
        <v>2</v>
      </c>
      <c r="Z159" s="188">
        <f>IFERROR(__xludf.DUMMYFUNCTION("""COMPUTED_VALUE"""),1027.0)</f>
        <v>1027</v>
      </c>
    </row>
    <row r="160">
      <c r="A160" s="187">
        <f>IFERROR(__xludf.DUMMYFUNCTION("""COMPUTED_VALUE"""),44051.0)</f>
        <v>44051</v>
      </c>
      <c r="B160" s="188">
        <f>IFERROR(__xludf.DUMMYFUNCTION("""COMPUTED_VALUE"""),122.0)</f>
        <v>122</v>
      </c>
      <c r="C160" s="188">
        <f>IFERROR(__xludf.DUMMYFUNCTION("""COMPUTED_VALUE"""),138.0)</f>
        <v>138</v>
      </c>
      <c r="D160" s="188">
        <f>IFERROR(__xludf.DUMMYFUNCTION("""COMPUTED_VALUE"""),29134.0)</f>
        <v>29134</v>
      </c>
      <c r="E160" s="188">
        <f>IFERROR(__xludf.DUMMYFUNCTION("""COMPUTED_VALUE"""),4122.0)</f>
        <v>4122</v>
      </c>
      <c r="F160" s="149">
        <f>IFERROR(__xludf.DUMMYFUNCTION("""COMPUTED_VALUE"""),384535.0)</f>
        <v>384535</v>
      </c>
      <c r="G160" s="149">
        <f>IFERROR(__xludf.DUMMYFUNCTION("""COMPUTED_VALUE"""),4244.0)</f>
        <v>4244</v>
      </c>
      <c r="H160" s="149">
        <f>IFERROR(__xludf.DUMMYFUNCTION("""COMPUTED_VALUE"""),413669.0)</f>
        <v>413669</v>
      </c>
      <c r="I160" s="188">
        <f>IFERROR(__xludf.DUMMYFUNCTION("""COMPUTED_VALUE"""),96.0)</f>
        <v>96</v>
      </c>
      <c r="J160" s="188">
        <f>IFERROR(__xludf.DUMMYFUNCTION("""COMPUTED_VALUE"""),103.0)</f>
        <v>103</v>
      </c>
      <c r="K160" s="188">
        <f>IFERROR(__xludf.DUMMYFUNCTION("""COMPUTED_VALUE"""),20170.0)</f>
        <v>20170</v>
      </c>
      <c r="L160" s="188">
        <f>IFERROR(__xludf.DUMMYFUNCTION("""COMPUTED_VALUE"""),1781.0)</f>
        <v>1781</v>
      </c>
      <c r="M160" s="188">
        <f>IFERROR(__xludf.DUMMYFUNCTION("""COMPUTED_VALUE"""),206076.0)</f>
        <v>206076</v>
      </c>
      <c r="N160" s="188">
        <f>IFERROR(__xludf.DUMMYFUNCTION("""COMPUTED_VALUE"""),226246.0)</f>
        <v>226246</v>
      </c>
      <c r="O160" s="188">
        <f>IFERROR(__xludf.DUMMYFUNCTION("""COMPUTED_VALUE"""),19.0)</f>
        <v>19</v>
      </c>
      <c r="P160" s="188">
        <f>IFERROR(__xludf.DUMMYFUNCTION("""COMPUTED_VALUE"""),2351.0)</f>
        <v>2351</v>
      </c>
      <c r="Q160" s="188">
        <f>IFERROR(__xludf.DUMMYFUNCTION("""COMPUTED_VALUE"""),6.0)</f>
        <v>6</v>
      </c>
      <c r="R160" s="188">
        <f>IFERROR(__xludf.DUMMYFUNCTION("""COMPUTED_VALUE"""),1930.0)</f>
        <v>1930</v>
      </c>
      <c r="S160" s="188">
        <f>IFERROR(__xludf.DUMMYFUNCTION("""COMPUTED_VALUE"""),1.0)</f>
        <v>1</v>
      </c>
      <c r="T160" s="188">
        <f>IFERROR(__xludf.DUMMYFUNCTION("""COMPUTED_VALUE"""),320.0)</f>
        <v>320</v>
      </c>
      <c r="U160" s="188">
        <f>IFERROR(__xludf.DUMMYFUNCTION("""COMPUTED_VALUE"""),101.0)</f>
        <v>101</v>
      </c>
      <c r="V160" s="188">
        <f>IFERROR(__xludf.DUMMYFUNCTION("""COMPUTED_VALUE"""),92.0)</f>
        <v>92</v>
      </c>
      <c r="W160" s="188">
        <f>IFERROR(__xludf.DUMMYFUNCTION("""COMPUTED_VALUE"""),8.0)</f>
        <v>8</v>
      </c>
      <c r="X160" s="188">
        <f>IFERROR(__xludf.DUMMYFUNCTION("""COMPUTED_VALUE"""),3.0)</f>
        <v>3</v>
      </c>
      <c r="Y160" s="188">
        <f>IFERROR(__xludf.DUMMYFUNCTION("""COMPUTED_VALUE"""),1.0)</f>
        <v>1</v>
      </c>
      <c r="Z160" s="188">
        <f>IFERROR(__xludf.DUMMYFUNCTION("""COMPUTED_VALUE"""),1028.0)</f>
        <v>1028</v>
      </c>
    </row>
    <row r="161">
      <c r="A161" s="187">
        <f>IFERROR(__xludf.DUMMYFUNCTION("""COMPUTED_VALUE"""),44052.0)</f>
        <v>44052</v>
      </c>
      <c r="B161" s="188">
        <f>IFERROR(__xludf.DUMMYFUNCTION("""COMPUTED_VALUE"""),43.0)</f>
        <v>43</v>
      </c>
      <c r="C161" s="188">
        <f>IFERROR(__xludf.DUMMYFUNCTION("""COMPUTED_VALUE"""),96.0)</f>
        <v>96</v>
      </c>
      <c r="D161" s="188">
        <f>IFERROR(__xludf.DUMMYFUNCTION("""COMPUTED_VALUE"""),29177.0)</f>
        <v>29177</v>
      </c>
      <c r="E161" s="188">
        <f>IFERROR(__xludf.DUMMYFUNCTION("""COMPUTED_VALUE"""),1736.0)</f>
        <v>1736</v>
      </c>
      <c r="F161" s="149">
        <f>IFERROR(__xludf.DUMMYFUNCTION("""COMPUTED_VALUE"""),386271.0)</f>
        <v>386271</v>
      </c>
      <c r="G161" s="149">
        <f>IFERROR(__xludf.DUMMYFUNCTION("""COMPUTED_VALUE"""),1779.0)</f>
        <v>1779</v>
      </c>
      <c r="H161" s="149">
        <f>IFERROR(__xludf.DUMMYFUNCTION("""COMPUTED_VALUE"""),415448.0)</f>
        <v>415448</v>
      </c>
      <c r="I161" s="188">
        <f>IFERROR(__xludf.DUMMYFUNCTION("""COMPUTED_VALUE"""),36.0)</f>
        <v>36</v>
      </c>
      <c r="J161" s="188">
        <f>IFERROR(__xludf.DUMMYFUNCTION("""COMPUTED_VALUE"""),74.0)</f>
        <v>74</v>
      </c>
      <c r="K161" s="188">
        <f>IFERROR(__xludf.DUMMYFUNCTION("""COMPUTED_VALUE"""),20206.0)</f>
        <v>20206</v>
      </c>
      <c r="L161" s="188">
        <f>IFERROR(__xludf.DUMMYFUNCTION("""COMPUTED_VALUE"""),1076.0)</f>
        <v>1076</v>
      </c>
      <c r="M161" s="188">
        <f>IFERROR(__xludf.DUMMYFUNCTION("""COMPUTED_VALUE"""),207152.0)</f>
        <v>207152</v>
      </c>
      <c r="N161" s="188">
        <f>IFERROR(__xludf.DUMMYFUNCTION("""COMPUTED_VALUE"""),227358.0)</f>
        <v>227358</v>
      </c>
      <c r="O161" s="188">
        <f>IFERROR(__xludf.DUMMYFUNCTION("""COMPUTED_VALUE"""),8.0)</f>
        <v>8</v>
      </c>
      <c r="P161" s="188">
        <f>IFERROR(__xludf.DUMMYFUNCTION("""COMPUTED_VALUE"""),2359.0)</f>
        <v>2359</v>
      </c>
      <c r="Q161" s="188">
        <f>IFERROR(__xludf.DUMMYFUNCTION("""COMPUTED_VALUE"""),10.0)</f>
        <v>10</v>
      </c>
      <c r="R161" s="188">
        <f>IFERROR(__xludf.DUMMYFUNCTION("""COMPUTED_VALUE"""),1940.0)</f>
        <v>1940</v>
      </c>
      <c r="S161" s="188">
        <f>IFERROR(__xludf.DUMMYFUNCTION("""COMPUTED_VALUE"""),0.0)</f>
        <v>0</v>
      </c>
      <c r="T161" s="188">
        <f>IFERROR(__xludf.DUMMYFUNCTION("""COMPUTED_VALUE"""),320.0)</f>
        <v>320</v>
      </c>
      <c r="U161" s="188">
        <f>IFERROR(__xludf.DUMMYFUNCTION("""COMPUTED_VALUE"""),99.0)</f>
        <v>99</v>
      </c>
      <c r="V161" s="188">
        <f>IFERROR(__xludf.DUMMYFUNCTION("""COMPUTED_VALUE"""),96.0)</f>
        <v>96</v>
      </c>
      <c r="W161" s="188">
        <f>IFERROR(__xludf.DUMMYFUNCTION("""COMPUTED_VALUE"""),9.0)</f>
        <v>9</v>
      </c>
      <c r="X161" s="188">
        <f>IFERROR(__xludf.DUMMYFUNCTION("""COMPUTED_VALUE"""),4.0)</f>
        <v>4</v>
      </c>
      <c r="Y161" s="188">
        <f>IFERROR(__xludf.DUMMYFUNCTION("""COMPUTED_VALUE"""),0.0)</f>
        <v>0</v>
      </c>
      <c r="Z161" s="188">
        <f>IFERROR(__xludf.DUMMYFUNCTION("""COMPUTED_VALUE"""),1028.0)</f>
        <v>1028</v>
      </c>
    </row>
    <row r="162">
      <c r="A162" s="187">
        <f>IFERROR(__xludf.DUMMYFUNCTION("""COMPUTED_VALUE"""),44053.0)</f>
        <v>44053</v>
      </c>
      <c r="B162" s="188">
        <f>IFERROR(__xludf.DUMMYFUNCTION("""COMPUTED_VALUE"""),150.0)</f>
        <v>150</v>
      </c>
      <c r="C162" s="188">
        <f>IFERROR(__xludf.DUMMYFUNCTION("""COMPUTED_VALUE"""),105.0)</f>
        <v>105</v>
      </c>
      <c r="D162" s="188">
        <f>IFERROR(__xludf.DUMMYFUNCTION("""COMPUTED_VALUE"""),29327.0)</f>
        <v>29327</v>
      </c>
      <c r="E162" s="188">
        <f>IFERROR(__xludf.DUMMYFUNCTION("""COMPUTED_VALUE"""),4595.0)</f>
        <v>4595</v>
      </c>
      <c r="F162" s="149">
        <f>IFERROR(__xludf.DUMMYFUNCTION("""COMPUTED_VALUE"""),390866.0)</f>
        <v>390866</v>
      </c>
      <c r="G162" s="149">
        <f>IFERROR(__xludf.DUMMYFUNCTION("""COMPUTED_VALUE"""),4745.0)</f>
        <v>4745</v>
      </c>
      <c r="H162" s="149">
        <f>IFERROR(__xludf.DUMMYFUNCTION("""COMPUTED_VALUE"""),420193.0)</f>
        <v>420193</v>
      </c>
      <c r="I162" s="188">
        <f>IFERROR(__xludf.DUMMYFUNCTION("""COMPUTED_VALUE"""),112.0)</f>
        <v>112</v>
      </c>
      <c r="J162" s="188">
        <f>IFERROR(__xludf.DUMMYFUNCTION("""COMPUTED_VALUE"""),81.0)</f>
        <v>81</v>
      </c>
      <c r="K162" s="188">
        <f>IFERROR(__xludf.DUMMYFUNCTION("""COMPUTED_VALUE"""),20318.0)</f>
        <v>20318</v>
      </c>
      <c r="L162" s="188">
        <f>IFERROR(__xludf.DUMMYFUNCTION("""COMPUTED_VALUE"""),2030.0)</f>
        <v>2030</v>
      </c>
      <c r="M162" s="188">
        <f>IFERROR(__xludf.DUMMYFUNCTION("""COMPUTED_VALUE"""),209182.0)</f>
        <v>209182</v>
      </c>
      <c r="N162" s="188">
        <f>IFERROR(__xludf.DUMMYFUNCTION("""COMPUTED_VALUE"""),229500.0)</f>
        <v>229500</v>
      </c>
      <c r="O162" s="188">
        <f>IFERROR(__xludf.DUMMYFUNCTION("""COMPUTED_VALUE"""),11.0)</f>
        <v>11</v>
      </c>
      <c r="P162" s="188">
        <f>IFERROR(__xludf.DUMMYFUNCTION("""COMPUTED_VALUE"""),2370.0)</f>
        <v>2370</v>
      </c>
      <c r="Q162" s="188">
        <f>IFERROR(__xludf.DUMMYFUNCTION("""COMPUTED_VALUE"""),12.0)</f>
        <v>12</v>
      </c>
      <c r="R162" s="188">
        <f>IFERROR(__xludf.DUMMYFUNCTION("""COMPUTED_VALUE"""),1952.0)</f>
        <v>1952</v>
      </c>
      <c r="S162" s="188">
        <f>IFERROR(__xludf.DUMMYFUNCTION("""COMPUTED_VALUE"""),0.0)</f>
        <v>0</v>
      </c>
      <c r="T162" s="188">
        <f>IFERROR(__xludf.DUMMYFUNCTION("""COMPUTED_VALUE"""),320.0)</f>
        <v>320</v>
      </c>
      <c r="U162" s="188">
        <f>IFERROR(__xludf.DUMMYFUNCTION("""COMPUTED_VALUE"""),98.0)</f>
        <v>98</v>
      </c>
      <c r="V162" s="188">
        <f>IFERROR(__xludf.DUMMYFUNCTION("""COMPUTED_VALUE"""),99.0)</f>
        <v>99</v>
      </c>
      <c r="W162" s="188">
        <f>IFERROR(__xludf.DUMMYFUNCTION("""COMPUTED_VALUE"""),9.0)</f>
        <v>9</v>
      </c>
      <c r="X162" s="188">
        <f>IFERROR(__xludf.DUMMYFUNCTION("""COMPUTED_VALUE"""),4.0)</f>
        <v>4</v>
      </c>
      <c r="Y162" s="188">
        <f>IFERROR(__xludf.DUMMYFUNCTION("""COMPUTED_VALUE"""),1.0)</f>
        <v>1</v>
      </c>
      <c r="Z162" s="188">
        <f>IFERROR(__xludf.DUMMYFUNCTION("""COMPUTED_VALUE"""),1029.0)</f>
        <v>1029</v>
      </c>
    </row>
    <row r="163">
      <c r="A163" s="187">
        <f>IFERROR(__xludf.DUMMYFUNCTION("""COMPUTED_VALUE"""),44054.0)</f>
        <v>44054</v>
      </c>
      <c r="B163" s="188">
        <f>IFERROR(__xludf.DUMMYFUNCTION("""COMPUTED_VALUE"""),105.0)</f>
        <v>105</v>
      </c>
      <c r="C163" s="188">
        <f>IFERROR(__xludf.DUMMYFUNCTION("""COMPUTED_VALUE"""),99.0)</f>
        <v>99</v>
      </c>
      <c r="D163" s="188">
        <f>IFERROR(__xludf.DUMMYFUNCTION("""COMPUTED_VALUE"""),29432.0)</f>
        <v>29432</v>
      </c>
      <c r="E163" s="188">
        <f>IFERROR(__xludf.DUMMYFUNCTION("""COMPUTED_VALUE"""),4354.0)</f>
        <v>4354</v>
      </c>
      <c r="F163" s="149">
        <f>IFERROR(__xludf.DUMMYFUNCTION("""COMPUTED_VALUE"""),395220.0)</f>
        <v>395220</v>
      </c>
      <c r="G163" s="149">
        <f>IFERROR(__xludf.DUMMYFUNCTION("""COMPUTED_VALUE"""),4459.0)</f>
        <v>4459</v>
      </c>
      <c r="H163" s="149">
        <f>IFERROR(__xludf.DUMMYFUNCTION("""COMPUTED_VALUE"""),424652.0)</f>
        <v>424652</v>
      </c>
      <c r="I163" s="188">
        <f>IFERROR(__xludf.DUMMYFUNCTION("""COMPUTED_VALUE"""),93.0)</f>
        <v>93</v>
      </c>
      <c r="J163" s="188">
        <f>IFERROR(__xludf.DUMMYFUNCTION("""COMPUTED_VALUE"""),80.0)</f>
        <v>80</v>
      </c>
      <c r="K163" s="188">
        <f>IFERROR(__xludf.DUMMYFUNCTION("""COMPUTED_VALUE"""),20411.0)</f>
        <v>20411</v>
      </c>
      <c r="L163" s="188">
        <f>IFERROR(__xludf.DUMMYFUNCTION("""COMPUTED_VALUE"""),2272.0)</f>
        <v>2272</v>
      </c>
      <c r="M163" s="188">
        <f>IFERROR(__xludf.DUMMYFUNCTION("""COMPUTED_VALUE"""),211454.0)</f>
        <v>211454</v>
      </c>
      <c r="N163" s="188">
        <f>IFERROR(__xludf.DUMMYFUNCTION("""COMPUTED_VALUE"""),231865.0)</f>
        <v>231865</v>
      </c>
      <c r="O163" s="188">
        <f>IFERROR(__xludf.DUMMYFUNCTION("""COMPUTED_VALUE"""),6.0)</f>
        <v>6</v>
      </c>
      <c r="P163" s="188">
        <f>IFERROR(__xludf.DUMMYFUNCTION("""COMPUTED_VALUE"""),2376.0)</f>
        <v>2376</v>
      </c>
      <c r="Q163" s="188">
        <f>IFERROR(__xludf.DUMMYFUNCTION("""COMPUTED_VALUE"""),14.0)</f>
        <v>14</v>
      </c>
      <c r="R163" s="188">
        <f>IFERROR(__xludf.DUMMYFUNCTION("""COMPUTED_VALUE"""),1966.0)</f>
        <v>1966</v>
      </c>
      <c r="S163" s="188">
        <f>IFERROR(__xludf.DUMMYFUNCTION("""COMPUTED_VALUE"""),0.0)</f>
        <v>0</v>
      </c>
      <c r="T163" s="188">
        <f>IFERROR(__xludf.DUMMYFUNCTION("""COMPUTED_VALUE"""),320.0)</f>
        <v>320</v>
      </c>
      <c r="U163" s="188">
        <f>IFERROR(__xludf.DUMMYFUNCTION("""COMPUTED_VALUE"""),90.0)</f>
        <v>90</v>
      </c>
      <c r="V163" s="188">
        <f>IFERROR(__xludf.DUMMYFUNCTION("""COMPUTED_VALUE"""),96.0)</f>
        <v>96</v>
      </c>
      <c r="W163" s="188">
        <f>IFERROR(__xludf.DUMMYFUNCTION("""COMPUTED_VALUE"""),10.0)</f>
        <v>10</v>
      </c>
      <c r="X163" s="188">
        <f>IFERROR(__xludf.DUMMYFUNCTION("""COMPUTED_VALUE"""),4.0)</f>
        <v>4</v>
      </c>
      <c r="Y163" s="188">
        <f>IFERROR(__xludf.DUMMYFUNCTION("""COMPUTED_VALUE"""),3.0)</f>
        <v>3</v>
      </c>
      <c r="Z163" s="188">
        <f>IFERROR(__xludf.DUMMYFUNCTION("""COMPUTED_VALUE"""),1032.0)</f>
        <v>1032</v>
      </c>
    </row>
    <row r="164">
      <c r="A164" s="187">
        <f>IFERROR(__xludf.DUMMYFUNCTION("""COMPUTED_VALUE"""),44055.0)</f>
        <v>44055</v>
      </c>
      <c r="B164" s="188">
        <f>IFERROR(__xludf.DUMMYFUNCTION("""COMPUTED_VALUE"""),121.0)</f>
        <v>121</v>
      </c>
      <c r="C164" s="188">
        <f>IFERROR(__xludf.DUMMYFUNCTION("""COMPUTED_VALUE"""),125.0)</f>
        <v>125</v>
      </c>
      <c r="D164" s="188">
        <f>IFERROR(__xludf.DUMMYFUNCTION("""COMPUTED_VALUE"""),29553.0)</f>
        <v>29553</v>
      </c>
      <c r="E164" s="188">
        <f>IFERROR(__xludf.DUMMYFUNCTION("""COMPUTED_VALUE"""),5213.0)</f>
        <v>5213</v>
      </c>
      <c r="F164" s="149">
        <f>IFERROR(__xludf.DUMMYFUNCTION("""COMPUTED_VALUE"""),400433.0)</f>
        <v>400433</v>
      </c>
      <c r="G164" s="149">
        <f>IFERROR(__xludf.DUMMYFUNCTION("""COMPUTED_VALUE"""),5334.0)</f>
        <v>5334</v>
      </c>
      <c r="H164" s="149">
        <f>IFERROR(__xludf.DUMMYFUNCTION("""COMPUTED_VALUE"""),429986.0)</f>
        <v>429986</v>
      </c>
      <c r="I164" s="188">
        <f>IFERROR(__xludf.DUMMYFUNCTION("""COMPUTED_VALUE"""),103.0)</f>
        <v>103</v>
      </c>
      <c r="J164" s="188">
        <f>IFERROR(__xludf.DUMMYFUNCTION("""COMPUTED_VALUE"""),103.0)</f>
        <v>103</v>
      </c>
      <c r="K164" s="188">
        <f>IFERROR(__xludf.DUMMYFUNCTION("""COMPUTED_VALUE"""),20514.0)</f>
        <v>20514</v>
      </c>
      <c r="L164" s="188">
        <f>IFERROR(__xludf.DUMMYFUNCTION("""COMPUTED_VALUE"""),2631.0)</f>
        <v>2631</v>
      </c>
      <c r="M164" s="188">
        <f>IFERROR(__xludf.DUMMYFUNCTION("""COMPUTED_VALUE"""),214085.0)</f>
        <v>214085</v>
      </c>
      <c r="N164" s="188">
        <f>IFERROR(__xludf.DUMMYFUNCTION("""COMPUTED_VALUE"""),234599.0)</f>
        <v>234599</v>
      </c>
      <c r="O164" s="188">
        <f>IFERROR(__xludf.DUMMYFUNCTION("""COMPUTED_VALUE"""),8.0)</f>
        <v>8</v>
      </c>
      <c r="P164" s="188">
        <f>IFERROR(__xludf.DUMMYFUNCTION("""COMPUTED_VALUE"""),2384.0)</f>
        <v>2384</v>
      </c>
      <c r="Q164" s="188">
        <f>IFERROR(__xludf.DUMMYFUNCTION("""COMPUTED_VALUE"""),11.0)</f>
        <v>11</v>
      </c>
      <c r="R164" s="188">
        <f>IFERROR(__xludf.DUMMYFUNCTION("""COMPUTED_VALUE"""),1977.0)</f>
        <v>1977</v>
      </c>
      <c r="S164" s="188">
        <f>IFERROR(__xludf.DUMMYFUNCTION("""COMPUTED_VALUE"""),0.0)</f>
        <v>0</v>
      </c>
      <c r="T164" s="188">
        <f>IFERROR(__xludf.DUMMYFUNCTION("""COMPUTED_VALUE"""),320.0)</f>
        <v>320</v>
      </c>
      <c r="U164" s="188">
        <f>IFERROR(__xludf.DUMMYFUNCTION("""COMPUTED_VALUE"""),87.0)</f>
        <v>87</v>
      </c>
      <c r="V164" s="188">
        <f>IFERROR(__xludf.DUMMYFUNCTION("""COMPUTED_VALUE"""),92.0)</f>
        <v>92</v>
      </c>
      <c r="W164" s="188">
        <f>IFERROR(__xludf.DUMMYFUNCTION("""COMPUTED_VALUE"""),9.0)</f>
        <v>9</v>
      </c>
      <c r="X164" s="188">
        <f>IFERROR(__xludf.DUMMYFUNCTION("""COMPUTED_VALUE"""),3.0)</f>
        <v>3</v>
      </c>
      <c r="Y164" s="188">
        <f>IFERROR(__xludf.DUMMYFUNCTION("""COMPUTED_VALUE"""),1.0)</f>
        <v>1</v>
      </c>
      <c r="Z164" s="188">
        <f>IFERROR(__xludf.DUMMYFUNCTION("""COMPUTED_VALUE"""),1033.0)</f>
        <v>1033</v>
      </c>
    </row>
    <row r="165">
      <c r="A165" s="187">
        <f>IFERROR(__xludf.DUMMYFUNCTION("""COMPUTED_VALUE"""),44056.0)</f>
        <v>44056</v>
      </c>
      <c r="B165" s="188">
        <f>IFERROR(__xludf.DUMMYFUNCTION("""COMPUTED_VALUE"""),135.0)</f>
        <v>135</v>
      </c>
      <c r="C165" s="188">
        <f>IFERROR(__xludf.DUMMYFUNCTION("""COMPUTED_VALUE"""),120.0)</f>
        <v>120</v>
      </c>
      <c r="D165" s="188">
        <f>IFERROR(__xludf.DUMMYFUNCTION("""COMPUTED_VALUE"""),29688.0)</f>
        <v>29688</v>
      </c>
      <c r="E165" s="188">
        <f>IFERROR(__xludf.DUMMYFUNCTION("""COMPUTED_VALUE"""),4225.0)</f>
        <v>4225</v>
      </c>
      <c r="F165" s="149">
        <f>IFERROR(__xludf.DUMMYFUNCTION("""COMPUTED_VALUE"""),404658.0)</f>
        <v>404658</v>
      </c>
      <c r="G165" s="149">
        <f>IFERROR(__xludf.DUMMYFUNCTION("""COMPUTED_VALUE"""),4360.0)</f>
        <v>4360</v>
      </c>
      <c r="H165" s="149">
        <f>IFERROR(__xludf.DUMMYFUNCTION("""COMPUTED_VALUE"""),434346.0)</f>
        <v>434346</v>
      </c>
      <c r="I165" s="188">
        <f>IFERROR(__xludf.DUMMYFUNCTION("""COMPUTED_VALUE"""),97.0)</f>
        <v>97</v>
      </c>
      <c r="J165" s="188">
        <f>IFERROR(__xludf.DUMMYFUNCTION("""COMPUTED_VALUE"""),98.0)</f>
        <v>98</v>
      </c>
      <c r="K165" s="188">
        <f>IFERROR(__xludf.DUMMYFUNCTION("""COMPUTED_VALUE"""),20611.0)</f>
        <v>20611</v>
      </c>
      <c r="L165" s="188">
        <f>IFERROR(__xludf.DUMMYFUNCTION("""COMPUTED_VALUE"""),1911.0)</f>
        <v>1911</v>
      </c>
      <c r="M165" s="188">
        <f>IFERROR(__xludf.DUMMYFUNCTION("""COMPUTED_VALUE"""),215996.0)</f>
        <v>215996</v>
      </c>
      <c r="N165" s="188">
        <f>IFERROR(__xludf.DUMMYFUNCTION("""COMPUTED_VALUE"""),236607.0)</f>
        <v>236607</v>
      </c>
      <c r="O165" s="188">
        <f>IFERROR(__xludf.DUMMYFUNCTION("""COMPUTED_VALUE"""),13.0)</f>
        <v>13</v>
      </c>
      <c r="P165" s="188">
        <f>IFERROR(__xludf.DUMMYFUNCTION("""COMPUTED_VALUE"""),2397.0)</f>
        <v>2397</v>
      </c>
      <c r="Q165" s="188">
        <f>IFERROR(__xludf.DUMMYFUNCTION("""COMPUTED_VALUE"""),12.0)</f>
        <v>12</v>
      </c>
      <c r="R165" s="188">
        <f>IFERROR(__xludf.DUMMYFUNCTION("""COMPUTED_VALUE"""),1989.0)</f>
        <v>1989</v>
      </c>
      <c r="S165" s="188">
        <f>IFERROR(__xludf.DUMMYFUNCTION("""COMPUTED_VALUE"""),0.0)</f>
        <v>0</v>
      </c>
      <c r="T165" s="188">
        <f>IFERROR(__xludf.DUMMYFUNCTION("""COMPUTED_VALUE"""),320.0)</f>
        <v>320</v>
      </c>
      <c r="U165" s="188">
        <f>IFERROR(__xludf.DUMMYFUNCTION("""COMPUTED_VALUE"""),88.0)</f>
        <v>88</v>
      </c>
      <c r="V165" s="188">
        <f>IFERROR(__xludf.DUMMYFUNCTION("""COMPUTED_VALUE"""),88.0)</f>
        <v>88</v>
      </c>
      <c r="W165" s="188">
        <f>IFERROR(__xludf.DUMMYFUNCTION("""COMPUTED_VALUE"""),11.0)</f>
        <v>11</v>
      </c>
      <c r="X165" s="188">
        <f>IFERROR(__xludf.DUMMYFUNCTION("""COMPUTED_VALUE"""),3.0)</f>
        <v>3</v>
      </c>
      <c r="Y165" s="188">
        <f>IFERROR(__xludf.DUMMYFUNCTION("""COMPUTED_VALUE"""),0.0)</f>
        <v>0</v>
      </c>
      <c r="Z165" s="188">
        <f>IFERROR(__xludf.DUMMYFUNCTION("""COMPUTED_VALUE"""),1033.0)</f>
        <v>1033</v>
      </c>
    </row>
    <row r="166">
      <c r="A166" s="187">
        <f>IFERROR(__xludf.DUMMYFUNCTION("""COMPUTED_VALUE"""),44057.0)</f>
        <v>44057</v>
      </c>
      <c r="B166" s="188">
        <f>IFERROR(__xludf.DUMMYFUNCTION("""COMPUTED_VALUE"""),146.0)</f>
        <v>146</v>
      </c>
      <c r="C166" s="188">
        <f>IFERROR(__xludf.DUMMYFUNCTION("""COMPUTED_VALUE"""),134.0)</f>
        <v>134</v>
      </c>
      <c r="D166" s="188">
        <f>IFERROR(__xludf.DUMMYFUNCTION("""COMPUTED_VALUE"""),29834.0)</f>
        <v>29834</v>
      </c>
      <c r="E166" s="188">
        <f>IFERROR(__xludf.DUMMYFUNCTION("""COMPUTED_VALUE"""),5490.0)</f>
        <v>5490</v>
      </c>
      <c r="F166" s="149">
        <f>IFERROR(__xludf.DUMMYFUNCTION("""COMPUTED_VALUE"""),410148.0)</f>
        <v>410148</v>
      </c>
      <c r="G166" s="149">
        <f>IFERROR(__xludf.DUMMYFUNCTION("""COMPUTED_VALUE"""),5636.0)</f>
        <v>5636</v>
      </c>
      <c r="H166" s="149">
        <f>IFERROR(__xludf.DUMMYFUNCTION("""COMPUTED_VALUE"""),439982.0)</f>
        <v>439982</v>
      </c>
      <c r="I166" s="188">
        <f>IFERROR(__xludf.DUMMYFUNCTION("""COMPUTED_VALUE"""),101.0)</f>
        <v>101</v>
      </c>
      <c r="J166" s="188">
        <f>IFERROR(__xludf.DUMMYFUNCTION("""COMPUTED_VALUE"""),100.0)</f>
        <v>100</v>
      </c>
      <c r="K166" s="188">
        <f>IFERROR(__xludf.DUMMYFUNCTION("""COMPUTED_VALUE"""),20712.0)</f>
        <v>20712</v>
      </c>
      <c r="L166" s="188">
        <f>IFERROR(__xludf.DUMMYFUNCTION("""COMPUTED_VALUE"""),1955.0)</f>
        <v>1955</v>
      </c>
      <c r="M166" s="188">
        <f>IFERROR(__xludf.DUMMYFUNCTION("""COMPUTED_VALUE"""),217951.0)</f>
        <v>217951</v>
      </c>
      <c r="N166" s="188">
        <f>IFERROR(__xludf.DUMMYFUNCTION("""COMPUTED_VALUE"""),238663.0)</f>
        <v>238663</v>
      </c>
      <c r="O166" s="188">
        <f>IFERROR(__xludf.DUMMYFUNCTION("""COMPUTED_VALUE"""),13.0)</f>
        <v>13</v>
      </c>
      <c r="P166" s="188">
        <f>IFERROR(__xludf.DUMMYFUNCTION("""COMPUTED_VALUE"""),2410.0)</f>
        <v>2410</v>
      </c>
      <c r="Q166" s="188">
        <f>IFERROR(__xludf.DUMMYFUNCTION("""COMPUTED_VALUE"""),11.0)</f>
        <v>11</v>
      </c>
      <c r="R166" s="188">
        <f>IFERROR(__xludf.DUMMYFUNCTION("""COMPUTED_VALUE"""),2000.0)</f>
        <v>2000</v>
      </c>
      <c r="S166" s="188">
        <f>IFERROR(__xludf.DUMMYFUNCTION("""COMPUTED_VALUE"""),0.0)</f>
        <v>0</v>
      </c>
      <c r="T166" s="188">
        <f>IFERROR(__xludf.DUMMYFUNCTION("""COMPUTED_VALUE"""),320.0)</f>
        <v>320</v>
      </c>
      <c r="U166" s="188">
        <f>IFERROR(__xludf.DUMMYFUNCTION("""COMPUTED_VALUE"""),90.0)</f>
        <v>90</v>
      </c>
      <c r="V166" s="188">
        <f>IFERROR(__xludf.DUMMYFUNCTION("""COMPUTED_VALUE"""),88.0)</f>
        <v>88</v>
      </c>
      <c r="W166" s="188">
        <f>IFERROR(__xludf.DUMMYFUNCTION("""COMPUTED_VALUE"""),11.0)</f>
        <v>11</v>
      </c>
      <c r="X166" s="188">
        <f>IFERROR(__xludf.DUMMYFUNCTION("""COMPUTED_VALUE"""),4.0)</f>
        <v>4</v>
      </c>
      <c r="Y166" s="188">
        <f>IFERROR(__xludf.DUMMYFUNCTION("""COMPUTED_VALUE"""),3.0)</f>
        <v>3</v>
      </c>
      <c r="Z166" s="188">
        <f>IFERROR(__xludf.DUMMYFUNCTION("""COMPUTED_VALUE"""),1036.0)</f>
        <v>1036</v>
      </c>
    </row>
    <row r="167">
      <c r="A167" s="187">
        <f>IFERROR(__xludf.DUMMYFUNCTION("""COMPUTED_VALUE"""),44058.0)</f>
        <v>44058</v>
      </c>
      <c r="B167" s="188">
        <f>IFERROR(__xludf.DUMMYFUNCTION("""COMPUTED_VALUE"""),105.0)</f>
        <v>105</v>
      </c>
      <c r="C167" s="188">
        <f>IFERROR(__xludf.DUMMYFUNCTION("""COMPUTED_VALUE"""),129.0)</f>
        <v>129</v>
      </c>
      <c r="D167" s="188">
        <f>IFERROR(__xludf.DUMMYFUNCTION("""COMPUTED_VALUE"""),29939.0)</f>
        <v>29939</v>
      </c>
      <c r="E167" s="188">
        <f>IFERROR(__xludf.DUMMYFUNCTION("""COMPUTED_VALUE"""),4545.0)</f>
        <v>4545</v>
      </c>
      <c r="F167" s="149">
        <f>IFERROR(__xludf.DUMMYFUNCTION("""COMPUTED_VALUE"""),414693.0)</f>
        <v>414693</v>
      </c>
      <c r="G167" s="149">
        <f>IFERROR(__xludf.DUMMYFUNCTION("""COMPUTED_VALUE"""),4650.0)</f>
        <v>4650</v>
      </c>
      <c r="H167" s="149">
        <f>IFERROR(__xludf.DUMMYFUNCTION("""COMPUTED_VALUE"""),444632.0)</f>
        <v>444632</v>
      </c>
      <c r="I167" s="188">
        <f>IFERROR(__xludf.DUMMYFUNCTION("""COMPUTED_VALUE"""),90.0)</f>
        <v>90</v>
      </c>
      <c r="J167" s="188">
        <f>IFERROR(__xludf.DUMMYFUNCTION("""COMPUTED_VALUE"""),96.0)</f>
        <v>96</v>
      </c>
      <c r="K167" s="188">
        <f>IFERROR(__xludf.DUMMYFUNCTION("""COMPUTED_VALUE"""),20802.0)</f>
        <v>20802</v>
      </c>
      <c r="L167" s="188">
        <f>IFERROR(__xludf.DUMMYFUNCTION("""COMPUTED_VALUE"""),1703.0)</f>
        <v>1703</v>
      </c>
      <c r="M167" s="188">
        <f>IFERROR(__xludf.DUMMYFUNCTION("""COMPUTED_VALUE"""),219654.0)</f>
        <v>219654</v>
      </c>
      <c r="N167" s="188">
        <f>IFERROR(__xludf.DUMMYFUNCTION("""COMPUTED_VALUE"""),240456.0)</f>
        <v>240456</v>
      </c>
      <c r="O167" s="188">
        <f>IFERROR(__xludf.DUMMYFUNCTION("""COMPUTED_VALUE"""),8.0)</f>
        <v>8</v>
      </c>
      <c r="P167" s="188">
        <f>IFERROR(__xludf.DUMMYFUNCTION("""COMPUTED_VALUE"""),2418.0)</f>
        <v>2418</v>
      </c>
      <c r="Q167" s="188">
        <f>IFERROR(__xludf.DUMMYFUNCTION("""COMPUTED_VALUE"""),11.0)</f>
        <v>11</v>
      </c>
      <c r="R167" s="188">
        <f>IFERROR(__xludf.DUMMYFUNCTION("""COMPUTED_VALUE"""),2011.0)</f>
        <v>2011</v>
      </c>
      <c r="S167" s="188">
        <f>IFERROR(__xludf.DUMMYFUNCTION("""COMPUTED_VALUE"""),1.0)</f>
        <v>1</v>
      </c>
      <c r="T167" s="188">
        <f>IFERROR(__xludf.DUMMYFUNCTION("""COMPUTED_VALUE"""),321.0)</f>
        <v>321</v>
      </c>
      <c r="U167" s="188">
        <f>IFERROR(__xludf.DUMMYFUNCTION("""COMPUTED_VALUE"""),86.0)</f>
        <v>86</v>
      </c>
      <c r="V167" s="188">
        <f>IFERROR(__xludf.DUMMYFUNCTION("""COMPUTED_VALUE"""),88.0)</f>
        <v>88</v>
      </c>
      <c r="W167" s="188">
        <f>IFERROR(__xludf.DUMMYFUNCTION("""COMPUTED_VALUE"""),11.0)</f>
        <v>11</v>
      </c>
      <c r="X167" s="188">
        <f>IFERROR(__xludf.DUMMYFUNCTION("""COMPUTED_VALUE"""),5.0)</f>
        <v>5</v>
      </c>
      <c r="Y167" s="188">
        <f>IFERROR(__xludf.DUMMYFUNCTION("""COMPUTED_VALUE"""),0.0)</f>
        <v>0</v>
      </c>
      <c r="Z167" s="188">
        <f>IFERROR(__xludf.DUMMYFUNCTION("""COMPUTED_VALUE"""),1036.0)</f>
        <v>1036</v>
      </c>
    </row>
    <row r="168">
      <c r="A168" s="187">
        <f>IFERROR(__xludf.DUMMYFUNCTION("""COMPUTED_VALUE"""),44059.0)</f>
        <v>44059</v>
      </c>
      <c r="B168" s="188">
        <f>IFERROR(__xludf.DUMMYFUNCTION("""COMPUTED_VALUE"""),83.0)</f>
        <v>83</v>
      </c>
      <c r="C168" s="188">
        <f>IFERROR(__xludf.DUMMYFUNCTION("""COMPUTED_VALUE"""),111.0)</f>
        <v>111</v>
      </c>
      <c r="D168" s="188">
        <f>IFERROR(__xludf.DUMMYFUNCTION("""COMPUTED_VALUE"""),30022.0)</f>
        <v>30022</v>
      </c>
      <c r="E168" s="188">
        <f>IFERROR(__xludf.DUMMYFUNCTION("""COMPUTED_VALUE"""),2799.0)</f>
        <v>2799</v>
      </c>
      <c r="F168" s="149">
        <f>IFERROR(__xludf.DUMMYFUNCTION("""COMPUTED_VALUE"""),417492.0)</f>
        <v>417492</v>
      </c>
      <c r="G168" s="149">
        <f>IFERROR(__xludf.DUMMYFUNCTION("""COMPUTED_VALUE"""),2882.0)</f>
        <v>2882</v>
      </c>
      <c r="H168" s="149">
        <f>IFERROR(__xludf.DUMMYFUNCTION("""COMPUTED_VALUE"""),447514.0)</f>
        <v>447514</v>
      </c>
      <c r="I168" s="188">
        <f>IFERROR(__xludf.DUMMYFUNCTION("""COMPUTED_VALUE"""),71.0)</f>
        <v>71</v>
      </c>
      <c r="J168" s="188">
        <f>IFERROR(__xludf.DUMMYFUNCTION("""COMPUTED_VALUE"""),87.0)</f>
        <v>87</v>
      </c>
      <c r="K168" s="188">
        <f>IFERROR(__xludf.DUMMYFUNCTION("""COMPUTED_VALUE"""),20873.0)</f>
        <v>20873</v>
      </c>
      <c r="L168" s="188">
        <f>IFERROR(__xludf.DUMMYFUNCTION("""COMPUTED_VALUE"""),987.0)</f>
        <v>987</v>
      </c>
      <c r="M168" s="188">
        <f>IFERROR(__xludf.DUMMYFUNCTION("""COMPUTED_VALUE"""),220641.0)</f>
        <v>220641</v>
      </c>
      <c r="N168" s="188">
        <f>IFERROR(__xludf.DUMMYFUNCTION("""COMPUTED_VALUE"""),241514.0)</f>
        <v>241514</v>
      </c>
      <c r="O168" s="188">
        <f>IFERROR(__xludf.DUMMYFUNCTION("""COMPUTED_VALUE"""),7.0)</f>
        <v>7</v>
      </c>
      <c r="P168" s="188">
        <f>IFERROR(__xludf.DUMMYFUNCTION("""COMPUTED_VALUE"""),2425.0)</f>
        <v>2425</v>
      </c>
      <c r="Q168" s="188">
        <f>IFERROR(__xludf.DUMMYFUNCTION("""COMPUTED_VALUE"""),6.0)</f>
        <v>6</v>
      </c>
      <c r="R168" s="188">
        <f>IFERROR(__xludf.DUMMYFUNCTION("""COMPUTED_VALUE"""),2017.0)</f>
        <v>2017</v>
      </c>
      <c r="S168" s="188">
        <f>IFERROR(__xludf.DUMMYFUNCTION("""COMPUTED_VALUE"""),4.0)</f>
        <v>4</v>
      </c>
      <c r="T168" s="188">
        <f>IFERROR(__xludf.DUMMYFUNCTION("""COMPUTED_VALUE"""),325.0)</f>
        <v>325</v>
      </c>
      <c r="U168" s="188">
        <f>IFERROR(__xludf.DUMMYFUNCTION("""COMPUTED_VALUE"""),83.0)</f>
        <v>83</v>
      </c>
      <c r="V168" s="188">
        <f>IFERROR(__xludf.DUMMYFUNCTION("""COMPUTED_VALUE"""),86.0)</f>
        <v>86</v>
      </c>
      <c r="W168" s="188">
        <f>IFERROR(__xludf.DUMMYFUNCTION("""COMPUTED_VALUE"""),8.0)</f>
        <v>8</v>
      </c>
      <c r="X168" s="188">
        <f>IFERROR(__xludf.DUMMYFUNCTION("""COMPUTED_VALUE"""),4.0)</f>
        <v>4</v>
      </c>
      <c r="Y168" s="188">
        <f>IFERROR(__xludf.DUMMYFUNCTION("""COMPUTED_VALUE"""),5.0)</f>
        <v>5</v>
      </c>
      <c r="Z168" s="188">
        <f>IFERROR(__xludf.DUMMYFUNCTION("""COMPUTED_VALUE"""),1041.0)</f>
        <v>1041</v>
      </c>
    </row>
    <row r="169">
      <c r="A169" s="187">
        <f>IFERROR(__xludf.DUMMYFUNCTION("""COMPUTED_VALUE"""),44060.0)</f>
        <v>44060</v>
      </c>
      <c r="B169" s="188">
        <f>IFERROR(__xludf.DUMMYFUNCTION("""COMPUTED_VALUE"""),108.0)</f>
        <v>108</v>
      </c>
      <c r="C169" s="188">
        <f>IFERROR(__xludf.DUMMYFUNCTION("""COMPUTED_VALUE"""),99.0)</f>
        <v>99</v>
      </c>
      <c r="D169" s="188">
        <f>IFERROR(__xludf.DUMMYFUNCTION("""COMPUTED_VALUE"""),30130.0)</f>
        <v>30130</v>
      </c>
      <c r="E169" s="188">
        <f>IFERROR(__xludf.DUMMYFUNCTION("""COMPUTED_VALUE"""),4557.0)</f>
        <v>4557</v>
      </c>
      <c r="F169" s="149">
        <f>IFERROR(__xludf.DUMMYFUNCTION("""COMPUTED_VALUE"""),422049.0)</f>
        <v>422049</v>
      </c>
      <c r="G169" s="149">
        <f>IFERROR(__xludf.DUMMYFUNCTION("""COMPUTED_VALUE"""),4665.0)</f>
        <v>4665</v>
      </c>
      <c r="H169" s="149">
        <f>IFERROR(__xludf.DUMMYFUNCTION("""COMPUTED_VALUE"""),452179.0)</f>
        <v>452179</v>
      </c>
      <c r="I169" s="188">
        <f>IFERROR(__xludf.DUMMYFUNCTION("""COMPUTED_VALUE"""),87.0)</f>
        <v>87</v>
      </c>
      <c r="J169" s="188">
        <f>IFERROR(__xludf.DUMMYFUNCTION("""COMPUTED_VALUE"""),83.0)</f>
        <v>83</v>
      </c>
      <c r="K169" s="188">
        <f>IFERROR(__xludf.DUMMYFUNCTION("""COMPUTED_VALUE"""),20960.0)</f>
        <v>20960</v>
      </c>
      <c r="L169" s="188">
        <f>IFERROR(__xludf.DUMMYFUNCTION("""COMPUTED_VALUE"""),2387.0)</f>
        <v>2387</v>
      </c>
      <c r="M169" s="188">
        <f>IFERROR(__xludf.DUMMYFUNCTION("""COMPUTED_VALUE"""),223028.0)</f>
        <v>223028</v>
      </c>
      <c r="N169" s="188">
        <f>IFERROR(__xludf.DUMMYFUNCTION("""COMPUTED_VALUE"""),243988.0)</f>
        <v>243988</v>
      </c>
      <c r="O169" s="188">
        <f>IFERROR(__xludf.DUMMYFUNCTION("""COMPUTED_VALUE"""),10.0)</f>
        <v>10</v>
      </c>
      <c r="P169" s="188">
        <f>IFERROR(__xludf.DUMMYFUNCTION("""COMPUTED_VALUE"""),2435.0)</f>
        <v>2435</v>
      </c>
      <c r="Q169" s="188">
        <f>IFERROR(__xludf.DUMMYFUNCTION("""COMPUTED_VALUE"""),7.0)</f>
        <v>7</v>
      </c>
      <c r="R169" s="188">
        <f>IFERROR(__xludf.DUMMYFUNCTION("""COMPUTED_VALUE"""),2024.0)</f>
        <v>2024</v>
      </c>
      <c r="S169" s="188">
        <f>IFERROR(__xludf.DUMMYFUNCTION("""COMPUTED_VALUE"""),0.0)</f>
        <v>0</v>
      </c>
      <c r="T169" s="188">
        <f>IFERROR(__xludf.DUMMYFUNCTION("""COMPUTED_VALUE"""),325.0)</f>
        <v>325</v>
      </c>
      <c r="U169" s="188">
        <f>IFERROR(__xludf.DUMMYFUNCTION("""COMPUTED_VALUE"""),86.0)</f>
        <v>86</v>
      </c>
      <c r="V169" s="188">
        <f>IFERROR(__xludf.DUMMYFUNCTION("""COMPUTED_VALUE"""),85.0)</f>
        <v>85</v>
      </c>
      <c r="W169" s="188">
        <f>IFERROR(__xludf.DUMMYFUNCTION("""COMPUTED_VALUE"""),8.0)</f>
        <v>8</v>
      </c>
      <c r="X169" s="188">
        <f>IFERROR(__xludf.DUMMYFUNCTION("""COMPUTED_VALUE"""),5.0)</f>
        <v>5</v>
      </c>
      <c r="Y169" s="188">
        <f>IFERROR(__xludf.DUMMYFUNCTION("""COMPUTED_VALUE"""),2.0)</f>
        <v>2</v>
      </c>
      <c r="Z169" s="188">
        <f>IFERROR(__xludf.DUMMYFUNCTION("""COMPUTED_VALUE"""),1043.0)</f>
        <v>1043</v>
      </c>
    </row>
    <row r="170">
      <c r="A170" s="187">
        <f>IFERROR(__xludf.DUMMYFUNCTION("""COMPUTED_VALUE"""),44061.0)</f>
        <v>44061</v>
      </c>
      <c r="B170" s="188">
        <f>IFERROR(__xludf.DUMMYFUNCTION("""COMPUTED_VALUE"""),130.0)</f>
        <v>130</v>
      </c>
      <c r="C170" s="188">
        <f>IFERROR(__xludf.DUMMYFUNCTION("""COMPUTED_VALUE"""),107.0)</f>
        <v>107</v>
      </c>
      <c r="D170" s="188">
        <f>IFERROR(__xludf.DUMMYFUNCTION("""COMPUTED_VALUE"""),30260.0)</f>
        <v>30260</v>
      </c>
      <c r="E170" s="188">
        <f>IFERROR(__xludf.DUMMYFUNCTION("""COMPUTED_VALUE"""),5058.0)</f>
        <v>5058</v>
      </c>
      <c r="F170" s="149">
        <f>IFERROR(__xludf.DUMMYFUNCTION("""COMPUTED_VALUE"""),427107.0)</f>
        <v>427107</v>
      </c>
      <c r="G170" s="149">
        <f>IFERROR(__xludf.DUMMYFUNCTION("""COMPUTED_VALUE"""),5188.0)</f>
        <v>5188</v>
      </c>
      <c r="H170" s="149">
        <f>IFERROR(__xludf.DUMMYFUNCTION("""COMPUTED_VALUE"""),457367.0)</f>
        <v>457367</v>
      </c>
      <c r="I170" s="188">
        <f>IFERROR(__xludf.DUMMYFUNCTION("""COMPUTED_VALUE"""),97.0)</f>
        <v>97</v>
      </c>
      <c r="J170" s="188">
        <f>IFERROR(__xludf.DUMMYFUNCTION("""COMPUTED_VALUE"""),85.0)</f>
        <v>85</v>
      </c>
      <c r="K170" s="188">
        <f>IFERROR(__xludf.DUMMYFUNCTION("""COMPUTED_VALUE"""),21057.0)</f>
        <v>21057</v>
      </c>
      <c r="L170" s="188">
        <f>IFERROR(__xludf.DUMMYFUNCTION("""COMPUTED_VALUE"""),2788.0)</f>
        <v>2788</v>
      </c>
      <c r="M170" s="188">
        <f>IFERROR(__xludf.DUMMYFUNCTION("""COMPUTED_VALUE"""),225816.0)</f>
        <v>225816</v>
      </c>
      <c r="N170" s="188">
        <f>IFERROR(__xludf.DUMMYFUNCTION("""COMPUTED_VALUE"""),246873.0)</f>
        <v>246873</v>
      </c>
      <c r="O170" s="188">
        <f>IFERROR(__xludf.DUMMYFUNCTION("""COMPUTED_VALUE"""),11.0)</f>
        <v>11</v>
      </c>
      <c r="P170" s="188">
        <f>IFERROR(__xludf.DUMMYFUNCTION("""COMPUTED_VALUE"""),2446.0)</f>
        <v>2446</v>
      </c>
      <c r="Q170" s="188">
        <f>IFERROR(__xludf.DUMMYFUNCTION("""COMPUTED_VALUE"""),9.0)</f>
        <v>9</v>
      </c>
      <c r="R170" s="188">
        <f>IFERROR(__xludf.DUMMYFUNCTION("""COMPUTED_VALUE"""),2033.0)</f>
        <v>2033</v>
      </c>
      <c r="S170" s="188">
        <f>IFERROR(__xludf.DUMMYFUNCTION("""COMPUTED_VALUE"""),1.0)</f>
        <v>1</v>
      </c>
      <c r="T170" s="188">
        <f>IFERROR(__xludf.DUMMYFUNCTION("""COMPUTED_VALUE"""),326.0)</f>
        <v>326</v>
      </c>
      <c r="U170" s="188">
        <f>IFERROR(__xludf.DUMMYFUNCTION("""COMPUTED_VALUE"""),87.0)</f>
        <v>87</v>
      </c>
      <c r="V170" s="188">
        <f>IFERROR(__xludf.DUMMYFUNCTION("""COMPUTED_VALUE"""),85.0)</f>
        <v>85</v>
      </c>
      <c r="W170" s="188">
        <f>IFERROR(__xludf.DUMMYFUNCTION("""COMPUTED_VALUE"""),8.0)</f>
        <v>8</v>
      </c>
      <c r="X170" s="188">
        <f>IFERROR(__xludf.DUMMYFUNCTION("""COMPUTED_VALUE"""),4.0)</f>
        <v>4</v>
      </c>
      <c r="Y170" s="188">
        <f>IFERROR(__xludf.DUMMYFUNCTION("""COMPUTED_VALUE"""),5.0)</f>
        <v>5</v>
      </c>
      <c r="Z170" s="188">
        <f>IFERROR(__xludf.DUMMYFUNCTION("""COMPUTED_VALUE"""),1048.0)</f>
        <v>1048</v>
      </c>
    </row>
    <row r="171">
      <c r="A171" s="187">
        <f>IFERROR(__xludf.DUMMYFUNCTION("""COMPUTED_VALUE"""),44062.0)</f>
        <v>44062</v>
      </c>
      <c r="B171" s="188">
        <f>IFERROR(__xludf.DUMMYFUNCTION("""COMPUTED_VALUE"""),116.0)</f>
        <v>116</v>
      </c>
      <c r="C171" s="188">
        <f>IFERROR(__xludf.DUMMYFUNCTION("""COMPUTED_VALUE"""),118.0)</f>
        <v>118</v>
      </c>
      <c r="D171" s="188">
        <f>IFERROR(__xludf.DUMMYFUNCTION("""COMPUTED_VALUE"""),30376.0)</f>
        <v>30376</v>
      </c>
      <c r="E171" s="188">
        <f>IFERROR(__xludf.DUMMYFUNCTION("""COMPUTED_VALUE"""),5428.0)</f>
        <v>5428</v>
      </c>
      <c r="F171" s="149">
        <f>IFERROR(__xludf.DUMMYFUNCTION("""COMPUTED_VALUE"""),432535.0)</f>
        <v>432535</v>
      </c>
      <c r="G171" s="149">
        <f>IFERROR(__xludf.DUMMYFUNCTION("""COMPUTED_VALUE"""),5544.0)</f>
        <v>5544</v>
      </c>
      <c r="H171" s="149">
        <f>IFERROR(__xludf.DUMMYFUNCTION("""COMPUTED_VALUE"""),462911.0)</f>
        <v>462911</v>
      </c>
      <c r="I171" s="188">
        <f>IFERROR(__xludf.DUMMYFUNCTION("""COMPUTED_VALUE"""),90.0)</f>
        <v>90</v>
      </c>
      <c r="J171" s="188">
        <f>IFERROR(__xludf.DUMMYFUNCTION("""COMPUTED_VALUE"""),91.0)</f>
        <v>91</v>
      </c>
      <c r="K171" s="188">
        <f>IFERROR(__xludf.DUMMYFUNCTION("""COMPUTED_VALUE"""),21147.0)</f>
        <v>21147</v>
      </c>
      <c r="L171" s="188">
        <f>IFERROR(__xludf.DUMMYFUNCTION("""COMPUTED_VALUE"""),2685.0)</f>
        <v>2685</v>
      </c>
      <c r="M171" s="188">
        <f>IFERROR(__xludf.DUMMYFUNCTION("""COMPUTED_VALUE"""),228501.0)</f>
        <v>228501</v>
      </c>
      <c r="N171" s="188">
        <f>IFERROR(__xludf.DUMMYFUNCTION("""COMPUTED_VALUE"""),249648.0)</f>
        <v>249648</v>
      </c>
      <c r="O171" s="188">
        <f>IFERROR(__xludf.DUMMYFUNCTION("""COMPUTED_VALUE"""),8.0)</f>
        <v>8</v>
      </c>
      <c r="P171" s="188">
        <f>IFERROR(__xludf.DUMMYFUNCTION("""COMPUTED_VALUE"""),2454.0)</f>
        <v>2454</v>
      </c>
      <c r="Q171" s="188">
        <f>IFERROR(__xludf.DUMMYFUNCTION("""COMPUTED_VALUE"""),9.0)</f>
        <v>9</v>
      </c>
      <c r="R171" s="188">
        <f>IFERROR(__xludf.DUMMYFUNCTION("""COMPUTED_VALUE"""),2042.0)</f>
        <v>2042</v>
      </c>
      <c r="S171" s="188">
        <f>IFERROR(__xludf.DUMMYFUNCTION("""COMPUTED_VALUE"""),1.0)</f>
        <v>1</v>
      </c>
      <c r="T171" s="188">
        <f>IFERROR(__xludf.DUMMYFUNCTION("""COMPUTED_VALUE"""),327.0)</f>
        <v>327</v>
      </c>
      <c r="U171" s="188">
        <f>IFERROR(__xludf.DUMMYFUNCTION("""COMPUTED_VALUE"""),85.0)</f>
        <v>85</v>
      </c>
      <c r="V171" s="188">
        <f>IFERROR(__xludf.DUMMYFUNCTION("""COMPUTED_VALUE"""),86.0)</f>
        <v>86</v>
      </c>
      <c r="W171" s="188">
        <f>IFERROR(__xludf.DUMMYFUNCTION("""COMPUTED_VALUE"""),9.0)</f>
        <v>9</v>
      </c>
      <c r="X171" s="188">
        <f>IFERROR(__xludf.DUMMYFUNCTION("""COMPUTED_VALUE"""),5.0)</f>
        <v>5</v>
      </c>
      <c r="Y171" s="188">
        <f>IFERROR(__xludf.DUMMYFUNCTION("""COMPUTED_VALUE"""),0.0)</f>
        <v>0</v>
      </c>
      <c r="Z171" s="188">
        <f>IFERROR(__xludf.DUMMYFUNCTION("""COMPUTED_VALUE"""),1048.0)</f>
        <v>1048</v>
      </c>
    </row>
    <row r="172">
      <c r="A172" s="187">
        <f>IFERROR(__xludf.DUMMYFUNCTION("""COMPUTED_VALUE"""),44063.0)</f>
        <v>44063</v>
      </c>
      <c r="B172" s="188">
        <f>IFERROR(__xludf.DUMMYFUNCTION("""COMPUTED_VALUE"""),174.0)</f>
        <v>174</v>
      </c>
      <c r="C172" s="188">
        <f>IFERROR(__xludf.DUMMYFUNCTION("""COMPUTED_VALUE"""),140.0)</f>
        <v>140</v>
      </c>
      <c r="D172" s="188">
        <f>IFERROR(__xludf.DUMMYFUNCTION("""COMPUTED_VALUE"""),30550.0)</f>
        <v>30550</v>
      </c>
      <c r="E172" s="188">
        <f>IFERROR(__xludf.DUMMYFUNCTION("""COMPUTED_VALUE"""),8287.0)</f>
        <v>8287</v>
      </c>
      <c r="F172" s="149">
        <f>IFERROR(__xludf.DUMMYFUNCTION("""COMPUTED_VALUE"""),440822.0)</f>
        <v>440822</v>
      </c>
      <c r="G172" s="149">
        <f>IFERROR(__xludf.DUMMYFUNCTION("""COMPUTED_VALUE"""),8461.0)</f>
        <v>8461</v>
      </c>
      <c r="H172" s="149">
        <f>IFERROR(__xludf.DUMMYFUNCTION("""COMPUTED_VALUE"""),471372.0)</f>
        <v>471372</v>
      </c>
      <c r="I172" s="188">
        <f>IFERROR(__xludf.DUMMYFUNCTION("""COMPUTED_VALUE"""),137.0)</f>
        <v>137</v>
      </c>
      <c r="J172" s="188">
        <f>IFERROR(__xludf.DUMMYFUNCTION("""COMPUTED_VALUE"""),108.0)</f>
        <v>108</v>
      </c>
      <c r="K172" s="188">
        <f>IFERROR(__xludf.DUMMYFUNCTION("""COMPUTED_VALUE"""),21284.0)</f>
        <v>21284</v>
      </c>
      <c r="L172" s="188">
        <f>IFERROR(__xludf.DUMMYFUNCTION("""COMPUTED_VALUE"""),3575.0)</f>
        <v>3575</v>
      </c>
      <c r="M172" s="188">
        <f>IFERROR(__xludf.DUMMYFUNCTION("""COMPUTED_VALUE"""),232076.0)</f>
        <v>232076</v>
      </c>
      <c r="N172" s="188">
        <f>IFERROR(__xludf.DUMMYFUNCTION("""COMPUTED_VALUE"""),253360.0)</f>
        <v>253360</v>
      </c>
      <c r="O172" s="188">
        <f>IFERROR(__xludf.DUMMYFUNCTION("""COMPUTED_VALUE"""),12.0)</f>
        <v>12</v>
      </c>
      <c r="P172" s="188">
        <f>IFERROR(__xludf.DUMMYFUNCTION("""COMPUTED_VALUE"""),2466.0)</f>
        <v>2466</v>
      </c>
      <c r="Q172" s="188">
        <f>IFERROR(__xludf.DUMMYFUNCTION("""COMPUTED_VALUE"""),6.0)</f>
        <v>6</v>
      </c>
      <c r="R172" s="188">
        <f>IFERROR(__xludf.DUMMYFUNCTION("""COMPUTED_VALUE"""),2048.0)</f>
        <v>2048</v>
      </c>
      <c r="S172" s="188">
        <f>IFERROR(__xludf.DUMMYFUNCTION("""COMPUTED_VALUE"""),2.0)</f>
        <v>2</v>
      </c>
      <c r="T172" s="188">
        <f>IFERROR(__xludf.DUMMYFUNCTION("""COMPUTED_VALUE"""),329.0)</f>
        <v>329</v>
      </c>
      <c r="U172" s="188">
        <f>IFERROR(__xludf.DUMMYFUNCTION("""COMPUTED_VALUE"""),89.0)</f>
        <v>89</v>
      </c>
      <c r="V172" s="188">
        <f>IFERROR(__xludf.DUMMYFUNCTION("""COMPUTED_VALUE"""),87.0)</f>
        <v>87</v>
      </c>
      <c r="W172" s="188">
        <f>IFERROR(__xludf.DUMMYFUNCTION("""COMPUTED_VALUE"""),10.0)</f>
        <v>10</v>
      </c>
      <c r="X172" s="188">
        <f>IFERROR(__xludf.DUMMYFUNCTION("""COMPUTED_VALUE"""),5.0)</f>
        <v>5</v>
      </c>
      <c r="Y172" s="188">
        <f>IFERROR(__xludf.DUMMYFUNCTION("""COMPUTED_VALUE"""),3.0)</f>
        <v>3</v>
      </c>
      <c r="Z172" s="188">
        <f>IFERROR(__xludf.DUMMYFUNCTION("""COMPUTED_VALUE"""),1051.0)</f>
        <v>1051</v>
      </c>
    </row>
    <row r="173">
      <c r="A173" s="187">
        <f>IFERROR(__xludf.DUMMYFUNCTION("""COMPUTED_VALUE"""),44064.0)</f>
        <v>44064</v>
      </c>
      <c r="B173" s="188">
        <f>IFERROR(__xludf.DUMMYFUNCTION("""COMPUTED_VALUE"""),156.0)</f>
        <v>156</v>
      </c>
      <c r="C173" s="188">
        <f>IFERROR(__xludf.DUMMYFUNCTION("""COMPUTED_VALUE"""),149.0)</f>
        <v>149</v>
      </c>
      <c r="D173" s="188">
        <f>IFERROR(__xludf.DUMMYFUNCTION("""COMPUTED_VALUE"""),30706.0)</f>
        <v>30706</v>
      </c>
      <c r="E173" s="188">
        <f>IFERROR(__xludf.DUMMYFUNCTION("""COMPUTED_VALUE"""),6832.0)</f>
        <v>6832</v>
      </c>
      <c r="F173" s="149">
        <f>IFERROR(__xludf.DUMMYFUNCTION("""COMPUTED_VALUE"""),447654.0)</f>
        <v>447654</v>
      </c>
      <c r="G173" s="149">
        <f>IFERROR(__xludf.DUMMYFUNCTION("""COMPUTED_VALUE"""),6988.0)</f>
        <v>6988</v>
      </c>
      <c r="H173" s="149">
        <f>IFERROR(__xludf.DUMMYFUNCTION("""COMPUTED_VALUE"""),478360.0)</f>
        <v>478360</v>
      </c>
      <c r="I173" s="188">
        <f>IFERROR(__xludf.DUMMYFUNCTION("""COMPUTED_VALUE"""),125.0)</f>
        <v>125</v>
      </c>
      <c r="J173" s="188">
        <f>IFERROR(__xludf.DUMMYFUNCTION("""COMPUTED_VALUE"""),117.0)</f>
        <v>117</v>
      </c>
      <c r="K173" s="188">
        <f>IFERROR(__xludf.DUMMYFUNCTION("""COMPUTED_VALUE"""),21409.0)</f>
        <v>21409</v>
      </c>
      <c r="L173" s="188">
        <f>IFERROR(__xludf.DUMMYFUNCTION("""COMPUTED_VALUE"""),2980.0)</f>
        <v>2980</v>
      </c>
      <c r="M173" s="188">
        <f>IFERROR(__xludf.DUMMYFUNCTION("""COMPUTED_VALUE"""),235056.0)</f>
        <v>235056</v>
      </c>
      <c r="N173" s="188">
        <f>IFERROR(__xludf.DUMMYFUNCTION("""COMPUTED_VALUE"""),256465.0)</f>
        <v>256465</v>
      </c>
      <c r="O173" s="188">
        <f>IFERROR(__xludf.DUMMYFUNCTION("""COMPUTED_VALUE"""),8.0)</f>
        <v>8</v>
      </c>
      <c r="P173" s="188">
        <f>IFERROR(__xludf.DUMMYFUNCTION("""COMPUTED_VALUE"""),2474.0)</f>
        <v>2474</v>
      </c>
      <c r="Q173" s="188">
        <f>IFERROR(__xludf.DUMMYFUNCTION("""COMPUTED_VALUE"""),5.0)</f>
        <v>5</v>
      </c>
      <c r="R173" s="188">
        <f>IFERROR(__xludf.DUMMYFUNCTION("""COMPUTED_VALUE"""),2053.0)</f>
        <v>2053</v>
      </c>
      <c r="S173" s="188">
        <f>IFERROR(__xludf.DUMMYFUNCTION("""COMPUTED_VALUE"""),1.0)</f>
        <v>1</v>
      </c>
      <c r="T173" s="188">
        <f>IFERROR(__xludf.DUMMYFUNCTION("""COMPUTED_VALUE"""),330.0)</f>
        <v>330</v>
      </c>
      <c r="U173" s="188">
        <f>IFERROR(__xludf.DUMMYFUNCTION("""COMPUTED_VALUE"""),91.0)</f>
        <v>91</v>
      </c>
      <c r="V173" s="188">
        <f>IFERROR(__xludf.DUMMYFUNCTION("""COMPUTED_VALUE"""),88.0)</f>
        <v>88</v>
      </c>
      <c r="W173" s="188">
        <f>IFERROR(__xludf.DUMMYFUNCTION("""COMPUTED_VALUE"""),9.0)</f>
        <v>9</v>
      </c>
      <c r="X173" s="188">
        <f>IFERROR(__xludf.DUMMYFUNCTION("""COMPUTED_VALUE"""),4.0)</f>
        <v>4</v>
      </c>
      <c r="Y173" s="188">
        <f>IFERROR(__xludf.DUMMYFUNCTION("""COMPUTED_VALUE"""),2.0)</f>
        <v>2</v>
      </c>
      <c r="Z173" s="188">
        <f>IFERROR(__xludf.DUMMYFUNCTION("""COMPUTED_VALUE"""),1053.0)</f>
        <v>1053</v>
      </c>
    </row>
    <row r="174">
      <c r="A174" s="187">
        <f>IFERROR(__xludf.DUMMYFUNCTION("""COMPUTED_VALUE"""),44065.0)</f>
        <v>44065</v>
      </c>
      <c r="B174" s="188">
        <f>IFERROR(__xludf.DUMMYFUNCTION("""COMPUTED_VALUE"""),96.0)</f>
        <v>96</v>
      </c>
      <c r="C174" s="188">
        <f>IFERROR(__xludf.DUMMYFUNCTION("""COMPUTED_VALUE"""),142.0)</f>
        <v>142</v>
      </c>
      <c r="D174" s="188">
        <f>IFERROR(__xludf.DUMMYFUNCTION("""COMPUTED_VALUE"""),30802.0)</f>
        <v>30802</v>
      </c>
      <c r="E174" s="188">
        <f>IFERROR(__xludf.DUMMYFUNCTION("""COMPUTED_VALUE"""),5982.0)</f>
        <v>5982</v>
      </c>
      <c r="F174" s="149">
        <f>IFERROR(__xludf.DUMMYFUNCTION("""COMPUTED_VALUE"""),453636.0)</f>
        <v>453636</v>
      </c>
      <c r="G174" s="149">
        <f>IFERROR(__xludf.DUMMYFUNCTION("""COMPUTED_VALUE"""),6078.0)</f>
        <v>6078</v>
      </c>
      <c r="H174" s="149">
        <f>IFERROR(__xludf.DUMMYFUNCTION("""COMPUTED_VALUE"""),484438.0)</f>
        <v>484438</v>
      </c>
      <c r="I174" s="188">
        <f>IFERROR(__xludf.DUMMYFUNCTION("""COMPUTED_VALUE"""),84.0)</f>
        <v>84</v>
      </c>
      <c r="J174" s="188">
        <f>IFERROR(__xludf.DUMMYFUNCTION("""COMPUTED_VALUE"""),115.0)</f>
        <v>115</v>
      </c>
      <c r="K174" s="188">
        <f>IFERROR(__xludf.DUMMYFUNCTION("""COMPUTED_VALUE"""),21493.0)</f>
        <v>21493</v>
      </c>
      <c r="L174" s="188">
        <f>IFERROR(__xludf.DUMMYFUNCTION("""COMPUTED_VALUE"""),2631.0)</f>
        <v>2631</v>
      </c>
      <c r="M174" s="188">
        <f>IFERROR(__xludf.DUMMYFUNCTION("""COMPUTED_VALUE"""),237687.0)</f>
        <v>237687</v>
      </c>
      <c r="N174" s="188">
        <f>IFERROR(__xludf.DUMMYFUNCTION("""COMPUTED_VALUE"""),259180.0)</f>
        <v>259180</v>
      </c>
      <c r="O174" s="188">
        <f>IFERROR(__xludf.DUMMYFUNCTION("""COMPUTED_VALUE"""),10.0)</f>
        <v>10</v>
      </c>
      <c r="P174" s="188">
        <f>IFERROR(__xludf.DUMMYFUNCTION("""COMPUTED_VALUE"""),2484.0)</f>
        <v>2484</v>
      </c>
      <c r="Q174" s="188">
        <f>IFERROR(__xludf.DUMMYFUNCTION("""COMPUTED_VALUE"""),12.0)</f>
        <v>12</v>
      </c>
      <c r="R174" s="188">
        <f>IFERROR(__xludf.DUMMYFUNCTION("""COMPUTED_VALUE"""),2065.0)</f>
        <v>2065</v>
      </c>
      <c r="S174" s="188">
        <f>IFERROR(__xludf.DUMMYFUNCTION("""COMPUTED_VALUE"""),0.0)</f>
        <v>0</v>
      </c>
      <c r="T174" s="188">
        <f>IFERROR(__xludf.DUMMYFUNCTION("""COMPUTED_VALUE"""),330.0)</f>
        <v>330</v>
      </c>
      <c r="U174" s="188">
        <f>IFERROR(__xludf.DUMMYFUNCTION("""COMPUTED_VALUE"""),89.0)</f>
        <v>89</v>
      </c>
      <c r="V174" s="188">
        <f>IFERROR(__xludf.DUMMYFUNCTION("""COMPUTED_VALUE"""),90.0)</f>
        <v>90</v>
      </c>
      <c r="W174" s="188">
        <f>IFERROR(__xludf.DUMMYFUNCTION("""COMPUTED_VALUE"""),11.0)</f>
        <v>11</v>
      </c>
      <c r="X174" s="188">
        <f>IFERROR(__xludf.DUMMYFUNCTION("""COMPUTED_VALUE"""),4.0)</f>
        <v>4</v>
      </c>
      <c r="Y174" s="188">
        <f>IFERROR(__xludf.DUMMYFUNCTION("""COMPUTED_VALUE"""),1.0)</f>
        <v>1</v>
      </c>
      <c r="Z174" s="188">
        <f>IFERROR(__xludf.DUMMYFUNCTION("""COMPUTED_VALUE"""),1054.0)</f>
        <v>1054</v>
      </c>
    </row>
    <row r="175">
      <c r="A175" s="187">
        <f>IFERROR(__xludf.DUMMYFUNCTION("""COMPUTED_VALUE"""),44066.0)</f>
        <v>44066</v>
      </c>
      <c r="B175" s="188">
        <f>IFERROR(__xludf.DUMMYFUNCTION("""COMPUTED_VALUE"""),73.0)</f>
        <v>73</v>
      </c>
      <c r="C175" s="188">
        <f>IFERROR(__xludf.DUMMYFUNCTION("""COMPUTED_VALUE"""),108.0)</f>
        <v>108</v>
      </c>
      <c r="D175" s="188">
        <f>IFERROR(__xludf.DUMMYFUNCTION("""COMPUTED_VALUE"""),30875.0)</f>
        <v>30875</v>
      </c>
      <c r="E175" s="188">
        <f>IFERROR(__xludf.DUMMYFUNCTION("""COMPUTED_VALUE"""),4387.0)</f>
        <v>4387</v>
      </c>
      <c r="F175" s="149">
        <f>IFERROR(__xludf.DUMMYFUNCTION("""COMPUTED_VALUE"""),458023.0)</f>
        <v>458023</v>
      </c>
      <c r="G175" s="149">
        <f>IFERROR(__xludf.DUMMYFUNCTION("""COMPUTED_VALUE"""),4460.0)</f>
        <v>4460</v>
      </c>
      <c r="H175" s="149">
        <f>IFERROR(__xludf.DUMMYFUNCTION("""COMPUTED_VALUE"""),488898.0)</f>
        <v>488898</v>
      </c>
      <c r="I175" s="188">
        <f>IFERROR(__xludf.DUMMYFUNCTION("""COMPUTED_VALUE"""),57.0)</f>
        <v>57</v>
      </c>
      <c r="J175" s="188">
        <f>IFERROR(__xludf.DUMMYFUNCTION("""COMPUTED_VALUE"""),89.0)</f>
        <v>89</v>
      </c>
      <c r="K175" s="188">
        <f>IFERROR(__xludf.DUMMYFUNCTION("""COMPUTED_VALUE"""),21550.0)</f>
        <v>21550</v>
      </c>
      <c r="L175" s="188">
        <f>IFERROR(__xludf.DUMMYFUNCTION("""COMPUTED_VALUE"""),2478.0)</f>
        <v>2478</v>
      </c>
      <c r="M175" s="188">
        <f>IFERROR(__xludf.DUMMYFUNCTION("""COMPUTED_VALUE"""),240165.0)</f>
        <v>240165</v>
      </c>
      <c r="N175" s="188">
        <f>IFERROR(__xludf.DUMMYFUNCTION("""COMPUTED_VALUE"""),261715.0)</f>
        <v>261715</v>
      </c>
      <c r="O175" s="188">
        <f>IFERROR(__xludf.DUMMYFUNCTION("""COMPUTED_VALUE"""),11.0)</f>
        <v>11</v>
      </c>
      <c r="P175" s="188">
        <f>IFERROR(__xludf.DUMMYFUNCTION("""COMPUTED_VALUE"""),2495.0)</f>
        <v>2495</v>
      </c>
      <c r="Q175" s="188">
        <f>IFERROR(__xludf.DUMMYFUNCTION("""COMPUTED_VALUE"""),5.0)</f>
        <v>5</v>
      </c>
      <c r="R175" s="188">
        <f>IFERROR(__xludf.DUMMYFUNCTION("""COMPUTED_VALUE"""),2070.0)</f>
        <v>2070</v>
      </c>
      <c r="S175" s="188">
        <f>IFERROR(__xludf.DUMMYFUNCTION("""COMPUTED_VALUE"""),0.0)</f>
        <v>0</v>
      </c>
      <c r="T175" s="188">
        <f>IFERROR(__xludf.DUMMYFUNCTION("""COMPUTED_VALUE"""),330.0)</f>
        <v>330</v>
      </c>
      <c r="U175" s="188">
        <f>IFERROR(__xludf.DUMMYFUNCTION("""COMPUTED_VALUE"""),95.0)</f>
        <v>95</v>
      </c>
      <c r="V175" s="188">
        <f>IFERROR(__xludf.DUMMYFUNCTION("""COMPUTED_VALUE"""),92.0)</f>
        <v>92</v>
      </c>
      <c r="W175" s="188">
        <f>IFERROR(__xludf.DUMMYFUNCTION("""COMPUTED_VALUE"""),11.0)</f>
        <v>11</v>
      </c>
      <c r="X175" s="188">
        <f>IFERROR(__xludf.DUMMYFUNCTION("""COMPUTED_VALUE"""),2.0)</f>
        <v>2</v>
      </c>
      <c r="Y175" s="188">
        <f>IFERROR(__xludf.DUMMYFUNCTION("""COMPUTED_VALUE"""),1.0)</f>
        <v>1</v>
      </c>
      <c r="Z175" s="188">
        <f>IFERROR(__xludf.DUMMYFUNCTION("""COMPUTED_VALUE"""),1055.0)</f>
        <v>1055</v>
      </c>
    </row>
    <row r="176">
      <c r="A176" s="187">
        <f>IFERROR(__xludf.DUMMYFUNCTION("""COMPUTED_VALUE"""),44067.0)</f>
        <v>44067</v>
      </c>
      <c r="B176" s="188">
        <f>IFERROR(__xludf.DUMMYFUNCTION("""COMPUTED_VALUE"""),105.0)</f>
        <v>105</v>
      </c>
      <c r="C176" s="188">
        <f>IFERROR(__xludf.DUMMYFUNCTION("""COMPUTED_VALUE"""),91.0)</f>
        <v>91</v>
      </c>
      <c r="D176" s="188">
        <f>IFERROR(__xludf.DUMMYFUNCTION("""COMPUTED_VALUE"""),30980.0)</f>
        <v>30980</v>
      </c>
      <c r="E176" s="188">
        <f>IFERROR(__xludf.DUMMYFUNCTION("""COMPUTED_VALUE"""),5787.0)</f>
        <v>5787</v>
      </c>
      <c r="F176" s="149">
        <f>IFERROR(__xludf.DUMMYFUNCTION("""COMPUTED_VALUE"""),463810.0)</f>
        <v>463810</v>
      </c>
      <c r="G176" s="149">
        <f>IFERROR(__xludf.DUMMYFUNCTION("""COMPUTED_VALUE"""),5892.0)</f>
        <v>5892</v>
      </c>
      <c r="H176" s="149">
        <f>IFERROR(__xludf.DUMMYFUNCTION("""COMPUTED_VALUE"""),494790.0)</f>
        <v>494790</v>
      </c>
      <c r="I176" s="188">
        <f>IFERROR(__xludf.DUMMYFUNCTION("""COMPUTED_VALUE"""),75.0)</f>
        <v>75</v>
      </c>
      <c r="J176" s="188">
        <f>IFERROR(__xludf.DUMMYFUNCTION("""COMPUTED_VALUE"""),72.0)</f>
        <v>72</v>
      </c>
      <c r="K176" s="188">
        <f>IFERROR(__xludf.DUMMYFUNCTION("""COMPUTED_VALUE"""),21625.0)</f>
        <v>21625</v>
      </c>
      <c r="L176" s="188">
        <f>IFERROR(__xludf.DUMMYFUNCTION("""COMPUTED_VALUE"""),3164.0)</f>
        <v>3164</v>
      </c>
      <c r="M176" s="188">
        <f>IFERROR(__xludf.DUMMYFUNCTION("""COMPUTED_VALUE"""),243329.0)</f>
        <v>243329</v>
      </c>
      <c r="N176" s="188">
        <f>IFERROR(__xludf.DUMMYFUNCTION("""COMPUTED_VALUE"""),264954.0)</f>
        <v>264954</v>
      </c>
      <c r="O176" s="188">
        <f>IFERROR(__xludf.DUMMYFUNCTION("""COMPUTED_VALUE"""),7.0)</f>
        <v>7</v>
      </c>
      <c r="P176" s="188">
        <f>IFERROR(__xludf.DUMMYFUNCTION("""COMPUTED_VALUE"""),2502.0)</f>
        <v>2502</v>
      </c>
      <c r="Q176" s="188">
        <f>IFERROR(__xludf.DUMMYFUNCTION("""COMPUTED_VALUE"""),10.0)</f>
        <v>10</v>
      </c>
      <c r="R176" s="188">
        <f>IFERROR(__xludf.DUMMYFUNCTION("""COMPUTED_VALUE"""),2080.0)</f>
        <v>2080</v>
      </c>
      <c r="S176" s="188">
        <f>IFERROR(__xludf.DUMMYFUNCTION("""COMPUTED_VALUE"""),1.0)</f>
        <v>1</v>
      </c>
      <c r="T176" s="188">
        <f>IFERROR(__xludf.DUMMYFUNCTION("""COMPUTED_VALUE"""),331.0)</f>
        <v>331</v>
      </c>
      <c r="U176" s="188">
        <f>IFERROR(__xludf.DUMMYFUNCTION("""COMPUTED_VALUE"""),91.0)</f>
        <v>91</v>
      </c>
      <c r="V176" s="188">
        <f>IFERROR(__xludf.DUMMYFUNCTION("""COMPUTED_VALUE"""),92.0)</f>
        <v>92</v>
      </c>
      <c r="W176" s="188">
        <f>IFERROR(__xludf.DUMMYFUNCTION("""COMPUTED_VALUE"""),13.0)</f>
        <v>13</v>
      </c>
      <c r="X176" s="188">
        <f>IFERROR(__xludf.DUMMYFUNCTION("""COMPUTED_VALUE"""),4.0)</f>
        <v>4</v>
      </c>
      <c r="Y176" s="188">
        <f>IFERROR(__xludf.DUMMYFUNCTION("""COMPUTED_VALUE"""),1.0)</f>
        <v>1</v>
      </c>
      <c r="Z176" s="188">
        <f>IFERROR(__xludf.DUMMYFUNCTION("""COMPUTED_VALUE"""),1056.0)</f>
        <v>1056</v>
      </c>
    </row>
    <row r="177">
      <c r="A177" s="187">
        <f>IFERROR(__xludf.DUMMYFUNCTION("""COMPUTED_VALUE"""),44068.0)</f>
        <v>44068</v>
      </c>
      <c r="B177" s="188">
        <f>IFERROR(__xludf.DUMMYFUNCTION("""COMPUTED_VALUE"""),111.0)</f>
        <v>111</v>
      </c>
      <c r="C177" s="188">
        <f>IFERROR(__xludf.DUMMYFUNCTION("""COMPUTED_VALUE"""),96.0)</f>
        <v>96</v>
      </c>
      <c r="D177" s="188">
        <f>IFERROR(__xludf.DUMMYFUNCTION("""COMPUTED_VALUE"""),31091.0)</f>
        <v>31091</v>
      </c>
      <c r="E177" s="188">
        <f>IFERROR(__xludf.DUMMYFUNCTION("""COMPUTED_VALUE"""),4828.0)</f>
        <v>4828</v>
      </c>
      <c r="F177" s="149">
        <f>IFERROR(__xludf.DUMMYFUNCTION("""COMPUTED_VALUE"""),468638.0)</f>
        <v>468638</v>
      </c>
      <c r="G177" s="149">
        <f>IFERROR(__xludf.DUMMYFUNCTION("""COMPUTED_VALUE"""),4939.0)</f>
        <v>4939</v>
      </c>
      <c r="H177" s="149">
        <f>IFERROR(__xludf.DUMMYFUNCTION("""COMPUTED_VALUE"""),499729.0)</f>
        <v>499729</v>
      </c>
      <c r="I177" s="188">
        <f>IFERROR(__xludf.DUMMYFUNCTION("""COMPUTED_VALUE"""),94.0)</f>
        <v>94</v>
      </c>
      <c r="J177" s="188">
        <f>IFERROR(__xludf.DUMMYFUNCTION("""COMPUTED_VALUE"""),75.0)</f>
        <v>75</v>
      </c>
      <c r="K177" s="188">
        <f>IFERROR(__xludf.DUMMYFUNCTION("""COMPUTED_VALUE"""),21719.0)</f>
        <v>21719</v>
      </c>
      <c r="L177" s="188">
        <f>IFERROR(__xludf.DUMMYFUNCTION("""COMPUTED_VALUE"""),2313.0)</f>
        <v>2313</v>
      </c>
      <c r="M177" s="188">
        <f>IFERROR(__xludf.DUMMYFUNCTION("""COMPUTED_VALUE"""),245642.0)</f>
        <v>245642</v>
      </c>
      <c r="N177" s="188">
        <f>IFERROR(__xludf.DUMMYFUNCTION("""COMPUTED_VALUE"""),267361.0)</f>
        <v>267361</v>
      </c>
      <c r="O177" s="188">
        <f>IFERROR(__xludf.DUMMYFUNCTION("""COMPUTED_VALUE"""),10.0)</f>
        <v>10</v>
      </c>
      <c r="P177" s="188">
        <f>IFERROR(__xludf.DUMMYFUNCTION("""COMPUTED_VALUE"""),2512.0)</f>
        <v>2512</v>
      </c>
      <c r="Q177" s="188">
        <f>IFERROR(__xludf.DUMMYFUNCTION("""COMPUTED_VALUE"""),4.0)</f>
        <v>4</v>
      </c>
      <c r="R177" s="188">
        <f>IFERROR(__xludf.DUMMYFUNCTION("""COMPUTED_VALUE"""),2084.0)</f>
        <v>2084</v>
      </c>
      <c r="S177" s="188">
        <f>IFERROR(__xludf.DUMMYFUNCTION("""COMPUTED_VALUE"""),1.0)</f>
        <v>1</v>
      </c>
      <c r="T177" s="188">
        <f>IFERROR(__xludf.DUMMYFUNCTION("""COMPUTED_VALUE"""),332.0)</f>
        <v>332</v>
      </c>
      <c r="U177" s="188">
        <f>IFERROR(__xludf.DUMMYFUNCTION("""COMPUTED_VALUE"""),96.0)</f>
        <v>96</v>
      </c>
      <c r="V177" s="188">
        <f>IFERROR(__xludf.DUMMYFUNCTION("""COMPUTED_VALUE"""),94.0)</f>
        <v>94</v>
      </c>
      <c r="W177" s="188">
        <f>IFERROR(__xludf.DUMMYFUNCTION("""COMPUTED_VALUE"""),11.0)</f>
        <v>11</v>
      </c>
      <c r="X177" s="188">
        <f>IFERROR(__xludf.DUMMYFUNCTION("""COMPUTED_VALUE"""),4.0)</f>
        <v>4</v>
      </c>
      <c r="Y177" s="188">
        <f>IFERROR(__xludf.DUMMYFUNCTION("""COMPUTED_VALUE"""),1.0)</f>
        <v>1</v>
      </c>
      <c r="Z177" s="188">
        <f>IFERROR(__xludf.DUMMYFUNCTION("""COMPUTED_VALUE"""),1057.0)</f>
        <v>1057</v>
      </c>
    </row>
    <row r="178">
      <c r="A178" s="187">
        <f>IFERROR(__xludf.DUMMYFUNCTION("""COMPUTED_VALUE"""),44069.0)</f>
        <v>44069</v>
      </c>
      <c r="B178" s="188">
        <f>IFERROR(__xludf.DUMMYFUNCTION("""COMPUTED_VALUE"""),171.0)</f>
        <v>171</v>
      </c>
      <c r="C178" s="188">
        <f>IFERROR(__xludf.DUMMYFUNCTION("""COMPUTED_VALUE"""),129.0)</f>
        <v>129</v>
      </c>
      <c r="D178" s="188">
        <f>IFERROR(__xludf.DUMMYFUNCTION("""COMPUTED_VALUE"""),31262.0)</f>
        <v>31262</v>
      </c>
      <c r="E178" s="188">
        <f>IFERROR(__xludf.DUMMYFUNCTION("""COMPUTED_VALUE"""),9634.0)</f>
        <v>9634</v>
      </c>
      <c r="F178" s="149">
        <f>IFERROR(__xludf.DUMMYFUNCTION("""COMPUTED_VALUE"""),478272.0)</f>
        <v>478272</v>
      </c>
      <c r="G178" s="149">
        <f>IFERROR(__xludf.DUMMYFUNCTION("""COMPUTED_VALUE"""),9805.0)</f>
        <v>9805</v>
      </c>
      <c r="H178" s="149">
        <f>IFERROR(__xludf.DUMMYFUNCTION("""COMPUTED_VALUE"""),509534.0)</f>
        <v>509534</v>
      </c>
      <c r="I178" s="188">
        <f>IFERROR(__xludf.DUMMYFUNCTION("""COMPUTED_VALUE"""),128.0)</f>
        <v>128</v>
      </c>
      <c r="J178" s="188">
        <f>IFERROR(__xludf.DUMMYFUNCTION("""COMPUTED_VALUE"""),99.0)</f>
        <v>99</v>
      </c>
      <c r="K178" s="188">
        <f>IFERROR(__xludf.DUMMYFUNCTION("""COMPUTED_VALUE"""),21847.0)</f>
        <v>21847</v>
      </c>
      <c r="L178" s="188">
        <f>IFERROR(__xludf.DUMMYFUNCTION("""COMPUTED_VALUE"""),3095.0)</f>
        <v>3095</v>
      </c>
      <c r="M178" s="188">
        <f>IFERROR(__xludf.DUMMYFUNCTION("""COMPUTED_VALUE"""),248737.0)</f>
        <v>248737</v>
      </c>
      <c r="N178" s="188">
        <f>IFERROR(__xludf.DUMMYFUNCTION("""COMPUTED_VALUE"""),270584.0)</f>
        <v>270584</v>
      </c>
      <c r="O178" s="188">
        <f>IFERROR(__xludf.DUMMYFUNCTION("""COMPUTED_VALUE"""),4.0)</f>
        <v>4</v>
      </c>
      <c r="P178" s="188">
        <f>IFERROR(__xludf.DUMMYFUNCTION("""COMPUTED_VALUE"""),2516.0)</f>
        <v>2516</v>
      </c>
      <c r="Q178" s="188">
        <f>IFERROR(__xludf.DUMMYFUNCTION("""COMPUTED_VALUE"""),8.0)</f>
        <v>8</v>
      </c>
      <c r="R178" s="188">
        <f>IFERROR(__xludf.DUMMYFUNCTION("""COMPUTED_VALUE"""),2092.0)</f>
        <v>2092</v>
      </c>
      <c r="S178" s="188">
        <f>IFERROR(__xludf.DUMMYFUNCTION("""COMPUTED_VALUE"""),0.0)</f>
        <v>0</v>
      </c>
      <c r="T178" s="188">
        <f>IFERROR(__xludf.DUMMYFUNCTION("""COMPUTED_VALUE"""),332.0)</f>
        <v>332</v>
      </c>
      <c r="U178" s="188">
        <f>IFERROR(__xludf.DUMMYFUNCTION("""COMPUTED_VALUE"""),92.0)</f>
        <v>92</v>
      </c>
      <c r="V178" s="188">
        <f>IFERROR(__xludf.DUMMYFUNCTION("""COMPUTED_VALUE"""),93.0)</f>
        <v>93</v>
      </c>
      <c r="W178" s="188">
        <f>IFERROR(__xludf.DUMMYFUNCTION("""COMPUTED_VALUE"""),9.0)</f>
        <v>9</v>
      </c>
      <c r="X178" s="188">
        <f>IFERROR(__xludf.DUMMYFUNCTION("""COMPUTED_VALUE"""),5.0)</f>
        <v>5</v>
      </c>
      <c r="Y178" s="188">
        <f>IFERROR(__xludf.DUMMYFUNCTION("""COMPUTED_VALUE"""),1.0)</f>
        <v>1</v>
      </c>
      <c r="Z178" s="188">
        <f>IFERROR(__xludf.DUMMYFUNCTION("""COMPUTED_VALUE"""),1058.0)</f>
        <v>1058</v>
      </c>
    </row>
    <row r="179">
      <c r="A179" s="187">
        <f>IFERROR(__xludf.DUMMYFUNCTION("""COMPUTED_VALUE"""),44070.0)</f>
        <v>44070</v>
      </c>
      <c r="B179" s="188">
        <f>IFERROR(__xludf.DUMMYFUNCTION("""COMPUTED_VALUE"""),94.0)</f>
        <v>94</v>
      </c>
      <c r="C179" s="188">
        <f>IFERROR(__xludf.DUMMYFUNCTION("""COMPUTED_VALUE"""),125.0)</f>
        <v>125</v>
      </c>
      <c r="D179" s="188">
        <f>IFERROR(__xludf.DUMMYFUNCTION("""COMPUTED_VALUE"""),31356.0)</f>
        <v>31356</v>
      </c>
      <c r="E179" s="188">
        <f>IFERROR(__xludf.DUMMYFUNCTION("""COMPUTED_VALUE"""),8924.0)</f>
        <v>8924</v>
      </c>
      <c r="F179" s="149">
        <f>IFERROR(__xludf.DUMMYFUNCTION("""COMPUTED_VALUE"""),487196.0)</f>
        <v>487196</v>
      </c>
      <c r="G179" s="149">
        <f>IFERROR(__xludf.DUMMYFUNCTION("""COMPUTED_VALUE"""),9018.0)</f>
        <v>9018</v>
      </c>
      <c r="H179" s="149">
        <f>IFERROR(__xludf.DUMMYFUNCTION("""COMPUTED_VALUE"""),518552.0)</f>
        <v>518552</v>
      </c>
      <c r="I179" s="188">
        <f>IFERROR(__xludf.DUMMYFUNCTION("""COMPUTED_VALUE"""),71.0)</f>
        <v>71</v>
      </c>
      <c r="J179" s="188">
        <f>IFERROR(__xludf.DUMMYFUNCTION("""COMPUTED_VALUE"""),98.0)</f>
        <v>98</v>
      </c>
      <c r="K179" s="188">
        <f>IFERROR(__xludf.DUMMYFUNCTION("""COMPUTED_VALUE"""),21918.0)</f>
        <v>21918</v>
      </c>
      <c r="L179" s="188">
        <f>IFERROR(__xludf.DUMMYFUNCTION("""COMPUTED_VALUE"""),3274.0)</f>
        <v>3274</v>
      </c>
      <c r="M179" s="188">
        <f>IFERROR(__xludf.DUMMYFUNCTION("""COMPUTED_VALUE"""),252011.0)</f>
        <v>252011</v>
      </c>
      <c r="N179" s="188">
        <f>IFERROR(__xludf.DUMMYFUNCTION("""COMPUTED_VALUE"""),273929.0)</f>
        <v>273929</v>
      </c>
      <c r="O179" s="188">
        <f>IFERROR(__xludf.DUMMYFUNCTION("""COMPUTED_VALUE"""),6.0)</f>
        <v>6</v>
      </c>
      <c r="P179" s="188">
        <f>IFERROR(__xludf.DUMMYFUNCTION("""COMPUTED_VALUE"""),2522.0)</f>
        <v>2522</v>
      </c>
      <c r="Q179" s="188">
        <f>IFERROR(__xludf.DUMMYFUNCTION("""COMPUTED_VALUE"""),14.0)</f>
        <v>14</v>
      </c>
      <c r="R179" s="188">
        <f>IFERROR(__xludf.DUMMYFUNCTION("""COMPUTED_VALUE"""),2106.0)</f>
        <v>2106</v>
      </c>
      <c r="S179" s="188">
        <f>IFERROR(__xludf.DUMMYFUNCTION("""COMPUTED_VALUE"""),1.0)</f>
        <v>1</v>
      </c>
      <c r="T179" s="188">
        <f>IFERROR(__xludf.DUMMYFUNCTION("""COMPUTED_VALUE"""),333.0)</f>
        <v>333</v>
      </c>
      <c r="U179" s="188">
        <f>IFERROR(__xludf.DUMMYFUNCTION("""COMPUTED_VALUE"""),83.0)</f>
        <v>83</v>
      </c>
      <c r="V179" s="188">
        <f>IFERROR(__xludf.DUMMYFUNCTION("""COMPUTED_VALUE"""),90.0)</f>
        <v>90</v>
      </c>
      <c r="W179" s="188">
        <f>IFERROR(__xludf.DUMMYFUNCTION("""COMPUTED_VALUE"""),6.0)</f>
        <v>6</v>
      </c>
      <c r="X179" s="188">
        <f>IFERROR(__xludf.DUMMYFUNCTION("""COMPUTED_VALUE"""),5.0)</f>
        <v>5</v>
      </c>
      <c r="Y179" s="188">
        <f>IFERROR(__xludf.DUMMYFUNCTION("""COMPUTED_VALUE"""),2.0)</f>
        <v>2</v>
      </c>
      <c r="Z179" s="188">
        <f>IFERROR(__xludf.DUMMYFUNCTION("""COMPUTED_VALUE"""),1060.0)</f>
        <v>1060</v>
      </c>
    </row>
    <row r="180">
      <c r="A180" s="187">
        <f>IFERROR(__xludf.DUMMYFUNCTION("""COMPUTED_VALUE"""),44071.0)</f>
        <v>44071</v>
      </c>
      <c r="B180" s="188">
        <f>IFERROR(__xludf.DUMMYFUNCTION("""COMPUTED_VALUE"""),113.0)</f>
        <v>113</v>
      </c>
      <c r="C180" s="188">
        <f>IFERROR(__xludf.DUMMYFUNCTION("""COMPUTED_VALUE"""),126.0)</f>
        <v>126</v>
      </c>
      <c r="D180" s="188">
        <f>IFERROR(__xludf.DUMMYFUNCTION("""COMPUTED_VALUE"""),31469.0)</f>
        <v>31469</v>
      </c>
      <c r="E180" s="188">
        <f>IFERROR(__xludf.DUMMYFUNCTION("""COMPUTED_VALUE"""),8132.0)</f>
        <v>8132</v>
      </c>
      <c r="F180" s="149">
        <f>IFERROR(__xludf.DUMMYFUNCTION("""COMPUTED_VALUE"""),495328.0)</f>
        <v>495328</v>
      </c>
      <c r="G180" s="149">
        <f>IFERROR(__xludf.DUMMYFUNCTION("""COMPUTED_VALUE"""),8245.0)</f>
        <v>8245</v>
      </c>
      <c r="H180" s="149">
        <f>IFERROR(__xludf.DUMMYFUNCTION("""COMPUTED_VALUE"""),526797.0)</f>
        <v>526797</v>
      </c>
      <c r="I180" s="188">
        <f>IFERROR(__xludf.DUMMYFUNCTION("""COMPUTED_VALUE"""),88.0)</f>
        <v>88</v>
      </c>
      <c r="J180" s="188">
        <f>IFERROR(__xludf.DUMMYFUNCTION("""COMPUTED_VALUE"""),96.0)</f>
        <v>96</v>
      </c>
      <c r="K180" s="188">
        <f>IFERROR(__xludf.DUMMYFUNCTION("""COMPUTED_VALUE"""),22006.0)</f>
        <v>22006</v>
      </c>
      <c r="L180" s="188">
        <f>IFERROR(__xludf.DUMMYFUNCTION("""COMPUTED_VALUE"""),2456.0)</f>
        <v>2456</v>
      </c>
      <c r="M180" s="188">
        <f>IFERROR(__xludf.DUMMYFUNCTION("""COMPUTED_VALUE"""),254467.0)</f>
        <v>254467</v>
      </c>
      <c r="N180" s="188">
        <f>IFERROR(__xludf.DUMMYFUNCTION("""COMPUTED_VALUE"""),276473.0)</f>
        <v>276473</v>
      </c>
      <c r="O180" s="188">
        <f>IFERROR(__xludf.DUMMYFUNCTION("""COMPUTED_VALUE"""),14.0)</f>
        <v>14</v>
      </c>
      <c r="P180" s="188">
        <f>IFERROR(__xludf.DUMMYFUNCTION("""COMPUTED_VALUE"""),2536.0)</f>
        <v>2536</v>
      </c>
      <c r="Q180" s="188">
        <f>IFERROR(__xludf.DUMMYFUNCTION("""COMPUTED_VALUE"""),4.0)</f>
        <v>4</v>
      </c>
      <c r="R180" s="188">
        <f>IFERROR(__xludf.DUMMYFUNCTION("""COMPUTED_VALUE"""),2110.0)</f>
        <v>2110</v>
      </c>
      <c r="S180" s="188">
        <f>IFERROR(__xludf.DUMMYFUNCTION("""COMPUTED_VALUE"""),0.0)</f>
        <v>0</v>
      </c>
      <c r="T180" s="188">
        <f>IFERROR(__xludf.DUMMYFUNCTION("""COMPUTED_VALUE"""),333.0)</f>
        <v>333</v>
      </c>
      <c r="U180" s="188">
        <f>IFERROR(__xludf.DUMMYFUNCTION("""COMPUTED_VALUE"""),93.0)</f>
        <v>93</v>
      </c>
      <c r="V180" s="188">
        <f>IFERROR(__xludf.DUMMYFUNCTION("""COMPUTED_VALUE"""),89.0)</f>
        <v>89</v>
      </c>
      <c r="W180" s="188">
        <f>IFERROR(__xludf.DUMMYFUNCTION("""COMPUTED_VALUE"""),9.0)</f>
        <v>9</v>
      </c>
      <c r="X180" s="188">
        <f>IFERROR(__xludf.DUMMYFUNCTION("""COMPUTED_VALUE"""),7.0)</f>
        <v>7</v>
      </c>
      <c r="Y180" s="188">
        <f>IFERROR(__xludf.DUMMYFUNCTION("""COMPUTED_VALUE"""),2.0)</f>
        <v>2</v>
      </c>
      <c r="Z180" s="188">
        <f>IFERROR(__xludf.DUMMYFUNCTION("""COMPUTED_VALUE"""),1062.0)</f>
        <v>1062</v>
      </c>
    </row>
    <row r="181">
      <c r="A181" s="187">
        <f>IFERROR(__xludf.DUMMYFUNCTION("""COMPUTED_VALUE"""),44072.0)</f>
        <v>44072</v>
      </c>
      <c r="B181" s="188">
        <f>IFERROR(__xludf.DUMMYFUNCTION("""COMPUTED_VALUE"""),65.0)</f>
        <v>65</v>
      </c>
      <c r="C181" s="188">
        <f>IFERROR(__xludf.DUMMYFUNCTION("""COMPUTED_VALUE"""),91.0)</f>
        <v>91</v>
      </c>
      <c r="D181" s="188">
        <f>IFERROR(__xludf.DUMMYFUNCTION("""COMPUTED_VALUE"""),31534.0)</f>
        <v>31534</v>
      </c>
      <c r="E181" s="188">
        <f>IFERROR(__xludf.DUMMYFUNCTION("""COMPUTED_VALUE"""),5553.0)</f>
        <v>5553</v>
      </c>
      <c r="F181" s="149">
        <f>IFERROR(__xludf.DUMMYFUNCTION("""COMPUTED_VALUE"""),500881.0)</f>
        <v>500881</v>
      </c>
      <c r="G181" s="149">
        <f>IFERROR(__xludf.DUMMYFUNCTION("""COMPUTED_VALUE"""),5618.0)</f>
        <v>5618</v>
      </c>
      <c r="H181" s="149">
        <f>IFERROR(__xludf.DUMMYFUNCTION("""COMPUTED_VALUE"""),532415.0)</f>
        <v>532415</v>
      </c>
      <c r="I181" s="188">
        <f>IFERROR(__xludf.DUMMYFUNCTION("""COMPUTED_VALUE"""),53.0)</f>
        <v>53</v>
      </c>
      <c r="J181" s="188">
        <f>IFERROR(__xludf.DUMMYFUNCTION("""COMPUTED_VALUE"""),71.0)</f>
        <v>71</v>
      </c>
      <c r="K181" s="188">
        <f>IFERROR(__xludf.DUMMYFUNCTION("""COMPUTED_VALUE"""),22059.0)</f>
        <v>22059</v>
      </c>
      <c r="L181" s="188">
        <f>IFERROR(__xludf.DUMMYFUNCTION("""COMPUTED_VALUE"""),1925.0)</f>
        <v>1925</v>
      </c>
      <c r="M181" s="188">
        <f>IFERROR(__xludf.DUMMYFUNCTION("""COMPUTED_VALUE"""),256392.0)</f>
        <v>256392</v>
      </c>
      <c r="N181" s="188">
        <f>IFERROR(__xludf.DUMMYFUNCTION("""COMPUTED_VALUE"""),278451.0)</f>
        <v>278451</v>
      </c>
      <c r="O181" s="188">
        <f>IFERROR(__xludf.DUMMYFUNCTION("""COMPUTED_VALUE"""),6.0)</f>
        <v>6</v>
      </c>
      <c r="P181" s="188">
        <f>IFERROR(__xludf.DUMMYFUNCTION("""COMPUTED_VALUE"""),2542.0)</f>
        <v>2542</v>
      </c>
      <c r="Q181" s="188">
        <f>IFERROR(__xludf.DUMMYFUNCTION("""COMPUTED_VALUE"""),8.0)</f>
        <v>8</v>
      </c>
      <c r="R181" s="188">
        <f>IFERROR(__xludf.DUMMYFUNCTION("""COMPUTED_VALUE"""),2118.0)</f>
        <v>2118</v>
      </c>
      <c r="S181" s="188">
        <f>IFERROR(__xludf.DUMMYFUNCTION("""COMPUTED_VALUE"""),1.0)</f>
        <v>1</v>
      </c>
      <c r="T181" s="188">
        <f>IFERROR(__xludf.DUMMYFUNCTION("""COMPUTED_VALUE"""),334.0)</f>
        <v>334</v>
      </c>
      <c r="U181" s="188">
        <f>IFERROR(__xludf.DUMMYFUNCTION("""COMPUTED_VALUE"""),90.0)</f>
        <v>90</v>
      </c>
      <c r="V181" s="188">
        <f>IFERROR(__xludf.DUMMYFUNCTION("""COMPUTED_VALUE"""),89.0)</f>
        <v>89</v>
      </c>
      <c r="W181" s="188">
        <f>IFERROR(__xludf.DUMMYFUNCTION("""COMPUTED_VALUE"""),10.0)</f>
        <v>10</v>
      </c>
      <c r="X181" s="188">
        <f>IFERROR(__xludf.DUMMYFUNCTION("""COMPUTED_VALUE"""),6.0)</f>
        <v>6</v>
      </c>
      <c r="Y181" s="188">
        <f>IFERROR(__xludf.DUMMYFUNCTION("""COMPUTED_VALUE"""),1.0)</f>
        <v>1</v>
      </c>
      <c r="Z181" s="188">
        <f>IFERROR(__xludf.DUMMYFUNCTION("""COMPUTED_VALUE"""),1063.0)</f>
        <v>1063</v>
      </c>
    </row>
    <row r="182">
      <c r="A182" s="187">
        <f>IFERROR(__xludf.DUMMYFUNCTION("""COMPUTED_VALUE"""),44073.0)</f>
        <v>44073</v>
      </c>
      <c r="B182" s="188">
        <f>IFERROR(__xludf.DUMMYFUNCTION("""COMPUTED_VALUE"""),68.0)</f>
        <v>68</v>
      </c>
      <c r="C182" s="188">
        <f>IFERROR(__xludf.DUMMYFUNCTION("""COMPUTED_VALUE"""),82.0)</f>
        <v>82</v>
      </c>
      <c r="D182" s="188">
        <f>IFERROR(__xludf.DUMMYFUNCTION("""COMPUTED_VALUE"""),31602.0)</f>
        <v>31602</v>
      </c>
      <c r="E182" s="188">
        <f>IFERROR(__xludf.DUMMYFUNCTION("""COMPUTED_VALUE"""),4339.0)</f>
        <v>4339</v>
      </c>
      <c r="F182" s="149">
        <f>IFERROR(__xludf.DUMMYFUNCTION("""COMPUTED_VALUE"""),505220.0)</f>
        <v>505220</v>
      </c>
      <c r="G182" s="149">
        <f>IFERROR(__xludf.DUMMYFUNCTION("""COMPUTED_VALUE"""),4407.0)</f>
        <v>4407</v>
      </c>
      <c r="H182" s="149">
        <f>IFERROR(__xludf.DUMMYFUNCTION("""COMPUTED_VALUE"""),536822.0)</f>
        <v>536822</v>
      </c>
      <c r="I182" s="188">
        <f>IFERROR(__xludf.DUMMYFUNCTION("""COMPUTED_VALUE"""),48.0)</f>
        <v>48</v>
      </c>
      <c r="J182" s="188">
        <f>IFERROR(__xludf.DUMMYFUNCTION("""COMPUTED_VALUE"""),63.0)</f>
        <v>63</v>
      </c>
      <c r="K182" s="188">
        <f>IFERROR(__xludf.DUMMYFUNCTION("""COMPUTED_VALUE"""),22107.0)</f>
        <v>22107</v>
      </c>
      <c r="L182" s="188">
        <f>IFERROR(__xludf.DUMMYFUNCTION("""COMPUTED_VALUE"""),2000.0)</f>
        <v>2000</v>
      </c>
      <c r="M182" s="188">
        <f>IFERROR(__xludf.DUMMYFUNCTION("""COMPUTED_VALUE"""),258392.0)</f>
        <v>258392</v>
      </c>
      <c r="N182" s="188">
        <f>IFERROR(__xludf.DUMMYFUNCTION("""COMPUTED_VALUE"""),280499.0)</f>
        <v>280499</v>
      </c>
      <c r="O182" s="188">
        <f>IFERROR(__xludf.DUMMYFUNCTION("""COMPUTED_VALUE"""),7.0)</f>
        <v>7</v>
      </c>
      <c r="P182" s="188">
        <f>IFERROR(__xludf.DUMMYFUNCTION("""COMPUTED_VALUE"""),2549.0)</f>
        <v>2549</v>
      </c>
      <c r="Q182" s="188">
        <f>IFERROR(__xludf.DUMMYFUNCTION("""COMPUTED_VALUE"""),4.0)</f>
        <v>4</v>
      </c>
      <c r="R182" s="188">
        <f>IFERROR(__xludf.DUMMYFUNCTION("""COMPUTED_VALUE"""),2122.0)</f>
        <v>2122</v>
      </c>
      <c r="S182" s="188">
        <f>IFERROR(__xludf.DUMMYFUNCTION("""COMPUTED_VALUE"""),0.0)</f>
        <v>0</v>
      </c>
      <c r="T182" s="188">
        <f>IFERROR(__xludf.DUMMYFUNCTION("""COMPUTED_VALUE"""),334.0)</f>
        <v>334</v>
      </c>
      <c r="U182" s="188">
        <f>IFERROR(__xludf.DUMMYFUNCTION("""COMPUTED_VALUE"""),93.0)</f>
        <v>93</v>
      </c>
      <c r="V182" s="188">
        <f>IFERROR(__xludf.DUMMYFUNCTION("""COMPUTED_VALUE"""),92.0)</f>
        <v>92</v>
      </c>
      <c r="W182" s="188">
        <f>IFERROR(__xludf.DUMMYFUNCTION("""COMPUTED_VALUE"""),8.0)</f>
        <v>8</v>
      </c>
      <c r="X182" s="188">
        <f>IFERROR(__xludf.DUMMYFUNCTION("""COMPUTED_VALUE"""),5.0)</f>
        <v>5</v>
      </c>
      <c r="Y182" s="188">
        <f>IFERROR(__xludf.DUMMYFUNCTION("""COMPUTED_VALUE"""),1.0)</f>
        <v>1</v>
      </c>
      <c r="Z182" s="188">
        <f>IFERROR(__xludf.DUMMYFUNCTION("""COMPUTED_VALUE"""),1064.0)</f>
        <v>1064</v>
      </c>
    </row>
    <row r="183">
      <c r="A183" s="187">
        <f>IFERROR(__xludf.DUMMYFUNCTION("""COMPUTED_VALUE"""),44074.0)</f>
        <v>44074</v>
      </c>
      <c r="B183" s="188">
        <f>IFERROR(__xludf.DUMMYFUNCTION("""COMPUTED_VALUE"""),107.0)</f>
        <v>107</v>
      </c>
      <c r="C183" s="188">
        <f>IFERROR(__xludf.DUMMYFUNCTION("""COMPUTED_VALUE"""),80.0)</f>
        <v>80</v>
      </c>
      <c r="D183" s="188">
        <f>IFERROR(__xludf.DUMMYFUNCTION("""COMPUTED_VALUE"""),31709.0)</f>
        <v>31709</v>
      </c>
      <c r="E183" s="188">
        <f>IFERROR(__xludf.DUMMYFUNCTION("""COMPUTED_VALUE"""),4883.0)</f>
        <v>4883</v>
      </c>
      <c r="F183" s="149">
        <f>IFERROR(__xludf.DUMMYFUNCTION("""COMPUTED_VALUE"""),510103.0)</f>
        <v>510103</v>
      </c>
      <c r="G183" s="149">
        <f>IFERROR(__xludf.DUMMYFUNCTION("""COMPUTED_VALUE"""),4990.0)</f>
        <v>4990</v>
      </c>
      <c r="H183" s="149">
        <f>IFERROR(__xludf.DUMMYFUNCTION("""COMPUTED_VALUE"""),541812.0)</f>
        <v>541812</v>
      </c>
      <c r="I183" s="188">
        <f>IFERROR(__xludf.DUMMYFUNCTION("""COMPUTED_VALUE"""),82.0)</f>
        <v>82</v>
      </c>
      <c r="J183" s="188">
        <f>IFERROR(__xludf.DUMMYFUNCTION("""COMPUTED_VALUE"""),61.0)</f>
        <v>61</v>
      </c>
      <c r="K183" s="188">
        <f>IFERROR(__xludf.DUMMYFUNCTION("""COMPUTED_VALUE"""),22189.0)</f>
        <v>22189</v>
      </c>
      <c r="L183" s="188">
        <f>IFERROR(__xludf.DUMMYFUNCTION("""COMPUTED_VALUE"""),2194.0)</f>
        <v>2194</v>
      </c>
      <c r="M183" s="188">
        <f>IFERROR(__xludf.DUMMYFUNCTION("""COMPUTED_VALUE"""),260586.0)</f>
        <v>260586</v>
      </c>
      <c r="N183" s="188">
        <f>IFERROR(__xludf.DUMMYFUNCTION("""COMPUTED_VALUE"""),282775.0)</f>
        <v>282775</v>
      </c>
      <c r="O183" s="188">
        <f>IFERROR(__xludf.DUMMYFUNCTION("""COMPUTED_VALUE"""),10.0)</f>
        <v>10</v>
      </c>
      <c r="P183" s="188">
        <f>IFERROR(__xludf.DUMMYFUNCTION("""COMPUTED_VALUE"""),2559.0)</f>
        <v>2559</v>
      </c>
      <c r="Q183" s="188">
        <f>IFERROR(__xludf.DUMMYFUNCTION("""COMPUTED_VALUE"""),15.0)</f>
        <v>15</v>
      </c>
      <c r="R183" s="188">
        <f>IFERROR(__xludf.DUMMYFUNCTION("""COMPUTED_VALUE"""),2137.0)</f>
        <v>2137</v>
      </c>
      <c r="S183" s="188">
        <f>IFERROR(__xludf.DUMMYFUNCTION("""COMPUTED_VALUE"""),0.0)</f>
        <v>0</v>
      </c>
      <c r="T183" s="188">
        <f>IFERROR(__xludf.DUMMYFUNCTION("""COMPUTED_VALUE"""),334.0)</f>
        <v>334</v>
      </c>
      <c r="U183" s="188">
        <f>IFERROR(__xludf.DUMMYFUNCTION("""COMPUTED_VALUE"""),88.0)</f>
        <v>88</v>
      </c>
      <c r="V183" s="188">
        <f>IFERROR(__xludf.DUMMYFUNCTION("""COMPUTED_VALUE"""),90.0)</f>
        <v>90</v>
      </c>
      <c r="W183" s="188">
        <f>IFERROR(__xludf.DUMMYFUNCTION("""COMPUTED_VALUE"""),8.0)</f>
        <v>8</v>
      </c>
      <c r="X183" s="188">
        <f>IFERROR(__xludf.DUMMYFUNCTION("""COMPUTED_VALUE"""),4.0)</f>
        <v>4</v>
      </c>
      <c r="Y183" s="188">
        <f>IFERROR(__xludf.DUMMYFUNCTION("""COMPUTED_VALUE"""),0.0)</f>
        <v>0</v>
      </c>
      <c r="Z183" s="188">
        <f>IFERROR(__xludf.DUMMYFUNCTION("""COMPUTED_VALUE"""),1064.0)</f>
        <v>1064</v>
      </c>
    </row>
    <row r="184">
      <c r="A184" s="187">
        <f>IFERROR(__xludf.DUMMYFUNCTION("""COMPUTED_VALUE"""),44075.0)</f>
        <v>44075</v>
      </c>
      <c r="B184" s="188">
        <f>IFERROR(__xludf.DUMMYFUNCTION("""COMPUTED_VALUE"""),99.0)</f>
        <v>99</v>
      </c>
      <c r="C184" s="188">
        <f>IFERROR(__xludf.DUMMYFUNCTION("""COMPUTED_VALUE"""),91.0)</f>
        <v>91</v>
      </c>
      <c r="D184" s="188">
        <f>IFERROR(__xludf.DUMMYFUNCTION("""COMPUTED_VALUE"""),31808.0)</f>
        <v>31808</v>
      </c>
      <c r="E184" s="188">
        <f>IFERROR(__xludf.DUMMYFUNCTION("""COMPUTED_VALUE"""),7333.0)</f>
        <v>7333</v>
      </c>
      <c r="F184" s="149">
        <f>IFERROR(__xludf.DUMMYFUNCTION("""COMPUTED_VALUE"""),517436.0)</f>
        <v>517436</v>
      </c>
      <c r="G184" s="149">
        <f>IFERROR(__xludf.DUMMYFUNCTION("""COMPUTED_VALUE"""),7432.0)</f>
        <v>7432</v>
      </c>
      <c r="H184" s="149">
        <f>IFERROR(__xludf.DUMMYFUNCTION("""COMPUTED_VALUE"""),549244.0)</f>
        <v>549244</v>
      </c>
      <c r="I184" s="188">
        <f>IFERROR(__xludf.DUMMYFUNCTION("""COMPUTED_VALUE"""),67.0)</f>
        <v>67</v>
      </c>
      <c r="J184" s="188">
        <f>IFERROR(__xludf.DUMMYFUNCTION("""COMPUTED_VALUE"""),66.0)</f>
        <v>66</v>
      </c>
      <c r="K184" s="188">
        <f>IFERROR(__xludf.DUMMYFUNCTION("""COMPUTED_VALUE"""),22256.0)</f>
        <v>22256</v>
      </c>
      <c r="L184" s="188">
        <f>IFERROR(__xludf.DUMMYFUNCTION("""COMPUTED_VALUE"""),2385.0)</f>
        <v>2385</v>
      </c>
      <c r="M184" s="188">
        <f>IFERROR(__xludf.DUMMYFUNCTION("""COMPUTED_VALUE"""),262971.0)</f>
        <v>262971</v>
      </c>
      <c r="N184" s="188">
        <f>IFERROR(__xludf.DUMMYFUNCTION("""COMPUTED_VALUE"""),285227.0)</f>
        <v>285227</v>
      </c>
      <c r="O184" s="188">
        <f>IFERROR(__xludf.DUMMYFUNCTION("""COMPUTED_VALUE"""),6.0)</f>
        <v>6</v>
      </c>
      <c r="P184" s="188">
        <f>IFERROR(__xludf.DUMMYFUNCTION("""COMPUTED_VALUE"""),2565.0)</f>
        <v>2565</v>
      </c>
      <c r="Q184" s="188">
        <f>IFERROR(__xludf.DUMMYFUNCTION("""COMPUTED_VALUE"""),9.0)</f>
        <v>9</v>
      </c>
      <c r="R184" s="188">
        <f>IFERROR(__xludf.DUMMYFUNCTION("""COMPUTED_VALUE"""),2146.0)</f>
        <v>2146</v>
      </c>
      <c r="S184" s="188">
        <f>IFERROR(__xludf.DUMMYFUNCTION("""COMPUTED_VALUE"""),1.0)</f>
        <v>1</v>
      </c>
      <c r="T184" s="188">
        <f>IFERROR(__xludf.DUMMYFUNCTION("""COMPUTED_VALUE"""),335.0)</f>
        <v>335</v>
      </c>
      <c r="U184" s="188">
        <f>IFERROR(__xludf.DUMMYFUNCTION("""COMPUTED_VALUE"""),84.0)</f>
        <v>84</v>
      </c>
      <c r="V184" s="188">
        <f>IFERROR(__xludf.DUMMYFUNCTION("""COMPUTED_VALUE"""),88.0)</f>
        <v>88</v>
      </c>
      <c r="W184" s="188">
        <f>IFERROR(__xludf.DUMMYFUNCTION("""COMPUTED_VALUE"""),7.0)</f>
        <v>7</v>
      </c>
      <c r="X184" s="188">
        <f>IFERROR(__xludf.DUMMYFUNCTION("""COMPUTED_VALUE"""),4.0)</f>
        <v>4</v>
      </c>
      <c r="Y184" s="188">
        <f>IFERROR(__xludf.DUMMYFUNCTION("""COMPUTED_VALUE"""),1.0)</f>
        <v>1</v>
      </c>
      <c r="Z184" s="188">
        <f>IFERROR(__xludf.DUMMYFUNCTION("""COMPUTED_VALUE"""),1065.0)</f>
        <v>1065</v>
      </c>
    </row>
    <row r="185">
      <c r="A185" s="187">
        <f>IFERROR(__xludf.DUMMYFUNCTION("""COMPUTED_VALUE"""),44076.0)</f>
        <v>44076</v>
      </c>
      <c r="B185" s="188">
        <f>IFERROR(__xludf.DUMMYFUNCTION("""COMPUTED_VALUE"""),124.0)</f>
        <v>124</v>
      </c>
      <c r="C185" s="188">
        <f>IFERROR(__xludf.DUMMYFUNCTION("""COMPUTED_VALUE"""),110.0)</f>
        <v>110</v>
      </c>
      <c r="D185" s="188">
        <f>IFERROR(__xludf.DUMMYFUNCTION("""COMPUTED_VALUE"""),31932.0)</f>
        <v>31932</v>
      </c>
      <c r="E185" s="188">
        <f>IFERROR(__xludf.DUMMYFUNCTION("""COMPUTED_VALUE"""),10845.0)</f>
        <v>10845</v>
      </c>
      <c r="F185" s="149">
        <f>IFERROR(__xludf.DUMMYFUNCTION("""COMPUTED_VALUE"""),528281.0)</f>
        <v>528281</v>
      </c>
      <c r="G185" s="149">
        <f>IFERROR(__xludf.DUMMYFUNCTION("""COMPUTED_VALUE"""),10969.0)</f>
        <v>10969</v>
      </c>
      <c r="H185" s="149">
        <f>IFERROR(__xludf.DUMMYFUNCTION("""COMPUTED_VALUE"""),560213.0)</f>
        <v>560213</v>
      </c>
      <c r="I185" s="188">
        <f>IFERROR(__xludf.DUMMYFUNCTION("""COMPUTED_VALUE"""),102.0)</f>
        <v>102</v>
      </c>
      <c r="J185" s="188">
        <f>IFERROR(__xludf.DUMMYFUNCTION("""COMPUTED_VALUE"""),84.0)</f>
        <v>84</v>
      </c>
      <c r="K185" s="188">
        <f>IFERROR(__xludf.DUMMYFUNCTION("""COMPUTED_VALUE"""),22358.0)</f>
        <v>22358</v>
      </c>
      <c r="L185" s="188">
        <f>IFERROR(__xludf.DUMMYFUNCTION("""COMPUTED_VALUE"""),2969.0)</f>
        <v>2969</v>
      </c>
      <c r="M185" s="188">
        <f>IFERROR(__xludf.DUMMYFUNCTION("""COMPUTED_VALUE"""),265940.0)</f>
        <v>265940</v>
      </c>
      <c r="N185" s="188">
        <f>IFERROR(__xludf.DUMMYFUNCTION("""COMPUTED_VALUE"""),288298.0)</f>
        <v>288298</v>
      </c>
      <c r="O185" s="188">
        <f>IFERROR(__xludf.DUMMYFUNCTION("""COMPUTED_VALUE"""),9.0)</f>
        <v>9</v>
      </c>
      <c r="P185" s="188">
        <f>IFERROR(__xludf.DUMMYFUNCTION("""COMPUTED_VALUE"""),2574.0)</f>
        <v>2574</v>
      </c>
      <c r="Q185" s="188">
        <f>IFERROR(__xludf.DUMMYFUNCTION("""COMPUTED_VALUE"""),10.0)</f>
        <v>10</v>
      </c>
      <c r="R185" s="188">
        <f>IFERROR(__xludf.DUMMYFUNCTION("""COMPUTED_VALUE"""),2156.0)</f>
        <v>2156</v>
      </c>
      <c r="S185" s="188">
        <f>IFERROR(__xludf.DUMMYFUNCTION("""COMPUTED_VALUE"""),1.0)</f>
        <v>1</v>
      </c>
      <c r="T185" s="188">
        <f>IFERROR(__xludf.DUMMYFUNCTION("""COMPUTED_VALUE"""),336.0)</f>
        <v>336</v>
      </c>
      <c r="U185" s="188">
        <f>IFERROR(__xludf.DUMMYFUNCTION("""COMPUTED_VALUE"""),82.0)</f>
        <v>82</v>
      </c>
      <c r="V185" s="188">
        <f>IFERROR(__xludf.DUMMYFUNCTION("""COMPUTED_VALUE"""),85.0)</f>
        <v>85</v>
      </c>
      <c r="W185" s="188">
        <f>IFERROR(__xludf.DUMMYFUNCTION("""COMPUTED_VALUE"""),8.0)</f>
        <v>8</v>
      </c>
      <c r="X185" s="188">
        <f>IFERROR(__xludf.DUMMYFUNCTION("""COMPUTED_VALUE"""),4.0)</f>
        <v>4</v>
      </c>
      <c r="Y185" s="188">
        <f>IFERROR(__xludf.DUMMYFUNCTION("""COMPUTED_VALUE"""),2.0)</f>
        <v>2</v>
      </c>
      <c r="Z185" s="188">
        <f>IFERROR(__xludf.DUMMYFUNCTION("""COMPUTED_VALUE"""),1067.0)</f>
        <v>1067</v>
      </c>
    </row>
    <row r="186">
      <c r="A186" s="187">
        <f>IFERROR(__xludf.DUMMYFUNCTION("""COMPUTED_VALUE"""),44077.0)</f>
        <v>44077</v>
      </c>
      <c r="B186" s="188">
        <f>IFERROR(__xludf.DUMMYFUNCTION("""COMPUTED_VALUE"""),90.0)</f>
        <v>90</v>
      </c>
      <c r="C186" s="188">
        <f>IFERROR(__xludf.DUMMYFUNCTION("""COMPUTED_VALUE"""),104.0)</f>
        <v>104</v>
      </c>
      <c r="D186" s="188">
        <f>IFERROR(__xludf.DUMMYFUNCTION("""COMPUTED_VALUE"""),32022.0)</f>
        <v>32022</v>
      </c>
      <c r="E186" s="188">
        <f>IFERROR(__xludf.DUMMYFUNCTION("""COMPUTED_VALUE"""),11370.0)</f>
        <v>11370</v>
      </c>
      <c r="F186" s="149">
        <f>IFERROR(__xludf.DUMMYFUNCTION("""COMPUTED_VALUE"""),539651.0)</f>
        <v>539651</v>
      </c>
      <c r="G186" s="149">
        <f>IFERROR(__xludf.DUMMYFUNCTION("""COMPUTED_VALUE"""),11460.0)</f>
        <v>11460</v>
      </c>
      <c r="H186" s="149">
        <f>IFERROR(__xludf.DUMMYFUNCTION("""COMPUTED_VALUE"""),571673.0)</f>
        <v>571673</v>
      </c>
      <c r="I186" s="188">
        <f>IFERROR(__xludf.DUMMYFUNCTION("""COMPUTED_VALUE"""),77.0)</f>
        <v>77</v>
      </c>
      <c r="J186" s="188">
        <f>IFERROR(__xludf.DUMMYFUNCTION("""COMPUTED_VALUE"""),82.0)</f>
        <v>82</v>
      </c>
      <c r="K186" s="188">
        <f>IFERROR(__xludf.DUMMYFUNCTION("""COMPUTED_VALUE"""),22435.0)</f>
        <v>22435</v>
      </c>
      <c r="L186" s="188">
        <f>IFERROR(__xludf.DUMMYFUNCTION("""COMPUTED_VALUE"""),2591.0)</f>
        <v>2591</v>
      </c>
      <c r="M186" s="188">
        <f>IFERROR(__xludf.DUMMYFUNCTION("""COMPUTED_VALUE"""),268531.0)</f>
        <v>268531</v>
      </c>
      <c r="N186" s="188">
        <f>IFERROR(__xludf.DUMMYFUNCTION("""COMPUTED_VALUE"""),290966.0)</f>
        <v>290966</v>
      </c>
      <c r="O186" s="188">
        <f>IFERROR(__xludf.DUMMYFUNCTION("""COMPUTED_VALUE"""),8.0)</f>
        <v>8</v>
      </c>
      <c r="P186" s="188">
        <f>IFERROR(__xludf.DUMMYFUNCTION("""COMPUTED_VALUE"""),2582.0)</f>
        <v>2582</v>
      </c>
      <c r="Q186" s="188">
        <f>IFERROR(__xludf.DUMMYFUNCTION("""COMPUTED_VALUE"""),8.0)</f>
        <v>8</v>
      </c>
      <c r="R186" s="188">
        <f>IFERROR(__xludf.DUMMYFUNCTION("""COMPUTED_VALUE"""),2164.0)</f>
        <v>2164</v>
      </c>
      <c r="S186" s="188">
        <f>IFERROR(__xludf.DUMMYFUNCTION("""COMPUTED_VALUE"""),0.0)</f>
        <v>0</v>
      </c>
      <c r="T186" s="188">
        <f>IFERROR(__xludf.DUMMYFUNCTION("""COMPUTED_VALUE"""),336.0)</f>
        <v>336</v>
      </c>
      <c r="U186" s="188">
        <f>IFERROR(__xludf.DUMMYFUNCTION("""COMPUTED_VALUE"""),82.0)</f>
        <v>82</v>
      </c>
      <c r="V186" s="188">
        <f>IFERROR(__xludf.DUMMYFUNCTION("""COMPUTED_VALUE"""),83.0)</f>
        <v>83</v>
      </c>
      <c r="W186" s="188">
        <f>IFERROR(__xludf.DUMMYFUNCTION("""COMPUTED_VALUE"""),9.0)</f>
        <v>9</v>
      </c>
      <c r="X186" s="188">
        <f>IFERROR(__xludf.DUMMYFUNCTION("""COMPUTED_VALUE"""),4.0)</f>
        <v>4</v>
      </c>
      <c r="Y186" s="188">
        <f>IFERROR(__xludf.DUMMYFUNCTION("""COMPUTED_VALUE"""),1.0)</f>
        <v>1</v>
      </c>
      <c r="Z186" s="188">
        <f>IFERROR(__xludf.DUMMYFUNCTION("""COMPUTED_VALUE"""),1068.0)</f>
        <v>1068</v>
      </c>
    </row>
    <row r="187">
      <c r="A187" s="187">
        <f>IFERROR(__xludf.DUMMYFUNCTION("""COMPUTED_VALUE"""),44078.0)</f>
        <v>44078</v>
      </c>
      <c r="B187" s="188">
        <f>IFERROR(__xludf.DUMMYFUNCTION("""COMPUTED_VALUE"""),103.0)</f>
        <v>103</v>
      </c>
      <c r="C187" s="188">
        <f>IFERROR(__xludf.DUMMYFUNCTION("""COMPUTED_VALUE"""),106.0)</f>
        <v>106</v>
      </c>
      <c r="D187" s="188">
        <f>IFERROR(__xludf.DUMMYFUNCTION("""COMPUTED_VALUE"""),32125.0)</f>
        <v>32125</v>
      </c>
      <c r="E187" s="188">
        <f>IFERROR(__xludf.DUMMYFUNCTION("""COMPUTED_VALUE"""),9248.0)</f>
        <v>9248</v>
      </c>
      <c r="F187" s="149">
        <f>IFERROR(__xludf.DUMMYFUNCTION("""COMPUTED_VALUE"""),548899.0)</f>
        <v>548899</v>
      </c>
      <c r="G187" s="149">
        <f>IFERROR(__xludf.DUMMYFUNCTION("""COMPUTED_VALUE"""),9351.0)</f>
        <v>9351</v>
      </c>
      <c r="H187" s="149">
        <f>IFERROR(__xludf.DUMMYFUNCTION("""COMPUTED_VALUE"""),581024.0)</f>
        <v>581024</v>
      </c>
      <c r="I187" s="188">
        <f>IFERROR(__xludf.DUMMYFUNCTION("""COMPUTED_VALUE"""),83.0)</f>
        <v>83</v>
      </c>
      <c r="J187" s="188">
        <f>IFERROR(__xludf.DUMMYFUNCTION("""COMPUTED_VALUE"""),87.0)</f>
        <v>87</v>
      </c>
      <c r="K187" s="188">
        <f>IFERROR(__xludf.DUMMYFUNCTION("""COMPUTED_VALUE"""),22518.0)</f>
        <v>22518</v>
      </c>
      <c r="L187" s="188">
        <f>IFERROR(__xludf.DUMMYFUNCTION("""COMPUTED_VALUE"""),2410.0)</f>
        <v>2410</v>
      </c>
      <c r="M187" s="188">
        <f>IFERROR(__xludf.DUMMYFUNCTION("""COMPUTED_VALUE"""),270941.0)</f>
        <v>270941</v>
      </c>
      <c r="N187" s="188">
        <f>IFERROR(__xludf.DUMMYFUNCTION("""COMPUTED_VALUE"""),293459.0)</f>
        <v>293459</v>
      </c>
      <c r="O187" s="188">
        <f>IFERROR(__xludf.DUMMYFUNCTION("""COMPUTED_VALUE"""),11.0)</f>
        <v>11</v>
      </c>
      <c r="P187" s="188">
        <f>IFERROR(__xludf.DUMMYFUNCTION("""COMPUTED_VALUE"""),2593.0)</f>
        <v>2593</v>
      </c>
      <c r="Q187" s="188">
        <f>IFERROR(__xludf.DUMMYFUNCTION("""COMPUTED_VALUE"""),4.0)</f>
        <v>4</v>
      </c>
      <c r="R187" s="188">
        <f>IFERROR(__xludf.DUMMYFUNCTION("""COMPUTED_VALUE"""),2168.0)</f>
        <v>2168</v>
      </c>
      <c r="S187" s="188">
        <f>IFERROR(__xludf.DUMMYFUNCTION("""COMPUTED_VALUE"""),0.0)</f>
        <v>0</v>
      </c>
      <c r="T187" s="188">
        <f>IFERROR(__xludf.DUMMYFUNCTION("""COMPUTED_VALUE"""),336.0)</f>
        <v>336</v>
      </c>
      <c r="U187" s="188">
        <f>IFERROR(__xludf.DUMMYFUNCTION("""COMPUTED_VALUE"""),89.0)</f>
        <v>89</v>
      </c>
      <c r="V187" s="188">
        <f>IFERROR(__xludf.DUMMYFUNCTION("""COMPUTED_VALUE"""),84.0)</f>
        <v>84</v>
      </c>
      <c r="W187" s="188">
        <f>IFERROR(__xludf.DUMMYFUNCTION("""COMPUTED_VALUE"""),9.0)</f>
        <v>9</v>
      </c>
      <c r="X187" s="188">
        <f>IFERROR(__xludf.DUMMYFUNCTION("""COMPUTED_VALUE"""),4.0)</f>
        <v>4</v>
      </c>
      <c r="Y187" s="188">
        <f>IFERROR(__xludf.DUMMYFUNCTION("""COMPUTED_VALUE"""),1.0)</f>
        <v>1</v>
      </c>
      <c r="Z187" s="188">
        <f>IFERROR(__xludf.DUMMYFUNCTION("""COMPUTED_VALUE"""),1069.0)</f>
        <v>1069</v>
      </c>
    </row>
    <row r="188">
      <c r="A188" s="187">
        <f>IFERROR(__xludf.DUMMYFUNCTION("""COMPUTED_VALUE"""),44079.0)</f>
        <v>44079</v>
      </c>
      <c r="B188" s="188">
        <f>IFERROR(__xludf.DUMMYFUNCTION("""COMPUTED_VALUE"""),52.0)</f>
        <v>52</v>
      </c>
      <c r="C188" s="188">
        <f>IFERROR(__xludf.DUMMYFUNCTION("""COMPUTED_VALUE"""),82.0)</f>
        <v>82</v>
      </c>
      <c r="D188" s="188">
        <f>IFERROR(__xludf.DUMMYFUNCTION("""COMPUTED_VALUE"""),32177.0)</f>
        <v>32177</v>
      </c>
      <c r="E188" s="188">
        <f>IFERROR(__xludf.DUMMYFUNCTION("""COMPUTED_VALUE"""),6683.0)</f>
        <v>6683</v>
      </c>
      <c r="F188" s="149">
        <f>IFERROR(__xludf.DUMMYFUNCTION("""COMPUTED_VALUE"""),555582.0)</f>
        <v>555582</v>
      </c>
      <c r="G188" s="149">
        <f>IFERROR(__xludf.DUMMYFUNCTION("""COMPUTED_VALUE"""),6735.0)</f>
        <v>6735</v>
      </c>
      <c r="H188" s="149">
        <f>IFERROR(__xludf.DUMMYFUNCTION("""COMPUTED_VALUE"""),587759.0)</f>
        <v>587759</v>
      </c>
      <c r="I188" s="188">
        <f>IFERROR(__xludf.DUMMYFUNCTION("""COMPUTED_VALUE"""),42.0)</f>
        <v>42</v>
      </c>
      <c r="J188" s="188">
        <f>IFERROR(__xludf.DUMMYFUNCTION("""COMPUTED_VALUE"""),67.0)</f>
        <v>67</v>
      </c>
      <c r="K188" s="188">
        <f>IFERROR(__xludf.DUMMYFUNCTION("""COMPUTED_VALUE"""),22560.0)</f>
        <v>22560</v>
      </c>
      <c r="L188" s="188">
        <f>IFERROR(__xludf.DUMMYFUNCTION("""COMPUTED_VALUE"""),1593.0)</f>
        <v>1593</v>
      </c>
      <c r="M188" s="188">
        <f>IFERROR(__xludf.DUMMYFUNCTION("""COMPUTED_VALUE"""),272534.0)</f>
        <v>272534</v>
      </c>
      <c r="N188" s="188">
        <f>IFERROR(__xludf.DUMMYFUNCTION("""COMPUTED_VALUE"""),295094.0)</f>
        <v>295094</v>
      </c>
      <c r="O188" s="188">
        <f>IFERROR(__xludf.DUMMYFUNCTION("""COMPUTED_VALUE"""),6.0)</f>
        <v>6</v>
      </c>
      <c r="P188" s="188">
        <f>IFERROR(__xludf.DUMMYFUNCTION("""COMPUTED_VALUE"""),2599.0)</f>
        <v>2599</v>
      </c>
      <c r="Q188" s="188">
        <f>IFERROR(__xludf.DUMMYFUNCTION("""COMPUTED_VALUE"""),9.0)</f>
        <v>9</v>
      </c>
      <c r="R188" s="188">
        <f>IFERROR(__xludf.DUMMYFUNCTION("""COMPUTED_VALUE"""),2177.0)</f>
        <v>2177</v>
      </c>
      <c r="S188" s="188">
        <f>IFERROR(__xludf.DUMMYFUNCTION("""COMPUTED_VALUE"""),0.0)</f>
        <v>0</v>
      </c>
      <c r="T188" s="188">
        <f>IFERROR(__xludf.DUMMYFUNCTION("""COMPUTED_VALUE"""),336.0)</f>
        <v>336</v>
      </c>
      <c r="U188" s="188">
        <f>IFERROR(__xludf.DUMMYFUNCTION("""COMPUTED_VALUE"""),86.0)</f>
        <v>86</v>
      </c>
      <c r="V188" s="188">
        <f>IFERROR(__xludf.DUMMYFUNCTION("""COMPUTED_VALUE"""),86.0)</f>
        <v>86</v>
      </c>
      <c r="W188" s="188">
        <f>IFERROR(__xludf.DUMMYFUNCTION("""COMPUTED_VALUE"""),8.0)</f>
        <v>8</v>
      </c>
      <c r="X188" s="188">
        <f>IFERROR(__xludf.DUMMYFUNCTION("""COMPUTED_VALUE"""),3.0)</f>
        <v>3</v>
      </c>
      <c r="Y188" s="188">
        <f>IFERROR(__xludf.DUMMYFUNCTION("""COMPUTED_VALUE"""),1.0)</f>
        <v>1</v>
      </c>
      <c r="Z188" s="188">
        <f>IFERROR(__xludf.DUMMYFUNCTION("""COMPUTED_VALUE"""),1070.0)</f>
        <v>1070</v>
      </c>
    </row>
    <row r="189">
      <c r="A189" s="187">
        <f>IFERROR(__xludf.DUMMYFUNCTION("""COMPUTED_VALUE"""),44080.0)</f>
        <v>44080</v>
      </c>
      <c r="B189" s="188">
        <f>IFERROR(__xludf.DUMMYFUNCTION("""COMPUTED_VALUE"""),89.0)</f>
        <v>89</v>
      </c>
      <c r="C189" s="188">
        <f>IFERROR(__xludf.DUMMYFUNCTION("""COMPUTED_VALUE"""),81.0)</f>
        <v>81</v>
      </c>
      <c r="D189" s="188">
        <f>IFERROR(__xludf.DUMMYFUNCTION("""COMPUTED_VALUE"""),32266.0)</f>
        <v>32266</v>
      </c>
      <c r="E189" s="188">
        <f>IFERROR(__xludf.DUMMYFUNCTION("""COMPUTED_VALUE"""),4664.0)</f>
        <v>4664</v>
      </c>
      <c r="F189" s="149">
        <f>IFERROR(__xludf.DUMMYFUNCTION("""COMPUTED_VALUE"""),560246.0)</f>
        <v>560246</v>
      </c>
      <c r="G189" s="149">
        <f>IFERROR(__xludf.DUMMYFUNCTION("""COMPUTED_VALUE"""),4753.0)</f>
        <v>4753</v>
      </c>
      <c r="H189" s="149">
        <f>IFERROR(__xludf.DUMMYFUNCTION("""COMPUTED_VALUE"""),592512.0)</f>
        <v>592512</v>
      </c>
      <c r="I189" s="188">
        <f>IFERROR(__xludf.DUMMYFUNCTION("""COMPUTED_VALUE"""),66.0)</f>
        <v>66</v>
      </c>
      <c r="J189" s="188">
        <f>IFERROR(__xludf.DUMMYFUNCTION("""COMPUTED_VALUE"""),64.0)</f>
        <v>64</v>
      </c>
      <c r="K189" s="188">
        <f>IFERROR(__xludf.DUMMYFUNCTION("""COMPUTED_VALUE"""),22626.0)</f>
        <v>22626</v>
      </c>
      <c r="L189" s="188">
        <f>IFERROR(__xludf.DUMMYFUNCTION("""COMPUTED_VALUE"""),1957.0)</f>
        <v>1957</v>
      </c>
      <c r="M189" s="188">
        <f>IFERROR(__xludf.DUMMYFUNCTION("""COMPUTED_VALUE"""),274491.0)</f>
        <v>274491</v>
      </c>
      <c r="N189" s="188">
        <f>IFERROR(__xludf.DUMMYFUNCTION("""COMPUTED_VALUE"""),297117.0)</f>
        <v>297117</v>
      </c>
      <c r="O189" s="188">
        <f>IFERROR(__xludf.DUMMYFUNCTION("""COMPUTED_VALUE"""),4.0)</f>
        <v>4</v>
      </c>
      <c r="P189" s="188">
        <f>IFERROR(__xludf.DUMMYFUNCTION("""COMPUTED_VALUE"""),2603.0)</f>
        <v>2603</v>
      </c>
      <c r="Q189" s="188">
        <f>IFERROR(__xludf.DUMMYFUNCTION("""COMPUTED_VALUE"""),8.0)</f>
        <v>8</v>
      </c>
      <c r="R189" s="188">
        <f>IFERROR(__xludf.DUMMYFUNCTION("""COMPUTED_VALUE"""),2185.0)</f>
        <v>2185</v>
      </c>
      <c r="S189" s="188">
        <f>IFERROR(__xludf.DUMMYFUNCTION("""COMPUTED_VALUE"""),1.0)</f>
        <v>1</v>
      </c>
      <c r="T189" s="188">
        <f>IFERROR(__xludf.DUMMYFUNCTION("""COMPUTED_VALUE"""),337.0)</f>
        <v>337</v>
      </c>
      <c r="U189" s="188">
        <f>IFERROR(__xludf.DUMMYFUNCTION("""COMPUTED_VALUE"""),81.0)</f>
        <v>81</v>
      </c>
      <c r="V189" s="188">
        <f>IFERROR(__xludf.DUMMYFUNCTION("""COMPUTED_VALUE"""),85.0)</f>
        <v>85</v>
      </c>
      <c r="W189" s="188">
        <f>IFERROR(__xludf.DUMMYFUNCTION("""COMPUTED_VALUE"""),6.0)</f>
        <v>6</v>
      </c>
      <c r="X189" s="188">
        <f>IFERROR(__xludf.DUMMYFUNCTION("""COMPUTED_VALUE"""),3.0)</f>
        <v>3</v>
      </c>
      <c r="Y189" s="188">
        <f>IFERROR(__xludf.DUMMYFUNCTION("""COMPUTED_VALUE"""),1.0)</f>
        <v>1</v>
      </c>
      <c r="Z189" s="188">
        <f>IFERROR(__xludf.DUMMYFUNCTION("""COMPUTED_VALUE"""),1071.0)</f>
        <v>1071</v>
      </c>
    </row>
    <row r="190">
      <c r="A190" s="187">
        <f>IFERROR(__xludf.DUMMYFUNCTION("""COMPUTED_VALUE"""),44081.0)</f>
        <v>44081</v>
      </c>
      <c r="B190" s="188">
        <f>IFERROR(__xludf.DUMMYFUNCTION("""COMPUTED_VALUE"""),35.0)</f>
        <v>35</v>
      </c>
      <c r="C190" s="188">
        <f>IFERROR(__xludf.DUMMYFUNCTION("""COMPUTED_VALUE"""),59.0)</f>
        <v>59</v>
      </c>
      <c r="D190" s="188">
        <f>IFERROR(__xludf.DUMMYFUNCTION("""COMPUTED_VALUE"""),32301.0)</f>
        <v>32301</v>
      </c>
      <c r="E190" s="188">
        <f>IFERROR(__xludf.DUMMYFUNCTION("""COMPUTED_VALUE"""),3007.0)</f>
        <v>3007</v>
      </c>
      <c r="F190" s="149">
        <f>IFERROR(__xludf.DUMMYFUNCTION("""COMPUTED_VALUE"""),563253.0)</f>
        <v>563253</v>
      </c>
      <c r="G190" s="149">
        <f>IFERROR(__xludf.DUMMYFUNCTION("""COMPUTED_VALUE"""),3042.0)</f>
        <v>3042</v>
      </c>
      <c r="H190" s="149">
        <f>IFERROR(__xludf.DUMMYFUNCTION("""COMPUTED_VALUE"""),595554.0)</f>
        <v>595554</v>
      </c>
      <c r="I190" s="188">
        <f>IFERROR(__xludf.DUMMYFUNCTION("""COMPUTED_VALUE"""),26.0)</f>
        <v>26</v>
      </c>
      <c r="J190" s="188">
        <f>IFERROR(__xludf.DUMMYFUNCTION("""COMPUTED_VALUE"""),45.0)</f>
        <v>45</v>
      </c>
      <c r="K190" s="188">
        <f>IFERROR(__xludf.DUMMYFUNCTION("""COMPUTED_VALUE"""),22652.0)</f>
        <v>22652</v>
      </c>
      <c r="L190" s="188">
        <f>IFERROR(__xludf.DUMMYFUNCTION("""COMPUTED_VALUE"""),649.0)</f>
        <v>649</v>
      </c>
      <c r="M190" s="188">
        <f>IFERROR(__xludf.DUMMYFUNCTION("""COMPUTED_VALUE"""),275140.0)</f>
        <v>275140</v>
      </c>
      <c r="N190" s="188">
        <f>IFERROR(__xludf.DUMMYFUNCTION("""COMPUTED_VALUE"""),297792.0)</f>
        <v>297792</v>
      </c>
      <c r="O190" s="188">
        <f>IFERROR(__xludf.DUMMYFUNCTION("""COMPUTED_VALUE"""),11.0)</f>
        <v>11</v>
      </c>
      <c r="P190" s="188">
        <f>IFERROR(__xludf.DUMMYFUNCTION("""COMPUTED_VALUE"""),2614.0)</f>
        <v>2614</v>
      </c>
      <c r="Q190" s="188">
        <f>IFERROR(__xludf.DUMMYFUNCTION("""COMPUTED_VALUE"""),3.0)</f>
        <v>3</v>
      </c>
      <c r="R190" s="188">
        <f>IFERROR(__xludf.DUMMYFUNCTION("""COMPUTED_VALUE"""),2188.0)</f>
        <v>2188</v>
      </c>
      <c r="S190" s="188">
        <f>IFERROR(__xludf.DUMMYFUNCTION("""COMPUTED_VALUE"""),0.0)</f>
        <v>0</v>
      </c>
      <c r="T190" s="188">
        <f>IFERROR(__xludf.DUMMYFUNCTION("""COMPUTED_VALUE"""),337.0)</f>
        <v>337</v>
      </c>
      <c r="U190" s="188">
        <f>IFERROR(__xludf.DUMMYFUNCTION("""COMPUTED_VALUE"""),89.0)</f>
        <v>89</v>
      </c>
      <c r="V190" s="188">
        <f>IFERROR(__xludf.DUMMYFUNCTION("""COMPUTED_VALUE"""),85.0)</f>
        <v>85</v>
      </c>
      <c r="W190" s="188">
        <f>IFERROR(__xludf.DUMMYFUNCTION("""COMPUTED_VALUE"""),5.0)</f>
        <v>5</v>
      </c>
      <c r="X190" s="188">
        <f>IFERROR(__xludf.DUMMYFUNCTION("""COMPUTED_VALUE"""),3.0)</f>
        <v>3</v>
      </c>
      <c r="Y190" s="188">
        <f>IFERROR(__xludf.DUMMYFUNCTION("""COMPUTED_VALUE"""),1.0)</f>
        <v>1</v>
      </c>
      <c r="Z190" s="188">
        <f>IFERROR(__xludf.DUMMYFUNCTION("""COMPUTED_VALUE"""),1072.0)</f>
        <v>1072</v>
      </c>
    </row>
    <row r="191">
      <c r="A191" s="187">
        <f>IFERROR(__xludf.DUMMYFUNCTION("""COMPUTED_VALUE"""),44082.0)</f>
        <v>44082</v>
      </c>
      <c r="B191" s="188">
        <f>IFERROR(__xludf.DUMMYFUNCTION("""COMPUTED_VALUE"""),77.0)</f>
        <v>77</v>
      </c>
      <c r="C191" s="188">
        <f>IFERROR(__xludf.DUMMYFUNCTION("""COMPUTED_VALUE"""),67.0)</f>
        <v>67</v>
      </c>
      <c r="D191" s="188">
        <f>IFERROR(__xludf.DUMMYFUNCTION("""COMPUTED_VALUE"""),32378.0)</f>
        <v>32378</v>
      </c>
      <c r="E191" s="188">
        <f>IFERROR(__xludf.DUMMYFUNCTION("""COMPUTED_VALUE"""),6384.0)</f>
        <v>6384</v>
      </c>
      <c r="F191" s="149">
        <f>IFERROR(__xludf.DUMMYFUNCTION("""COMPUTED_VALUE"""),569637.0)</f>
        <v>569637</v>
      </c>
      <c r="G191" s="149">
        <f>IFERROR(__xludf.DUMMYFUNCTION("""COMPUTED_VALUE"""),6461.0)</f>
        <v>6461</v>
      </c>
      <c r="H191" s="149">
        <f>IFERROR(__xludf.DUMMYFUNCTION("""COMPUTED_VALUE"""),602015.0)</f>
        <v>602015</v>
      </c>
      <c r="I191" s="188">
        <f>IFERROR(__xludf.DUMMYFUNCTION("""COMPUTED_VALUE"""),68.0)</f>
        <v>68</v>
      </c>
      <c r="J191" s="188">
        <f>IFERROR(__xludf.DUMMYFUNCTION("""COMPUTED_VALUE"""),53.0)</f>
        <v>53</v>
      </c>
      <c r="K191" s="188">
        <f>IFERROR(__xludf.DUMMYFUNCTION("""COMPUTED_VALUE"""),22720.0)</f>
        <v>22720</v>
      </c>
      <c r="L191" s="188">
        <f>IFERROR(__xludf.DUMMYFUNCTION("""COMPUTED_VALUE"""),1594.0)</f>
        <v>1594</v>
      </c>
      <c r="M191" s="188">
        <f>IFERROR(__xludf.DUMMYFUNCTION("""COMPUTED_VALUE"""),276734.0)</f>
        <v>276734</v>
      </c>
      <c r="N191" s="188">
        <f>IFERROR(__xludf.DUMMYFUNCTION("""COMPUTED_VALUE"""),299454.0)</f>
        <v>299454</v>
      </c>
      <c r="O191" s="188">
        <f>IFERROR(__xludf.DUMMYFUNCTION("""COMPUTED_VALUE"""),6.0)</f>
        <v>6</v>
      </c>
      <c r="P191" s="188">
        <f>IFERROR(__xludf.DUMMYFUNCTION("""COMPUTED_VALUE"""),2620.0)</f>
        <v>2620</v>
      </c>
      <c r="Q191" s="188">
        <f>IFERROR(__xludf.DUMMYFUNCTION("""COMPUTED_VALUE"""),12.0)</f>
        <v>12</v>
      </c>
      <c r="R191" s="188">
        <f>IFERROR(__xludf.DUMMYFUNCTION("""COMPUTED_VALUE"""),2200.0)</f>
        <v>2200</v>
      </c>
      <c r="S191" s="188">
        <f>IFERROR(__xludf.DUMMYFUNCTION("""COMPUTED_VALUE"""),1.0)</f>
        <v>1</v>
      </c>
      <c r="T191" s="188">
        <f>IFERROR(__xludf.DUMMYFUNCTION("""COMPUTED_VALUE"""),338.0)</f>
        <v>338</v>
      </c>
      <c r="U191" s="188">
        <f>IFERROR(__xludf.DUMMYFUNCTION("""COMPUTED_VALUE"""),82.0)</f>
        <v>82</v>
      </c>
      <c r="V191" s="188">
        <f>IFERROR(__xludf.DUMMYFUNCTION("""COMPUTED_VALUE"""),84.0)</f>
        <v>84</v>
      </c>
      <c r="W191" s="188">
        <f>IFERROR(__xludf.DUMMYFUNCTION("""COMPUTED_VALUE"""),6.0)</f>
        <v>6</v>
      </c>
      <c r="X191" s="188">
        <f>IFERROR(__xludf.DUMMYFUNCTION("""COMPUTED_VALUE"""),3.0)</f>
        <v>3</v>
      </c>
      <c r="Y191" s="188">
        <f>IFERROR(__xludf.DUMMYFUNCTION("""COMPUTED_VALUE"""),2.0)</f>
        <v>2</v>
      </c>
      <c r="Z191" s="188">
        <f>IFERROR(__xludf.DUMMYFUNCTION("""COMPUTED_VALUE"""),1074.0)</f>
        <v>1074</v>
      </c>
    </row>
    <row r="192">
      <c r="A192" s="187">
        <f>IFERROR(__xludf.DUMMYFUNCTION("""COMPUTED_VALUE"""),44083.0)</f>
        <v>44083</v>
      </c>
      <c r="B192" s="188">
        <f>IFERROR(__xludf.DUMMYFUNCTION("""COMPUTED_VALUE"""),123.0)</f>
        <v>123</v>
      </c>
      <c r="C192" s="188">
        <f>IFERROR(__xludf.DUMMYFUNCTION("""COMPUTED_VALUE"""),78.0)</f>
        <v>78</v>
      </c>
      <c r="D192" s="188">
        <f>IFERROR(__xludf.DUMMYFUNCTION("""COMPUTED_VALUE"""),32501.0)</f>
        <v>32501</v>
      </c>
      <c r="E192" s="188">
        <f>IFERROR(__xludf.DUMMYFUNCTION("""COMPUTED_VALUE"""),8853.0)</f>
        <v>8853</v>
      </c>
      <c r="F192" s="149">
        <f>IFERROR(__xludf.DUMMYFUNCTION("""COMPUTED_VALUE"""),578490.0)</f>
        <v>578490</v>
      </c>
      <c r="G192" s="149">
        <f>IFERROR(__xludf.DUMMYFUNCTION("""COMPUTED_VALUE"""),8976.0)</f>
        <v>8976</v>
      </c>
      <c r="H192" s="149">
        <f>IFERROR(__xludf.DUMMYFUNCTION("""COMPUTED_VALUE"""),610991.0)</f>
        <v>610991</v>
      </c>
      <c r="I192" s="188">
        <f>IFERROR(__xludf.DUMMYFUNCTION("""COMPUTED_VALUE"""),98.0)</f>
        <v>98</v>
      </c>
      <c r="J192" s="188">
        <f>IFERROR(__xludf.DUMMYFUNCTION("""COMPUTED_VALUE"""),64.0)</f>
        <v>64</v>
      </c>
      <c r="K192" s="188">
        <f>IFERROR(__xludf.DUMMYFUNCTION("""COMPUTED_VALUE"""),22818.0)</f>
        <v>22818</v>
      </c>
      <c r="L192" s="188">
        <f>IFERROR(__xludf.DUMMYFUNCTION("""COMPUTED_VALUE"""),2156.0)</f>
        <v>2156</v>
      </c>
      <c r="M192" s="188">
        <f>IFERROR(__xludf.DUMMYFUNCTION("""COMPUTED_VALUE"""),278890.0)</f>
        <v>278890</v>
      </c>
      <c r="N192" s="188">
        <f>IFERROR(__xludf.DUMMYFUNCTION("""COMPUTED_VALUE"""),301708.0)</f>
        <v>301708</v>
      </c>
      <c r="O192" s="188">
        <f>IFERROR(__xludf.DUMMYFUNCTION("""COMPUTED_VALUE"""),9.0)</f>
        <v>9</v>
      </c>
      <c r="P192" s="188">
        <f>IFERROR(__xludf.DUMMYFUNCTION("""COMPUTED_VALUE"""),2629.0)</f>
        <v>2629</v>
      </c>
      <c r="Q192" s="188">
        <f>IFERROR(__xludf.DUMMYFUNCTION("""COMPUTED_VALUE"""),5.0)</f>
        <v>5</v>
      </c>
      <c r="R192" s="188">
        <f>IFERROR(__xludf.DUMMYFUNCTION("""COMPUTED_VALUE"""),2205.0)</f>
        <v>2205</v>
      </c>
      <c r="S192" s="188">
        <f>IFERROR(__xludf.DUMMYFUNCTION("""COMPUTED_VALUE"""),1.0)</f>
        <v>1</v>
      </c>
      <c r="T192" s="188">
        <f>IFERROR(__xludf.DUMMYFUNCTION("""COMPUTED_VALUE"""),339.0)</f>
        <v>339</v>
      </c>
      <c r="U192" s="188">
        <f>IFERROR(__xludf.DUMMYFUNCTION("""COMPUTED_VALUE"""),85.0)</f>
        <v>85</v>
      </c>
      <c r="V192" s="188">
        <f>IFERROR(__xludf.DUMMYFUNCTION("""COMPUTED_VALUE"""),85.0)</f>
        <v>85</v>
      </c>
      <c r="W192" s="188">
        <f>IFERROR(__xludf.DUMMYFUNCTION("""COMPUTED_VALUE"""),9.0)</f>
        <v>9</v>
      </c>
      <c r="X192" s="188">
        <f>IFERROR(__xludf.DUMMYFUNCTION("""COMPUTED_VALUE"""),3.0)</f>
        <v>3</v>
      </c>
      <c r="Y192" s="188">
        <f>IFERROR(__xludf.DUMMYFUNCTION("""COMPUTED_VALUE"""),1.0)</f>
        <v>1</v>
      </c>
      <c r="Z192" s="188">
        <f>IFERROR(__xludf.DUMMYFUNCTION("""COMPUTED_VALUE"""),1075.0)</f>
        <v>1075</v>
      </c>
    </row>
    <row r="193">
      <c r="A193" s="187">
        <f>IFERROR(__xludf.DUMMYFUNCTION("""COMPUTED_VALUE"""),44084.0)</f>
        <v>44084</v>
      </c>
      <c r="B193" s="188">
        <f>IFERROR(__xludf.DUMMYFUNCTION("""COMPUTED_VALUE"""),171.0)</f>
        <v>171</v>
      </c>
      <c r="C193" s="188">
        <f>IFERROR(__xludf.DUMMYFUNCTION("""COMPUTED_VALUE"""),124.0)</f>
        <v>124</v>
      </c>
      <c r="D193" s="188">
        <f>IFERROR(__xludf.DUMMYFUNCTION("""COMPUTED_VALUE"""),32672.0)</f>
        <v>32672</v>
      </c>
      <c r="E193" s="188">
        <f>IFERROR(__xludf.DUMMYFUNCTION("""COMPUTED_VALUE"""),12421.0)</f>
        <v>12421</v>
      </c>
      <c r="F193" s="149">
        <f>IFERROR(__xludf.DUMMYFUNCTION("""COMPUTED_VALUE"""),590911.0)</f>
        <v>590911</v>
      </c>
      <c r="G193" s="149">
        <f>IFERROR(__xludf.DUMMYFUNCTION("""COMPUTED_VALUE"""),12592.0)</f>
        <v>12592</v>
      </c>
      <c r="H193" s="149">
        <f>IFERROR(__xludf.DUMMYFUNCTION("""COMPUTED_VALUE"""),623583.0)</f>
        <v>623583</v>
      </c>
      <c r="I193" s="188">
        <f>IFERROR(__xludf.DUMMYFUNCTION("""COMPUTED_VALUE"""),116.0)</f>
        <v>116</v>
      </c>
      <c r="J193" s="188">
        <f>IFERROR(__xludf.DUMMYFUNCTION("""COMPUTED_VALUE"""),94.0)</f>
        <v>94</v>
      </c>
      <c r="K193" s="188">
        <f>IFERROR(__xludf.DUMMYFUNCTION("""COMPUTED_VALUE"""),22934.0)</f>
        <v>22934</v>
      </c>
      <c r="L193" s="188">
        <f>IFERROR(__xludf.DUMMYFUNCTION("""COMPUTED_VALUE"""),2278.0)</f>
        <v>2278</v>
      </c>
      <c r="M193" s="188">
        <f>IFERROR(__xludf.DUMMYFUNCTION("""COMPUTED_VALUE"""),281168.0)</f>
        <v>281168</v>
      </c>
      <c r="N193" s="188">
        <f>IFERROR(__xludf.DUMMYFUNCTION("""COMPUTED_VALUE"""),304102.0)</f>
        <v>304102</v>
      </c>
      <c r="O193" s="188">
        <f>IFERROR(__xludf.DUMMYFUNCTION("""COMPUTED_VALUE"""),8.0)</f>
        <v>8</v>
      </c>
      <c r="P193" s="188">
        <f>IFERROR(__xludf.DUMMYFUNCTION("""COMPUTED_VALUE"""),2637.0)</f>
        <v>2637</v>
      </c>
      <c r="Q193" s="188">
        <f>IFERROR(__xludf.DUMMYFUNCTION("""COMPUTED_VALUE"""),8.0)</f>
        <v>8</v>
      </c>
      <c r="R193" s="188">
        <f>IFERROR(__xludf.DUMMYFUNCTION("""COMPUTED_VALUE"""),2213.0)</f>
        <v>2213</v>
      </c>
      <c r="S193" s="188">
        <f>IFERROR(__xludf.DUMMYFUNCTION("""COMPUTED_VALUE"""),0.0)</f>
        <v>0</v>
      </c>
      <c r="T193" s="188">
        <f>IFERROR(__xludf.DUMMYFUNCTION("""COMPUTED_VALUE"""),339.0)</f>
        <v>339</v>
      </c>
      <c r="U193" s="188">
        <f>IFERROR(__xludf.DUMMYFUNCTION("""COMPUTED_VALUE"""),85.0)</f>
        <v>85</v>
      </c>
      <c r="V193" s="188">
        <f>IFERROR(__xludf.DUMMYFUNCTION("""COMPUTED_VALUE"""),84.0)</f>
        <v>84</v>
      </c>
      <c r="W193" s="188">
        <f>IFERROR(__xludf.DUMMYFUNCTION("""COMPUTED_VALUE"""),10.0)</f>
        <v>10</v>
      </c>
      <c r="X193" s="188">
        <f>IFERROR(__xludf.DUMMYFUNCTION("""COMPUTED_VALUE"""),3.0)</f>
        <v>3</v>
      </c>
      <c r="Y193" s="188">
        <f>IFERROR(__xludf.DUMMYFUNCTION("""COMPUTED_VALUE"""),0.0)</f>
        <v>0</v>
      </c>
      <c r="Z193" s="188">
        <f>IFERROR(__xludf.DUMMYFUNCTION("""COMPUTED_VALUE"""),1075.0)</f>
        <v>1075</v>
      </c>
    </row>
    <row r="194">
      <c r="A194" s="187">
        <f>IFERROR(__xludf.DUMMYFUNCTION("""COMPUTED_VALUE"""),44085.0)</f>
        <v>44085</v>
      </c>
      <c r="B194" s="188">
        <f>IFERROR(__xludf.DUMMYFUNCTION("""COMPUTED_VALUE"""),126.0)</f>
        <v>126</v>
      </c>
      <c r="C194" s="188">
        <f>IFERROR(__xludf.DUMMYFUNCTION("""COMPUTED_VALUE"""),140.0)</f>
        <v>140</v>
      </c>
      <c r="D194" s="188">
        <f>IFERROR(__xludf.DUMMYFUNCTION("""COMPUTED_VALUE"""),32798.0)</f>
        <v>32798</v>
      </c>
      <c r="E194" s="188">
        <f>IFERROR(__xludf.DUMMYFUNCTION("""COMPUTED_VALUE"""),9432.0)</f>
        <v>9432</v>
      </c>
      <c r="F194" s="149">
        <f>IFERROR(__xludf.DUMMYFUNCTION("""COMPUTED_VALUE"""),600343.0)</f>
        <v>600343</v>
      </c>
      <c r="G194" s="149">
        <f>IFERROR(__xludf.DUMMYFUNCTION("""COMPUTED_VALUE"""),9558.0)</f>
        <v>9558</v>
      </c>
      <c r="H194" s="149">
        <f>IFERROR(__xludf.DUMMYFUNCTION("""COMPUTED_VALUE"""),633141.0)</f>
        <v>633141</v>
      </c>
      <c r="I194" s="188">
        <f>IFERROR(__xludf.DUMMYFUNCTION("""COMPUTED_VALUE"""),97.0)</f>
        <v>97</v>
      </c>
      <c r="J194" s="188">
        <f>IFERROR(__xludf.DUMMYFUNCTION("""COMPUTED_VALUE"""),104.0)</f>
        <v>104</v>
      </c>
      <c r="K194" s="188">
        <f>IFERROR(__xludf.DUMMYFUNCTION("""COMPUTED_VALUE"""),23031.0)</f>
        <v>23031</v>
      </c>
      <c r="L194" s="188">
        <f>IFERROR(__xludf.DUMMYFUNCTION("""COMPUTED_VALUE"""),1846.0)</f>
        <v>1846</v>
      </c>
      <c r="M194" s="188">
        <f>IFERROR(__xludf.DUMMYFUNCTION("""COMPUTED_VALUE"""),283014.0)</f>
        <v>283014</v>
      </c>
      <c r="N194" s="188">
        <f>IFERROR(__xludf.DUMMYFUNCTION("""COMPUTED_VALUE"""),306045.0)</f>
        <v>306045</v>
      </c>
      <c r="O194" s="188">
        <f>IFERROR(__xludf.DUMMYFUNCTION("""COMPUTED_VALUE"""),11.0)</f>
        <v>11</v>
      </c>
      <c r="P194" s="188">
        <f>IFERROR(__xludf.DUMMYFUNCTION("""COMPUTED_VALUE"""),2648.0)</f>
        <v>2648</v>
      </c>
      <c r="Q194" s="188">
        <f>IFERROR(__xludf.DUMMYFUNCTION("""COMPUTED_VALUE"""),11.0)</f>
        <v>11</v>
      </c>
      <c r="R194" s="188">
        <f>IFERROR(__xludf.DUMMYFUNCTION("""COMPUTED_VALUE"""),2224.0)</f>
        <v>2224</v>
      </c>
      <c r="S194" s="188">
        <f>IFERROR(__xludf.DUMMYFUNCTION("""COMPUTED_VALUE"""),0.0)</f>
        <v>0</v>
      </c>
      <c r="T194" s="188">
        <f>IFERROR(__xludf.DUMMYFUNCTION("""COMPUTED_VALUE"""),339.0)</f>
        <v>339</v>
      </c>
      <c r="U194" s="188">
        <f>IFERROR(__xludf.DUMMYFUNCTION("""COMPUTED_VALUE"""),85.0)</f>
        <v>85</v>
      </c>
      <c r="V194" s="188">
        <f>IFERROR(__xludf.DUMMYFUNCTION("""COMPUTED_VALUE"""),85.0)</f>
        <v>85</v>
      </c>
      <c r="W194" s="188">
        <f>IFERROR(__xludf.DUMMYFUNCTION("""COMPUTED_VALUE"""),10.0)</f>
        <v>10</v>
      </c>
      <c r="X194" s="188">
        <f>IFERROR(__xludf.DUMMYFUNCTION("""COMPUTED_VALUE"""),5.0)</f>
        <v>5</v>
      </c>
      <c r="Y194" s="188">
        <f>IFERROR(__xludf.DUMMYFUNCTION("""COMPUTED_VALUE"""),0.0)</f>
        <v>0</v>
      </c>
      <c r="Z194" s="188">
        <f>IFERROR(__xludf.DUMMYFUNCTION("""COMPUTED_VALUE"""),1075.0)</f>
        <v>1075</v>
      </c>
    </row>
    <row r="195">
      <c r="A195" s="187">
        <f>IFERROR(__xludf.DUMMYFUNCTION("""COMPUTED_VALUE"""),44086.0)</f>
        <v>44086</v>
      </c>
      <c r="B195" s="188">
        <f>IFERROR(__xludf.DUMMYFUNCTION("""COMPUTED_VALUE"""),109.0)</f>
        <v>109</v>
      </c>
      <c r="C195" s="188">
        <f>IFERROR(__xludf.DUMMYFUNCTION("""COMPUTED_VALUE"""),135.0)</f>
        <v>135</v>
      </c>
      <c r="D195" s="188">
        <f>IFERROR(__xludf.DUMMYFUNCTION("""COMPUTED_VALUE"""),32907.0)</f>
        <v>32907</v>
      </c>
      <c r="E195" s="188">
        <f>IFERROR(__xludf.DUMMYFUNCTION("""COMPUTED_VALUE"""),7450.0)</f>
        <v>7450</v>
      </c>
      <c r="F195" s="149">
        <f>IFERROR(__xludf.DUMMYFUNCTION("""COMPUTED_VALUE"""),607793.0)</f>
        <v>607793</v>
      </c>
      <c r="G195" s="149">
        <f>IFERROR(__xludf.DUMMYFUNCTION("""COMPUTED_VALUE"""),7559.0)</f>
        <v>7559</v>
      </c>
      <c r="H195" s="149">
        <f>IFERROR(__xludf.DUMMYFUNCTION("""COMPUTED_VALUE"""),640700.0)</f>
        <v>640700</v>
      </c>
      <c r="I195" s="188">
        <f>IFERROR(__xludf.DUMMYFUNCTION("""COMPUTED_VALUE"""),102.0)</f>
        <v>102</v>
      </c>
      <c r="J195" s="188">
        <f>IFERROR(__xludf.DUMMYFUNCTION("""COMPUTED_VALUE"""),105.0)</f>
        <v>105</v>
      </c>
      <c r="K195" s="188">
        <f>IFERROR(__xludf.DUMMYFUNCTION("""COMPUTED_VALUE"""),23133.0)</f>
        <v>23133</v>
      </c>
      <c r="L195" s="188">
        <f>IFERROR(__xludf.DUMMYFUNCTION("""COMPUTED_VALUE"""),1471.0)</f>
        <v>1471</v>
      </c>
      <c r="M195" s="188">
        <f>IFERROR(__xludf.DUMMYFUNCTION("""COMPUTED_VALUE"""),284485.0)</f>
        <v>284485</v>
      </c>
      <c r="N195" s="188">
        <f>IFERROR(__xludf.DUMMYFUNCTION("""COMPUTED_VALUE"""),307618.0)</f>
        <v>307618</v>
      </c>
      <c r="O195" s="188">
        <f>IFERROR(__xludf.DUMMYFUNCTION("""COMPUTED_VALUE"""),7.0)</f>
        <v>7</v>
      </c>
      <c r="P195" s="188">
        <f>IFERROR(__xludf.DUMMYFUNCTION("""COMPUTED_VALUE"""),2655.0)</f>
        <v>2655</v>
      </c>
      <c r="Q195" s="188">
        <f>IFERROR(__xludf.DUMMYFUNCTION("""COMPUTED_VALUE"""),5.0)</f>
        <v>5</v>
      </c>
      <c r="R195" s="188">
        <f>IFERROR(__xludf.DUMMYFUNCTION("""COMPUTED_VALUE"""),2229.0)</f>
        <v>2229</v>
      </c>
      <c r="S195" s="188">
        <f>IFERROR(__xludf.DUMMYFUNCTION("""COMPUTED_VALUE"""),2.0)</f>
        <v>2</v>
      </c>
      <c r="T195" s="188">
        <f>IFERROR(__xludf.DUMMYFUNCTION("""COMPUTED_VALUE"""),341.0)</f>
        <v>341</v>
      </c>
      <c r="U195" s="188">
        <f>IFERROR(__xludf.DUMMYFUNCTION("""COMPUTED_VALUE"""),85.0)</f>
        <v>85</v>
      </c>
      <c r="V195" s="188">
        <f>IFERROR(__xludf.DUMMYFUNCTION("""COMPUTED_VALUE"""),85.0)</f>
        <v>85</v>
      </c>
      <c r="W195" s="188">
        <f>IFERROR(__xludf.DUMMYFUNCTION("""COMPUTED_VALUE"""),9.0)</f>
        <v>9</v>
      </c>
      <c r="X195" s="188">
        <f>IFERROR(__xludf.DUMMYFUNCTION("""COMPUTED_VALUE"""),5.0)</f>
        <v>5</v>
      </c>
      <c r="Y195" s="188">
        <f>IFERROR(__xludf.DUMMYFUNCTION("""COMPUTED_VALUE"""),3.0)</f>
        <v>3</v>
      </c>
      <c r="Z195" s="188">
        <f>IFERROR(__xludf.DUMMYFUNCTION("""COMPUTED_VALUE"""),1078.0)</f>
        <v>1078</v>
      </c>
    </row>
    <row r="196">
      <c r="A196" s="187">
        <f>IFERROR(__xludf.DUMMYFUNCTION("""COMPUTED_VALUE"""),44087.0)</f>
        <v>44087</v>
      </c>
      <c r="B196" s="188">
        <f>IFERROR(__xludf.DUMMYFUNCTION("""COMPUTED_VALUE"""),58.0)</f>
        <v>58</v>
      </c>
      <c r="C196" s="188">
        <f>IFERROR(__xludf.DUMMYFUNCTION("""COMPUTED_VALUE"""),98.0)</f>
        <v>98</v>
      </c>
      <c r="D196" s="188">
        <f>IFERROR(__xludf.DUMMYFUNCTION("""COMPUTED_VALUE"""),32965.0)</f>
        <v>32965</v>
      </c>
      <c r="E196" s="188">
        <f>IFERROR(__xludf.DUMMYFUNCTION("""COMPUTED_VALUE"""),2853.0)</f>
        <v>2853</v>
      </c>
      <c r="F196" s="149">
        <f>IFERROR(__xludf.DUMMYFUNCTION("""COMPUTED_VALUE"""),610646.0)</f>
        <v>610646</v>
      </c>
      <c r="G196" s="149">
        <f>IFERROR(__xludf.DUMMYFUNCTION("""COMPUTED_VALUE"""),2911.0)</f>
        <v>2911</v>
      </c>
      <c r="H196" s="149">
        <f>IFERROR(__xludf.DUMMYFUNCTION("""COMPUTED_VALUE"""),643611.0)</f>
        <v>643611</v>
      </c>
      <c r="I196" s="188">
        <f>IFERROR(__xludf.DUMMYFUNCTION("""COMPUTED_VALUE"""),54.0)</f>
        <v>54</v>
      </c>
      <c r="J196" s="188">
        <f>IFERROR(__xludf.DUMMYFUNCTION("""COMPUTED_VALUE"""),84.0)</f>
        <v>84</v>
      </c>
      <c r="K196" s="188">
        <f>IFERROR(__xludf.DUMMYFUNCTION("""COMPUTED_VALUE"""),23187.0)</f>
        <v>23187</v>
      </c>
      <c r="L196" s="188">
        <f>IFERROR(__xludf.DUMMYFUNCTION("""COMPUTED_VALUE"""),796.0)</f>
        <v>796</v>
      </c>
      <c r="M196" s="188">
        <f>IFERROR(__xludf.DUMMYFUNCTION("""COMPUTED_VALUE"""),285281.0)</f>
        <v>285281</v>
      </c>
      <c r="N196" s="188">
        <f>IFERROR(__xludf.DUMMYFUNCTION("""COMPUTED_VALUE"""),308468.0)</f>
        <v>308468</v>
      </c>
      <c r="O196" s="188">
        <f>IFERROR(__xludf.DUMMYFUNCTION("""COMPUTED_VALUE"""),4.0)</f>
        <v>4</v>
      </c>
      <c r="P196" s="188">
        <f>IFERROR(__xludf.DUMMYFUNCTION("""COMPUTED_VALUE"""),2659.0)</f>
        <v>2659</v>
      </c>
      <c r="Q196" s="188">
        <f>IFERROR(__xludf.DUMMYFUNCTION("""COMPUTED_VALUE"""),3.0)</f>
        <v>3</v>
      </c>
      <c r="R196" s="188">
        <f>IFERROR(__xludf.DUMMYFUNCTION("""COMPUTED_VALUE"""),2232.0)</f>
        <v>2232</v>
      </c>
      <c r="S196" s="188">
        <f>IFERROR(__xludf.DUMMYFUNCTION("""COMPUTED_VALUE"""),0.0)</f>
        <v>0</v>
      </c>
      <c r="T196" s="188">
        <f>IFERROR(__xludf.DUMMYFUNCTION("""COMPUTED_VALUE"""),341.0)</f>
        <v>341</v>
      </c>
      <c r="U196" s="188">
        <f>IFERROR(__xludf.DUMMYFUNCTION("""COMPUTED_VALUE"""),86.0)</f>
        <v>86</v>
      </c>
      <c r="V196" s="188">
        <f>IFERROR(__xludf.DUMMYFUNCTION("""COMPUTED_VALUE"""),85.0)</f>
        <v>85</v>
      </c>
      <c r="W196" s="188">
        <f>IFERROR(__xludf.DUMMYFUNCTION("""COMPUTED_VALUE"""),9.0)</f>
        <v>9</v>
      </c>
      <c r="X196" s="188">
        <f>IFERROR(__xludf.DUMMYFUNCTION("""COMPUTED_VALUE"""),5.0)</f>
        <v>5</v>
      </c>
      <c r="Y196" s="188">
        <f>IFERROR(__xludf.DUMMYFUNCTION("""COMPUTED_VALUE"""),0.0)</f>
        <v>0</v>
      </c>
      <c r="Z196" s="188">
        <f>IFERROR(__xludf.DUMMYFUNCTION("""COMPUTED_VALUE"""),1078.0)</f>
        <v>1078</v>
      </c>
    </row>
    <row r="197">
      <c r="A197" s="187">
        <f>IFERROR(__xludf.DUMMYFUNCTION("""COMPUTED_VALUE"""),44088.0)</f>
        <v>44088</v>
      </c>
      <c r="B197" s="188">
        <f>IFERROR(__xludf.DUMMYFUNCTION("""COMPUTED_VALUE"""),102.0)</f>
        <v>102</v>
      </c>
      <c r="C197" s="188">
        <f>IFERROR(__xludf.DUMMYFUNCTION("""COMPUTED_VALUE"""),90.0)</f>
        <v>90</v>
      </c>
      <c r="D197" s="188">
        <f>IFERROR(__xludf.DUMMYFUNCTION("""COMPUTED_VALUE"""),33067.0)</f>
        <v>33067</v>
      </c>
      <c r="E197" s="188">
        <f>IFERROR(__xludf.DUMMYFUNCTION("""COMPUTED_VALUE"""),6405.0)</f>
        <v>6405</v>
      </c>
      <c r="F197" s="149">
        <f>IFERROR(__xludf.DUMMYFUNCTION("""COMPUTED_VALUE"""),617051.0)</f>
        <v>617051</v>
      </c>
      <c r="G197" s="149">
        <f>IFERROR(__xludf.DUMMYFUNCTION("""COMPUTED_VALUE"""),6507.0)</f>
        <v>6507</v>
      </c>
      <c r="H197" s="149">
        <f>IFERROR(__xludf.DUMMYFUNCTION("""COMPUTED_VALUE"""),650118.0)</f>
        <v>650118</v>
      </c>
      <c r="I197" s="188">
        <f>IFERROR(__xludf.DUMMYFUNCTION("""COMPUTED_VALUE"""),91.0)</f>
        <v>91</v>
      </c>
      <c r="J197" s="188">
        <f>IFERROR(__xludf.DUMMYFUNCTION("""COMPUTED_VALUE"""),82.0)</f>
        <v>82</v>
      </c>
      <c r="K197" s="188">
        <f>IFERROR(__xludf.DUMMYFUNCTION("""COMPUTED_VALUE"""),23278.0)</f>
        <v>23278</v>
      </c>
      <c r="L197" s="188">
        <f>IFERROR(__xludf.DUMMYFUNCTION("""COMPUTED_VALUE"""),1587.0)</f>
        <v>1587</v>
      </c>
      <c r="M197" s="188">
        <f>IFERROR(__xludf.DUMMYFUNCTION("""COMPUTED_VALUE"""),286868.0)</f>
        <v>286868</v>
      </c>
      <c r="N197" s="188">
        <f>IFERROR(__xludf.DUMMYFUNCTION("""COMPUTED_VALUE"""),310146.0)</f>
        <v>310146</v>
      </c>
      <c r="O197" s="188">
        <f>IFERROR(__xludf.DUMMYFUNCTION("""COMPUTED_VALUE"""),5.0)</f>
        <v>5</v>
      </c>
      <c r="P197" s="188">
        <f>IFERROR(__xludf.DUMMYFUNCTION("""COMPUTED_VALUE"""),2664.0)</f>
        <v>2664</v>
      </c>
      <c r="Q197" s="188">
        <f>IFERROR(__xludf.DUMMYFUNCTION("""COMPUTED_VALUE"""),3.0)</f>
        <v>3</v>
      </c>
      <c r="R197" s="188">
        <f>IFERROR(__xludf.DUMMYFUNCTION("""COMPUTED_VALUE"""),2235.0)</f>
        <v>2235</v>
      </c>
      <c r="S197" s="188">
        <f>IFERROR(__xludf.DUMMYFUNCTION("""COMPUTED_VALUE"""),2.0)</f>
        <v>2</v>
      </c>
      <c r="T197" s="188">
        <f>IFERROR(__xludf.DUMMYFUNCTION("""COMPUTED_VALUE"""),343.0)</f>
        <v>343</v>
      </c>
      <c r="U197" s="188">
        <f>IFERROR(__xludf.DUMMYFUNCTION("""COMPUTED_VALUE"""),86.0)</f>
        <v>86</v>
      </c>
      <c r="V197" s="188">
        <f>IFERROR(__xludf.DUMMYFUNCTION("""COMPUTED_VALUE"""),86.0)</f>
        <v>86</v>
      </c>
      <c r="W197" s="188">
        <f>IFERROR(__xludf.DUMMYFUNCTION("""COMPUTED_VALUE"""),9.0)</f>
        <v>9</v>
      </c>
      <c r="X197" s="188">
        <f>IFERROR(__xludf.DUMMYFUNCTION("""COMPUTED_VALUE"""),5.0)</f>
        <v>5</v>
      </c>
      <c r="Y197" s="188">
        <f>IFERROR(__xludf.DUMMYFUNCTION("""COMPUTED_VALUE"""),1.0)</f>
        <v>1</v>
      </c>
      <c r="Z197" s="188">
        <f>IFERROR(__xludf.DUMMYFUNCTION("""COMPUTED_VALUE"""),1079.0)</f>
        <v>1079</v>
      </c>
    </row>
    <row r="198">
      <c r="A198" s="187">
        <f>IFERROR(__xludf.DUMMYFUNCTION("""COMPUTED_VALUE"""),44089.0)</f>
        <v>44089</v>
      </c>
      <c r="B198" s="188">
        <f>IFERROR(__xludf.DUMMYFUNCTION("""COMPUTED_VALUE"""),138.0)</f>
        <v>138</v>
      </c>
      <c r="C198" s="188">
        <f>IFERROR(__xludf.DUMMYFUNCTION("""COMPUTED_VALUE"""),99.0)</f>
        <v>99</v>
      </c>
      <c r="D198" s="188">
        <f>IFERROR(__xludf.DUMMYFUNCTION("""COMPUTED_VALUE"""),33205.0)</f>
        <v>33205</v>
      </c>
      <c r="E198" s="188">
        <f>IFERROR(__xludf.DUMMYFUNCTION("""COMPUTED_VALUE"""),7509.0)</f>
        <v>7509</v>
      </c>
      <c r="F198" s="149">
        <f>IFERROR(__xludf.DUMMYFUNCTION("""COMPUTED_VALUE"""),624560.0)</f>
        <v>624560</v>
      </c>
      <c r="G198" s="149">
        <f>IFERROR(__xludf.DUMMYFUNCTION("""COMPUTED_VALUE"""),7647.0)</f>
        <v>7647</v>
      </c>
      <c r="H198" s="149">
        <f>IFERROR(__xludf.DUMMYFUNCTION("""COMPUTED_VALUE"""),657765.0)</f>
        <v>657765</v>
      </c>
      <c r="I198" s="188">
        <f>IFERROR(__xludf.DUMMYFUNCTION("""COMPUTED_VALUE"""),109.0)</f>
        <v>109</v>
      </c>
      <c r="J198" s="188">
        <f>IFERROR(__xludf.DUMMYFUNCTION("""COMPUTED_VALUE"""),85.0)</f>
        <v>85</v>
      </c>
      <c r="K198" s="188">
        <f>IFERROR(__xludf.DUMMYFUNCTION("""COMPUTED_VALUE"""),23387.0)</f>
        <v>23387</v>
      </c>
      <c r="L198" s="188">
        <f>IFERROR(__xludf.DUMMYFUNCTION("""COMPUTED_VALUE"""),1501.0)</f>
        <v>1501</v>
      </c>
      <c r="M198" s="188">
        <f>IFERROR(__xludf.DUMMYFUNCTION("""COMPUTED_VALUE"""),288369.0)</f>
        <v>288369</v>
      </c>
      <c r="N198" s="188">
        <f>IFERROR(__xludf.DUMMYFUNCTION("""COMPUTED_VALUE"""),311756.0)</f>
        <v>311756</v>
      </c>
      <c r="O198" s="188">
        <f>IFERROR(__xludf.DUMMYFUNCTION("""COMPUTED_VALUE"""),4.0)</f>
        <v>4</v>
      </c>
      <c r="P198" s="188">
        <f>IFERROR(__xludf.DUMMYFUNCTION("""COMPUTED_VALUE"""),2668.0)</f>
        <v>2668</v>
      </c>
      <c r="Q198" s="188">
        <f>IFERROR(__xludf.DUMMYFUNCTION("""COMPUTED_VALUE"""),1.0)</f>
        <v>1</v>
      </c>
      <c r="R198" s="188">
        <f>IFERROR(__xludf.DUMMYFUNCTION("""COMPUTED_VALUE"""),2236.0)</f>
        <v>2236</v>
      </c>
      <c r="S198" s="188">
        <f>IFERROR(__xludf.DUMMYFUNCTION("""COMPUTED_VALUE"""),1.0)</f>
        <v>1</v>
      </c>
      <c r="T198" s="188">
        <f>IFERROR(__xludf.DUMMYFUNCTION("""COMPUTED_VALUE"""),344.0)</f>
        <v>344</v>
      </c>
      <c r="U198" s="188">
        <f>IFERROR(__xludf.DUMMYFUNCTION("""COMPUTED_VALUE"""),88.0)</f>
        <v>88</v>
      </c>
      <c r="V198" s="188">
        <f>IFERROR(__xludf.DUMMYFUNCTION("""COMPUTED_VALUE"""),87.0)</f>
        <v>87</v>
      </c>
      <c r="W198" s="188">
        <f>IFERROR(__xludf.DUMMYFUNCTION("""COMPUTED_VALUE"""),9.0)</f>
        <v>9</v>
      </c>
      <c r="X198" s="188">
        <f>IFERROR(__xludf.DUMMYFUNCTION("""COMPUTED_VALUE"""),5.0)</f>
        <v>5</v>
      </c>
      <c r="Y198" s="188">
        <f>IFERROR(__xludf.DUMMYFUNCTION("""COMPUTED_VALUE"""),2.0)</f>
        <v>2</v>
      </c>
      <c r="Z198" s="188">
        <f>IFERROR(__xludf.DUMMYFUNCTION("""COMPUTED_VALUE"""),1081.0)</f>
        <v>1081</v>
      </c>
    </row>
    <row r="199">
      <c r="A199" s="187">
        <f>IFERROR(__xludf.DUMMYFUNCTION("""COMPUTED_VALUE"""),44090.0)</f>
        <v>44090</v>
      </c>
      <c r="B199" s="188">
        <f>IFERROR(__xludf.DUMMYFUNCTION("""COMPUTED_VALUE"""),130.0)</f>
        <v>130</v>
      </c>
      <c r="C199" s="188">
        <f>IFERROR(__xludf.DUMMYFUNCTION("""COMPUTED_VALUE"""),123.0)</f>
        <v>123</v>
      </c>
      <c r="D199" s="188">
        <f>IFERROR(__xludf.DUMMYFUNCTION("""COMPUTED_VALUE"""),33335.0)</f>
        <v>33335</v>
      </c>
      <c r="E199" s="188">
        <f>IFERROR(__xludf.DUMMYFUNCTION("""COMPUTED_VALUE"""),8031.0)</f>
        <v>8031</v>
      </c>
      <c r="F199" s="149">
        <f>IFERROR(__xludf.DUMMYFUNCTION("""COMPUTED_VALUE"""),632591.0)</f>
        <v>632591</v>
      </c>
      <c r="G199" s="149">
        <f>IFERROR(__xludf.DUMMYFUNCTION("""COMPUTED_VALUE"""),8161.0)</f>
        <v>8161</v>
      </c>
      <c r="H199" s="149">
        <f>IFERROR(__xludf.DUMMYFUNCTION("""COMPUTED_VALUE"""),665926.0)</f>
        <v>665926</v>
      </c>
      <c r="I199" s="188">
        <f>IFERROR(__xludf.DUMMYFUNCTION("""COMPUTED_VALUE"""),101.0)</f>
        <v>101</v>
      </c>
      <c r="J199" s="188">
        <f>IFERROR(__xludf.DUMMYFUNCTION("""COMPUTED_VALUE"""),100.0)</f>
        <v>100</v>
      </c>
      <c r="K199" s="188">
        <f>IFERROR(__xludf.DUMMYFUNCTION("""COMPUTED_VALUE"""),23488.0)</f>
        <v>23488</v>
      </c>
      <c r="L199" s="188">
        <f>IFERROR(__xludf.DUMMYFUNCTION("""COMPUTED_VALUE"""),1418.0)</f>
        <v>1418</v>
      </c>
      <c r="M199" s="188">
        <f>IFERROR(__xludf.DUMMYFUNCTION("""COMPUTED_VALUE"""),289787.0)</f>
        <v>289787</v>
      </c>
      <c r="N199" s="188">
        <f>IFERROR(__xludf.DUMMYFUNCTION("""COMPUTED_VALUE"""),313275.0)</f>
        <v>313275</v>
      </c>
      <c r="O199" s="188"/>
      <c r="P199" s="188"/>
      <c r="Q199" s="188"/>
      <c r="R199" s="188"/>
      <c r="S199" s="188"/>
      <c r="T199" s="188"/>
      <c r="U199" s="188"/>
      <c r="V199" s="188"/>
      <c r="W199" s="188"/>
      <c r="X199" s="188"/>
      <c r="Y199" s="188">
        <f>IFERROR(__xludf.DUMMYFUNCTION("""COMPUTED_VALUE"""),4.0)</f>
        <v>4</v>
      </c>
      <c r="Z199" s="188">
        <f>IFERROR(__xludf.DUMMYFUNCTION("""COMPUTED_VALUE"""),1085.0)</f>
        <v>1085</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9" t="s">
        <v>401</v>
      </c>
      <c r="B1" s="190" t="s">
        <v>209</v>
      </c>
      <c r="C1" s="147" t="s">
        <v>75</v>
      </c>
    </row>
    <row r="2" ht="14.25" customHeight="1">
      <c r="A2" s="191" t="str">
        <f>'Cases by ZCTA'!A2</f>
        <v>02802</v>
      </c>
      <c r="B2" s="192">
        <f>'Cases by ZCTA'!B2</f>
        <v>9</v>
      </c>
      <c r="C2" s="192">
        <f>'Cases by ZCTA'!C2</f>
        <v>1341</v>
      </c>
    </row>
    <row r="3" ht="14.25" customHeight="1">
      <c r="A3" s="191" t="str">
        <f>'Cases by ZCTA'!A3</f>
        <v>02804</v>
      </c>
      <c r="B3" s="192">
        <f>'Cases by ZCTA'!B3</f>
        <v>0</v>
      </c>
      <c r="C3" s="192">
        <f>'Cases by ZCTA'!C3</f>
        <v>0</v>
      </c>
    </row>
    <row r="4" ht="14.25" customHeight="1">
      <c r="A4" s="191" t="str">
        <f>'Cases by ZCTA'!A4</f>
        <v>02806</v>
      </c>
      <c r="B4" s="192">
        <f>'Cases by ZCTA'!B4</f>
        <v>79</v>
      </c>
      <c r="C4" s="192">
        <f>'Cases by ZCTA'!C4</f>
        <v>488</v>
      </c>
    </row>
    <row r="5" ht="14.25" customHeight="1">
      <c r="A5" s="191" t="str">
        <f>'Cases by ZCTA'!A5</f>
        <v>02807</v>
      </c>
      <c r="B5" s="192">
        <f>'Cases by ZCTA'!B5</f>
        <v>6</v>
      </c>
      <c r="C5" s="192">
        <f>'Cases by ZCTA'!C5</f>
        <v>726</v>
      </c>
    </row>
    <row r="6" ht="14.25" customHeight="1">
      <c r="A6" s="191" t="str">
        <f>'Cases by ZCTA'!A6</f>
        <v>02808</v>
      </c>
      <c r="B6" s="192">
        <f>'Cases by ZCTA'!B6</f>
        <v>16</v>
      </c>
      <c r="C6" s="192">
        <f>'Cases by ZCTA'!C6</f>
        <v>624</v>
      </c>
    </row>
    <row r="7" ht="14.25" customHeight="1">
      <c r="A7" s="191" t="str">
        <f>'Cases by ZCTA'!A7</f>
        <v>02809</v>
      </c>
      <c r="B7" s="192">
        <f>'Cases by ZCTA'!B7</f>
        <v>202</v>
      </c>
      <c r="C7" s="192">
        <f>'Cases by ZCTA'!C7</f>
        <v>908</v>
      </c>
    </row>
    <row r="8" ht="14.25" customHeight="1">
      <c r="A8" s="191" t="str">
        <f>'Cases by ZCTA'!A8</f>
        <v>02812</v>
      </c>
      <c r="B8" s="192">
        <f>'Cases by ZCTA'!B8</f>
        <v>10</v>
      </c>
      <c r="C8" s="192">
        <f>'Cases by ZCTA'!C8</f>
        <v>828</v>
      </c>
    </row>
    <row r="9" ht="14.25" customHeight="1">
      <c r="A9" s="191" t="str">
        <f>'Cases by ZCTA'!A9</f>
        <v>02813</v>
      </c>
      <c r="B9" s="192">
        <f>'Cases by ZCTA'!B9</f>
        <v>36</v>
      </c>
      <c r="C9" s="192">
        <f>'Cases by ZCTA'!C9</f>
        <v>463</v>
      </c>
    </row>
    <row r="10" ht="14.25" customHeight="1">
      <c r="A10" s="191" t="str">
        <f>'Cases by ZCTA'!A10</f>
        <v>02814</v>
      </c>
      <c r="B10" s="192">
        <f>'Cases by ZCTA'!B10</f>
        <v>55</v>
      </c>
      <c r="C10" s="192">
        <f>'Cases by ZCTA'!C10</f>
        <v>717</v>
      </c>
    </row>
    <row r="11" ht="14.25" customHeight="1">
      <c r="A11" s="191" t="str">
        <f>'Cases by ZCTA'!A11</f>
        <v>02815</v>
      </c>
      <c r="B11" s="192">
        <f>'Cases by ZCTA'!B11</f>
        <v>0</v>
      </c>
      <c r="C11" s="192">
        <f>'Cases by ZCTA'!C11</f>
        <v>0</v>
      </c>
    </row>
    <row r="12" ht="14.25" customHeight="1">
      <c r="A12" s="191" t="str">
        <f>'Cases by ZCTA'!A12</f>
        <v>02816</v>
      </c>
      <c r="B12" s="192">
        <f>'Cases by ZCTA'!B12</f>
        <v>278</v>
      </c>
      <c r="C12" s="192">
        <f>'Cases by ZCTA'!C12</f>
        <v>847</v>
      </c>
    </row>
    <row r="13" ht="14.25" customHeight="1">
      <c r="A13" s="191" t="str">
        <f>'Cases by ZCTA'!A13</f>
        <v>02817</v>
      </c>
      <c r="B13" s="192">
        <f>'Cases by ZCTA'!B13</f>
        <v>31</v>
      </c>
      <c r="C13" s="192">
        <f>'Cases by ZCTA'!C13</f>
        <v>514</v>
      </c>
    </row>
    <row r="14" ht="14.25" customHeight="1">
      <c r="A14" s="191" t="str">
        <f>'Cases by ZCTA'!A14</f>
        <v>02818</v>
      </c>
      <c r="B14" s="192">
        <f>'Cases by ZCTA'!B14</f>
        <v>140</v>
      </c>
      <c r="C14" s="192">
        <f>'Cases by ZCTA'!C14</f>
        <v>770</v>
      </c>
    </row>
    <row r="15" ht="14.25" customHeight="1">
      <c r="A15" s="191" t="str">
        <f>'Cases by ZCTA'!A15</f>
        <v>02822</v>
      </c>
      <c r="B15" s="192">
        <f>'Cases by ZCTA'!B15</f>
        <v>47</v>
      </c>
      <c r="C15" s="192">
        <f>'Cases by ZCTA'!C15</f>
        <v>714</v>
      </c>
    </row>
    <row r="16" ht="14.25" customHeight="1">
      <c r="A16" s="191" t="str">
        <f>'Cases by ZCTA'!A16</f>
        <v>02825</v>
      </c>
      <c r="B16" s="192">
        <f>'Cases by ZCTA'!B16</f>
        <v>35</v>
      </c>
      <c r="C16" s="192">
        <f>'Cases by ZCTA'!C16</f>
        <v>636</v>
      </c>
    </row>
    <row r="17" ht="14.25" customHeight="1">
      <c r="A17" s="191" t="str">
        <f>'Cases by ZCTA'!A17</f>
        <v>02826</v>
      </c>
      <c r="B17" s="192">
        <f>'Cases by ZCTA'!B17</f>
        <v>0</v>
      </c>
      <c r="C17" s="192">
        <f>'Cases by ZCTA'!C17</f>
        <v>0</v>
      </c>
    </row>
    <row r="18" ht="14.25" customHeight="1">
      <c r="A18" s="191" t="str">
        <f>'Cases by ZCTA'!A18</f>
        <v>02827</v>
      </c>
      <c r="B18" s="192">
        <f>'Cases by ZCTA'!B18</f>
        <v>19</v>
      </c>
      <c r="C18" s="192">
        <f>'Cases by ZCTA'!C18</f>
        <v>922</v>
      </c>
    </row>
    <row r="19" ht="14.25" customHeight="1">
      <c r="A19" s="191" t="str">
        <f>'Cases by ZCTA'!A19</f>
        <v>02828</v>
      </c>
      <c r="B19" s="192">
        <f>'Cases by ZCTA'!B19</f>
        <v>228</v>
      </c>
      <c r="C19" s="192">
        <f>'Cases by ZCTA'!C19</f>
        <v>2900</v>
      </c>
    </row>
    <row r="20" ht="14.25" customHeight="1">
      <c r="A20" s="191" t="str">
        <f>'Cases by ZCTA'!A20</f>
        <v>02830</v>
      </c>
      <c r="B20" s="192">
        <f>'Cases by ZCTA'!B20</f>
        <v>32</v>
      </c>
      <c r="C20" s="192">
        <f>'Cases by ZCTA'!C20</f>
        <v>539</v>
      </c>
    </row>
    <row r="21" ht="14.25" customHeight="1">
      <c r="A21" s="191" t="str">
        <f>'Cases by ZCTA'!A21</f>
        <v>02831</v>
      </c>
      <c r="B21" s="192">
        <f>'Cases by ZCTA'!B21</f>
        <v>39</v>
      </c>
      <c r="C21" s="192">
        <f>'Cases by ZCTA'!C21</f>
        <v>1114</v>
      </c>
    </row>
    <row r="22" ht="14.25" customHeight="1">
      <c r="A22" s="191" t="str">
        <f>'Cases by ZCTA'!A22</f>
        <v>02832</v>
      </c>
      <c r="B22" s="192">
        <f>'Cases by ZCTA'!B22</f>
        <v>18</v>
      </c>
      <c r="C22" s="192">
        <f>'Cases by ZCTA'!C22</f>
        <v>417</v>
      </c>
    </row>
    <row r="23" ht="14.25" customHeight="1">
      <c r="A23" s="191" t="str">
        <f>'Cases by ZCTA'!A23</f>
        <v>02833</v>
      </c>
      <c r="B23" s="192">
        <f>'Cases by ZCTA'!B23</f>
        <v>0</v>
      </c>
      <c r="C23" s="192">
        <f>'Cases by ZCTA'!C23</f>
        <v>0</v>
      </c>
    </row>
    <row r="24" ht="14.25" customHeight="1">
      <c r="A24" s="191" t="str">
        <f>'Cases by ZCTA'!A24</f>
        <v>02835</v>
      </c>
      <c r="B24" s="192">
        <f>'Cases by ZCTA'!B24</f>
        <v>28</v>
      </c>
      <c r="C24" s="192">
        <f>'Cases by ZCTA'!C24</f>
        <v>509</v>
      </c>
    </row>
    <row r="25" ht="14.25" customHeight="1">
      <c r="A25" s="191" t="str">
        <f>'Cases by ZCTA'!A25</f>
        <v>02836</v>
      </c>
      <c r="B25" s="192">
        <f>'Cases by ZCTA'!B25</f>
        <v>0</v>
      </c>
      <c r="C25" s="192">
        <f>'Cases by ZCTA'!C25</f>
        <v>0</v>
      </c>
    </row>
    <row r="26" ht="14.25" customHeight="1">
      <c r="A26" s="191" t="str">
        <f>'Cases by ZCTA'!A26</f>
        <v>02837</v>
      </c>
      <c r="B26" s="192">
        <f>'Cases by ZCTA'!B26</f>
        <v>14</v>
      </c>
      <c r="C26" s="192">
        <f>'Cases by ZCTA'!C26</f>
        <v>399</v>
      </c>
    </row>
    <row r="27" ht="14.25" customHeight="1">
      <c r="A27" s="191" t="str">
        <f>'Cases by ZCTA'!A27</f>
        <v>02838</v>
      </c>
      <c r="B27" s="192">
        <f>'Cases by ZCTA'!B27</f>
        <v>126</v>
      </c>
      <c r="C27" s="192">
        <f>'Cases by ZCTA'!C27</f>
        <v>3581</v>
      </c>
    </row>
    <row r="28" ht="14.25" customHeight="1">
      <c r="A28" s="191" t="str">
        <f>'Cases by ZCTA'!A28</f>
        <v>02839</v>
      </c>
      <c r="B28" s="192">
        <f>'Cases by ZCTA'!B28</f>
        <v>14</v>
      </c>
      <c r="C28" s="192">
        <f>'Cases by ZCTA'!C28</f>
        <v>679</v>
      </c>
    </row>
    <row r="29" ht="14.25" customHeight="1">
      <c r="A29" s="191" t="str">
        <f>'Cases by ZCTA'!A29</f>
        <v>02840</v>
      </c>
      <c r="B29" s="192">
        <f>'Cases by ZCTA'!B29</f>
        <v>152</v>
      </c>
      <c r="C29" s="192">
        <f>'Cases by ZCTA'!C29</f>
        <v>655</v>
      </c>
    </row>
    <row r="30" ht="14.25" customHeight="1">
      <c r="A30" s="191" t="str">
        <f>'Cases by ZCTA'!A30</f>
        <v>02841</v>
      </c>
      <c r="B30" s="192">
        <f>'Cases by ZCTA'!B30</f>
        <v>10</v>
      </c>
      <c r="C30" s="192">
        <f>'Cases by ZCTA'!C30</f>
        <v>613</v>
      </c>
    </row>
    <row r="31" ht="14.25" customHeight="1">
      <c r="A31" s="191" t="str">
        <f>'Cases by ZCTA'!A31</f>
        <v>02842</v>
      </c>
      <c r="B31" s="192">
        <f>'Cases by ZCTA'!B31</f>
        <v>90</v>
      </c>
      <c r="C31" s="192">
        <f>'Cases by ZCTA'!C31</f>
        <v>563</v>
      </c>
    </row>
    <row r="32" ht="14.25" customHeight="1">
      <c r="A32" s="191" t="str">
        <f>'Cases by ZCTA'!A32</f>
        <v>02852</v>
      </c>
      <c r="B32" s="192">
        <f>'Cases by ZCTA'!B32</f>
        <v>284</v>
      </c>
      <c r="C32" s="192">
        <f>'Cases by ZCTA'!C32</f>
        <v>1289</v>
      </c>
    </row>
    <row r="33" ht="14.25" customHeight="1">
      <c r="A33" s="191" t="str">
        <f>'Cases by ZCTA'!A33</f>
        <v>02857</v>
      </c>
      <c r="B33" s="192">
        <f>'Cases by ZCTA'!B33</f>
        <v>54</v>
      </c>
      <c r="C33" s="192">
        <f>'Cases by ZCTA'!C33</f>
        <v>618</v>
      </c>
    </row>
    <row r="34" ht="14.25" customHeight="1">
      <c r="A34" s="191" t="str">
        <f>'Cases by ZCTA'!A34</f>
        <v>02858</v>
      </c>
      <c r="B34" s="192">
        <f>'Cases by ZCTA'!B34</f>
        <v>0</v>
      </c>
      <c r="C34" s="192">
        <f>'Cases by ZCTA'!C34</f>
        <v>0</v>
      </c>
    </row>
    <row r="35" ht="14.25" customHeight="1">
      <c r="A35" s="191" t="str">
        <f>'Cases by ZCTA'!A35</f>
        <v>02859</v>
      </c>
      <c r="B35" s="192">
        <f>'Cases by ZCTA'!B35</f>
        <v>91</v>
      </c>
      <c r="C35" s="192">
        <f>'Cases by ZCTA'!C35</f>
        <v>1259</v>
      </c>
    </row>
    <row r="36" ht="14.25" customHeight="1">
      <c r="A36" s="191" t="str">
        <f>'Cases by ZCTA'!A36</f>
        <v>02860</v>
      </c>
      <c r="B36" s="192">
        <f>'Cases by ZCTA'!B36</f>
        <v>1715</v>
      </c>
      <c r="C36" s="192">
        <f>'Cases by ZCTA'!C36</f>
        <v>3639</v>
      </c>
    </row>
    <row r="37" ht="14.25" customHeight="1">
      <c r="A37" s="191" t="str">
        <f>'Cases by ZCTA'!A37</f>
        <v>02861</v>
      </c>
      <c r="B37" s="192">
        <f>'Cases by ZCTA'!B37</f>
        <v>558</v>
      </c>
      <c r="C37" s="192">
        <f>'Cases by ZCTA'!C37</f>
        <v>2228</v>
      </c>
    </row>
    <row r="38" ht="14.25" customHeight="1">
      <c r="A38" s="191" t="str">
        <f>'Cases by ZCTA'!A38</f>
        <v>02863</v>
      </c>
      <c r="B38" s="192">
        <f>'Cases by ZCTA'!B38</f>
        <v>1220</v>
      </c>
      <c r="C38" s="192">
        <f>'Cases by ZCTA'!C38</f>
        <v>6306</v>
      </c>
    </row>
    <row r="39" ht="14.25" customHeight="1">
      <c r="A39" s="191" t="str">
        <f>'Cases by ZCTA'!A39</f>
        <v>02864</v>
      </c>
      <c r="B39" s="192">
        <f>'Cases by ZCTA'!B39</f>
        <v>461</v>
      </c>
      <c r="C39" s="192">
        <f>'Cases by ZCTA'!C39</f>
        <v>1331</v>
      </c>
    </row>
    <row r="40" ht="14.25" customHeight="1">
      <c r="A40" s="191" t="str">
        <f>'Cases by ZCTA'!A40</f>
        <v>02865</v>
      </c>
      <c r="B40" s="192">
        <f>'Cases by ZCTA'!B40</f>
        <v>213</v>
      </c>
      <c r="C40" s="192">
        <f>'Cases by ZCTA'!C40</f>
        <v>1221</v>
      </c>
    </row>
    <row r="41" ht="14.25" customHeight="1">
      <c r="A41" s="191" t="str">
        <f>'Cases by ZCTA'!A41</f>
        <v>02871</v>
      </c>
      <c r="B41" s="192">
        <f>'Cases by ZCTA'!B41</f>
        <v>78</v>
      </c>
      <c r="C41" s="192">
        <f>'Cases by ZCTA'!C41</f>
        <v>455</v>
      </c>
    </row>
    <row r="42" ht="14.25" customHeight="1">
      <c r="A42" s="191" t="str">
        <f>'Cases by ZCTA'!A42</f>
        <v>02872</v>
      </c>
      <c r="B42" s="192">
        <f>'Cases by ZCTA'!B42</f>
        <v>0</v>
      </c>
      <c r="C42" s="192">
        <f>'Cases by ZCTA'!C42</f>
        <v>0</v>
      </c>
    </row>
    <row r="43" ht="14.25" customHeight="1">
      <c r="A43" s="191" t="str">
        <f>'Cases by ZCTA'!A43</f>
        <v>02873</v>
      </c>
      <c r="B43" s="192">
        <f>'Cases by ZCTA'!B43</f>
        <v>0</v>
      </c>
      <c r="C43" s="192">
        <f>'Cases by ZCTA'!C43</f>
        <v>0</v>
      </c>
    </row>
    <row r="44" ht="14.25" customHeight="1">
      <c r="A44" s="191" t="str">
        <f>'Cases by ZCTA'!A44</f>
        <v>02874</v>
      </c>
      <c r="B44" s="192">
        <f>'Cases by ZCTA'!B44</f>
        <v>44</v>
      </c>
      <c r="C44" s="192">
        <f>'Cases by ZCTA'!C44</f>
        <v>738</v>
      </c>
    </row>
    <row r="45" ht="14.25" customHeight="1">
      <c r="A45" s="191" t="str">
        <f>'Cases by ZCTA'!A45</f>
        <v>02875</v>
      </c>
      <c r="B45" s="192">
        <f>'Cases by ZCTA'!B45</f>
        <v>0</v>
      </c>
      <c r="C45" s="192">
        <f>'Cases by ZCTA'!C45</f>
        <v>0</v>
      </c>
    </row>
    <row r="46" ht="14.25" customHeight="1">
      <c r="A46" s="191" t="str">
        <f>'Cases by ZCTA'!A46</f>
        <v>02876</v>
      </c>
      <c r="B46" s="192">
        <f>'Cases by ZCTA'!B46</f>
        <v>7</v>
      </c>
      <c r="C46" s="192">
        <f>'Cases by ZCTA'!C46</f>
        <v>2405</v>
      </c>
    </row>
    <row r="47" ht="14.25" customHeight="1">
      <c r="A47" s="191" t="str">
        <f>'Cases by ZCTA'!A47</f>
        <v>02878</v>
      </c>
      <c r="B47" s="192">
        <f>'Cases by ZCTA'!B47</f>
        <v>120</v>
      </c>
      <c r="C47" s="192">
        <f>'Cases by ZCTA'!C47</f>
        <v>759</v>
      </c>
    </row>
    <row r="48" ht="14.25" customHeight="1">
      <c r="A48" s="191" t="str">
        <f>'Cases by ZCTA'!A48</f>
        <v>02879</v>
      </c>
      <c r="B48" s="192">
        <f>'Cases by ZCTA'!B48</f>
        <v>140</v>
      </c>
      <c r="C48" s="192">
        <f>'Cases by ZCTA'!C48</f>
        <v>682</v>
      </c>
    </row>
    <row r="49" ht="14.25" customHeight="1">
      <c r="A49" s="191" t="str">
        <f>'Cases by ZCTA'!A49</f>
        <v>02881</v>
      </c>
      <c r="B49" s="192">
        <f>'Cases by ZCTA'!B49</f>
        <v>12</v>
      </c>
      <c r="C49" s="192">
        <f>'Cases by ZCTA'!C49</f>
        <v>153</v>
      </c>
    </row>
    <row r="50" ht="14.25" customHeight="1">
      <c r="A50" s="191" t="str">
        <f>'Cases by ZCTA'!A50</f>
        <v>02882</v>
      </c>
      <c r="B50" s="192">
        <f>'Cases by ZCTA'!B50</f>
        <v>87</v>
      </c>
      <c r="C50" s="192">
        <f>'Cases by ZCTA'!C50</f>
        <v>624</v>
      </c>
    </row>
    <row r="51" ht="14.25" customHeight="1">
      <c r="A51" s="191" t="str">
        <f>'Cases by ZCTA'!A51</f>
        <v>02885</v>
      </c>
      <c r="B51" s="192">
        <f>'Cases by ZCTA'!B51</f>
        <v>96</v>
      </c>
      <c r="C51" s="192">
        <f>'Cases by ZCTA'!C51</f>
        <v>917</v>
      </c>
    </row>
    <row r="52" ht="14.25" customHeight="1">
      <c r="A52" s="191" t="str">
        <f>'Cases by ZCTA'!A52</f>
        <v>02886</v>
      </c>
      <c r="B52" s="192">
        <f>'Cases by ZCTA'!B52</f>
        <v>280</v>
      </c>
      <c r="C52" s="192">
        <f>'Cases by ZCTA'!C52</f>
        <v>965</v>
      </c>
    </row>
    <row r="53" ht="14.25" customHeight="1">
      <c r="A53" s="191" t="str">
        <f>'Cases by ZCTA'!A53</f>
        <v>02888</v>
      </c>
      <c r="B53" s="192">
        <f>'Cases by ZCTA'!B53</f>
        <v>205</v>
      </c>
      <c r="C53" s="192">
        <f>'Cases by ZCTA'!C53</f>
        <v>1070</v>
      </c>
    </row>
    <row r="54" ht="14.25" customHeight="1">
      <c r="A54" s="191" t="str">
        <f>'Cases by ZCTA'!A54</f>
        <v>02889</v>
      </c>
      <c r="B54" s="192">
        <f>'Cases by ZCTA'!B54</f>
        <v>391</v>
      </c>
      <c r="C54" s="192">
        <f>'Cases by ZCTA'!C54</f>
        <v>1431</v>
      </c>
    </row>
    <row r="55" ht="14.25" customHeight="1">
      <c r="A55" s="191" t="str">
        <f>'Cases by ZCTA'!A55</f>
        <v>02891</v>
      </c>
      <c r="B55" s="192">
        <f>'Cases by ZCTA'!B55</f>
        <v>81</v>
      </c>
      <c r="C55" s="192">
        <f>'Cases by ZCTA'!C55</f>
        <v>384</v>
      </c>
    </row>
    <row r="56" ht="14.25" customHeight="1">
      <c r="A56" s="191" t="str">
        <f>'Cases by ZCTA'!A56</f>
        <v>02892</v>
      </c>
      <c r="B56" s="192">
        <f>'Cases by ZCTA'!B56</f>
        <v>40</v>
      </c>
      <c r="C56" s="192">
        <f>'Cases by ZCTA'!C56</f>
        <v>771</v>
      </c>
    </row>
    <row r="57" ht="14.25" customHeight="1">
      <c r="A57" s="191" t="str">
        <f>'Cases by ZCTA'!A57</f>
        <v>02893</v>
      </c>
      <c r="B57" s="192">
        <f>'Cases by ZCTA'!B57</f>
        <v>420</v>
      </c>
      <c r="C57" s="192">
        <f>'Cases by ZCTA'!C57</f>
        <v>1441</v>
      </c>
    </row>
    <row r="58" ht="14.25" customHeight="1">
      <c r="A58" s="191" t="str">
        <f>'Cases by ZCTA'!A58</f>
        <v>02894</v>
      </c>
      <c r="B58" s="192">
        <f>'Cases by ZCTA'!B58</f>
        <v>0</v>
      </c>
      <c r="C58" s="192">
        <f>'Cases by ZCTA'!C58</f>
        <v>0</v>
      </c>
    </row>
    <row r="59" ht="14.25" customHeight="1">
      <c r="A59" s="191" t="str">
        <f>'Cases by ZCTA'!A59</f>
        <v>02895</v>
      </c>
      <c r="B59" s="192">
        <f>'Cases by ZCTA'!B59</f>
        <v>845</v>
      </c>
      <c r="C59" s="192">
        <f>'Cases by ZCTA'!C59</f>
        <v>2034</v>
      </c>
    </row>
    <row r="60" ht="14.25" customHeight="1">
      <c r="A60" s="191" t="str">
        <f>'Cases by ZCTA'!A60</f>
        <v>02896</v>
      </c>
      <c r="B60" s="192">
        <f>'Cases by ZCTA'!B60</f>
        <v>150</v>
      </c>
      <c r="C60" s="192">
        <f>'Cases by ZCTA'!C60</f>
        <v>1244</v>
      </c>
    </row>
    <row r="61" ht="14.25" customHeight="1">
      <c r="A61" s="191" t="str">
        <f>'Cases by ZCTA'!A61</f>
        <v>02898</v>
      </c>
      <c r="B61" s="192">
        <f>'Cases by ZCTA'!B61</f>
        <v>19</v>
      </c>
      <c r="C61" s="192">
        <f>'Cases by ZCTA'!C61</f>
        <v>1156</v>
      </c>
    </row>
    <row r="62" ht="14.25" customHeight="1">
      <c r="A62" s="191" t="str">
        <f>'Cases by ZCTA'!A62</f>
        <v>02903</v>
      </c>
      <c r="B62" s="192">
        <f>'Cases by ZCTA'!B62</f>
        <v>243</v>
      </c>
      <c r="C62" s="192">
        <f>'Cases by ZCTA'!C62</f>
        <v>2305</v>
      </c>
    </row>
    <row r="63" ht="14.25" customHeight="1">
      <c r="A63" s="191" t="str">
        <f>'Cases by ZCTA'!A63</f>
        <v>02904</v>
      </c>
      <c r="B63" s="192">
        <f>'Cases by ZCTA'!B63</f>
        <v>1158</v>
      </c>
      <c r="C63" s="192">
        <f>'Cases by ZCTA'!C63</f>
        <v>3794</v>
      </c>
    </row>
    <row r="64" ht="14.25" customHeight="1">
      <c r="A64" s="191" t="str">
        <f>'Cases by ZCTA'!A64</f>
        <v>02905</v>
      </c>
      <c r="B64" s="192">
        <f>'Cases by ZCTA'!B64</f>
        <v>834</v>
      </c>
      <c r="C64" s="192">
        <f>'Cases by ZCTA'!C64</f>
        <v>3272</v>
      </c>
    </row>
    <row r="65" ht="14.25" customHeight="1">
      <c r="A65" s="191" t="str">
        <f>'Cases by ZCTA'!A65</f>
        <v>02906</v>
      </c>
      <c r="B65" s="192">
        <f>'Cases by ZCTA'!B65</f>
        <v>403</v>
      </c>
      <c r="C65" s="192">
        <f>'Cases by ZCTA'!C65</f>
        <v>1429</v>
      </c>
    </row>
    <row r="66" ht="14.25" customHeight="1">
      <c r="A66" s="191" t="str">
        <f>'Cases by ZCTA'!A66</f>
        <v>02907</v>
      </c>
      <c r="B66" s="192">
        <f>'Cases by ZCTA'!B66</f>
        <v>1772</v>
      </c>
      <c r="C66" s="192">
        <f>'Cases by ZCTA'!C66</f>
        <v>5757</v>
      </c>
    </row>
    <row r="67" ht="14.25" customHeight="1">
      <c r="A67" s="191" t="str">
        <f>'Cases by ZCTA'!A67</f>
        <v>02908</v>
      </c>
      <c r="B67" s="192">
        <f>'Cases by ZCTA'!B67</f>
        <v>1780</v>
      </c>
      <c r="C67" s="192">
        <f>'Cases by ZCTA'!C67</f>
        <v>4740</v>
      </c>
    </row>
    <row r="68" ht="14.25" customHeight="1">
      <c r="A68" s="191" t="str">
        <f>'Cases by ZCTA'!A68</f>
        <v>02909</v>
      </c>
      <c r="B68" s="192">
        <f>'Cases by ZCTA'!B68</f>
        <v>2464</v>
      </c>
      <c r="C68" s="192">
        <f>'Cases by ZCTA'!C68</f>
        <v>6073</v>
      </c>
    </row>
    <row r="69" ht="14.25" customHeight="1">
      <c r="A69" s="191" t="str">
        <f>'Cases by ZCTA'!A69</f>
        <v>02910</v>
      </c>
      <c r="B69" s="192">
        <f>'Cases by ZCTA'!B69</f>
        <v>392</v>
      </c>
      <c r="C69" s="192">
        <f>'Cases by ZCTA'!C69</f>
        <v>1770</v>
      </c>
    </row>
    <row r="70" ht="14.25" customHeight="1">
      <c r="A70" s="191" t="str">
        <f>'Cases by ZCTA'!A70</f>
        <v>02911</v>
      </c>
      <c r="B70" s="192">
        <f>'Cases by ZCTA'!B70</f>
        <v>295</v>
      </c>
      <c r="C70" s="192">
        <f>'Cases by ZCTA'!C70</f>
        <v>1860</v>
      </c>
    </row>
    <row r="71" ht="14.25" customHeight="1">
      <c r="A71" s="191" t="str">
        <f>'Cases by ZCTA'!A71</f>
        <v>02912</v>
      </c>
      <c r="B71" s="192">
        <f>'Cases by ZCTA'!B71</f>
        <v>0</v>
      </c>
      <c r="C71" s="192">
        <f>'Cases by ZCTA'!C71</f>
        <v>0</v>
      </c>
    </row>
    <row r="72" ht="14.25" customHeight="1">
      <c r="A72" s="191" t="str">
        <f>'Cases by ZCTA'!A72</f>
        <v>02914</v>
      </c>
      <c r="B72" s="192">
        <f>'Cases by ZCTA'!B72</f>
        <v>531</v>
      </c>
      <c r="C72" s="192">
        <f>'Cases by ZCTA'!C72</f>
        <v>2458</v>
      </c>
    </row>
    <row r="73" ht="14.25" customHeight="1">
      <c r="A73" s="191" t="str">
        <f>'Cases by ZCTA'!A73</f>
        <v>02915</v>
      </c>
      <c r="B73" s="192">
        <f>'Cases by ZCTA'!B73</f>
        <v>261</v>
      </c>
      <c r="C73" s="192">
        <f>'Cases by ZCTA'!C73</f>
        <v>1568</v>
      </c>
    </row>
    <row r="74" ht="14.25" customHeight="1">
      <c r="A74" s="191" t="str">
        <f>'Cases by ZCTA'!A74</f>
        <v>02916</v>
      </c>
      <c r="B74" s="192">
        <f>'Cases by ZCTA'!B74</f>
        <v>97</v>
      </c>
      <c r="C74" s="192">
        <f>'Cases by ZCTA'!C74</f>
        <v>1069</v>
      </c>
    </row>
    <row r="75" ht="14.25" customHeight="1">
      <c r="A75" s="191" t="str">
        <f>'Cases by ZCTA'!A75</f>
        <v>02917</v>
      </c>
      <c r="B75" s="192">
        <f>'Cases by ZCTA'!B75</f>
        <v>131</v>
      </c>
      <c r="C75" s="192">
        <f>'Cases by ZCTA'!C75</f>
        <v>949</v>
      </c>
    </row>
    <row r="76" ht="14.25" customHeight="1">
      <c r="A76" s="191" t="str">
        <f>'Cases by ZCTA'!A76</f>
        <v>02919</v>
      </c>
      <c r="B76" s="192">
        <f>'Cases by ZCTA'!B76</f>
        <v>618</v>
      </c>
      <c r="C76" s="192">
        <f>'Cases by ZCTA'!C76</f>
        <v>2113</v>
      </c>
    </row>
    <row r="77" ht="14.25" customHeight="1">
      <c r="A77" s="191" t="str">
        <f>'Cases by ZCTA'!A77</f>
        <v>02920</v>
      </c>
      <c r="B77" s="192">
        <f>'Cases by ZCTA'!B77</f>
        <v>780</v>
      </c>
      <c r="C77" s="192">
        <f>'Cases by ZCTA'!C77</f>
        <v>2097</v>
      </c>
    </row>
    <row r="78" ht="14.25" customHeight="1">
      <c r="A78" s="191" t="str">
        <f>'Cases by ZCTA'!A78</f>
        <v>02921</v>
      </c>
      <c r="B78" s="192">
        <f>'Cases by ZCTA'!B78</f>
        <v>134</v>
      </c>
      <c r="C78" s="192">
        <f>'Cases by ZCTA'!C78</f>
        <v>1079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3" t="s">
        <v>1</v>
      </c>
      <c r="C1" s="193" t="s">
        <v>2</v>
      </c>
      <c r="D1" s="193" t="s">
        <v>3</v>
      </c>
      <c r="E1" s="193" t="s">
        <v>4</v>
      </c>
      <c r="F1" s="194" t="s">
        <v>5</v>
      </c>
      <c r="G1" s="194" t="s">
        <v>6</v>
      </c>
      <c r="H1" s="194" t="s">
        <v>7</v>
      </c>
      <c r="I1" s="195" t="s">
        <v>8</v>
      </c>
      <c r="J1" s="196" t="s">
        <v>9</v>
      </c>
      <c r="K1" s="195" t="s">
        <v>10</v>
      </c>
      <c r="L1" s="195" t="s">
        <v>11</v>
      </c>
      <c r="M1" s="195" t="s">
        <v>12</v>
      </c>
      <c r="N1" s="195" t="s">
        <v>13</v>
      </c>
      <c r="O1" s="197" t="s">
        <v>14</v>
      </c>
      <c r="P1" s="197" t="s">
        <v>15</v>
      </c>
      <c r="Q1" s="197" t="s">
        <v>16</v>
      </c>
      <c r="R1" s="197" t="s">
        <v>17</v>
      </c>
      <c r="S1" s="197" t="s">
        <v>18</v>
      </c>
      <c r="T1" s="197" t="s">
        <v>19</v>
      </c>
      <c r="U1" s="197" t="s">
        <v>20</v>
      </c>
      <c r="V1" s="197" t="s">
        <v>21</v>
      </c>
      <c r="W1" s="197" t="s">
        <v>22</v>
      </c>
      <c r="X1" s="197" t="s">
        <v>23</v>
      </c>
      <c r="Y1" s="198" t="s">
        <v>24</v>
      </c>
      <c r="Z1" s="198" t="s">
        <v>25</v>
      </c>
      <c r="AA1" s="199" t="s">
        <v>402</v>
      </c>
      <c r="AB1" s="199" t="s">
        <v>403</v>
      </c>
      <c r="AC1" s="199" t="s">
        <v>404</v>
      </c>
      <c r="AD1" s="199" t="s">
        <v>405</v>
      </c>
    </row>
    <row r="2">
      <c r="A2" s="200">
        <f>Summary!B1</f>
        <v>44091</v>
      </c>
      <c r="B2" s="201">
        <f>Summary!B2</f>
        <v>130</v>
      </c>
      <c r="C2" s="202">
        <f>Summary!B3</f>
        <v>123</v>
      </c>
      <c r="D2" s="202">
        <f>Summary!B4</f>
        <v>33335</v>
      </c>
      <c r="E2" s="202">
        <f>Summary!B5</f>
        <v>8031</v>
      </c>
      <c r="F2" s="202">
        <f>Summary!B6</f>
        <v>632591</v>
      </c>
      <c r="G2" s="202">
        <f>Summary!B7</f>
        <v>8161</v>
      </c>
      <c r="H2" s="202">
        <f>Summary!B8</f>
        <v>665926</v>
      </c>
      <c r="I2" s="202">
        <f>Summary!B9</f>
        <v>101</v>
      </c>
      <c r="J2" s="202">
        <f>Summary!B10</f>
        <v>100</v>
      </c>
      <c r="K2" s="202">
        <f>Summary!B11</f>
        <v>23488</v>
      </c>
      <c r="L2" s="202">
        <f>Summary!B12</f>
        <v>1418</v>
      </c>
      <c r="M2" s="202">
        <f>Summary!B13</f>
        <v>289787</v>
      </c>
      <c r="N2" s="202">
        <f>Summary!B14</f>
        <v>313275</v>
      </c>
      <c r="O2" s="202">
        <f>Summary!B15</f>
        <v>4</v>
      </c>
      <c r="P2" s="202">
        <f>Summary!B16</f>
        <v>2668</v>
      </c>
      <c r="Q2" s="202">
        <f>Summary!B17</f>
        <v>1</v>
      </c>
      <c r="R2" s="202">
        <f>Summary!B18</f>
        <v>2236</v>
      </c>
      <c r="S2" s="202">
        <f>Summary!B19</f>
        <v>1</v>
      </c>
      <c r="T2" s="202">
        <f>Summary!B20</f>
        <v>344</v>
      </c>
      <c r="U2" s="202">
        <f>Summary!B21</f>
        <v>88</v>
      </c>
      <c r="V2" s="202">
        <f>Summary!B22</f>
        <v>87</v>
      </c>
      <c r="W2" s="202">
        <f>Summary!B23</f>
        <v>9</v>
      </c>
      <c r="X2" s="202">
        <f>Summary!B24</f>
        <v>5</v>
      </c>
      <c r="Y2" s="202">
        <f>Summary!B25</f>
        <v>4</v>
      </c>
      <c r="Z2" s="202">
        <f>Summary!B26</f>
        <v>1085</v>
      </c>
      <c r="AA2" s="203">
        <f>I2+E2</f>
        <v>8132</v>
      </c>
      <c r="AB2" s="203">
        <f>K2+F2</f>
        <v>656079</v>
      </c>
      <c r="AC2" s="204">
        <f>K2/H2</f>
        <v>0.03527118629</v>
      </c>
      <c r="AD2" s="204">
        <f>I2/G2</f>
        <v>0.01237593432</v>
      </c>
    </row>
    <row r="3">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row>
    <row r="4">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row>
    <row r="5">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row>
    <row r="6">
      <c r="A6" s="205"/>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row>
    <row r="7">
      <c r="A7" s="205"/>
      <c r="B7" s="205"/>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row>
    <row r="8">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row>
    <row r="10">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row>
    <row r="8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row>
    <row r="84">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row>
    <row r="85">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row>
    <row r="86">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row>
    <row r="87">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row>
    <row r="8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row>
    <row r="8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c r="AA95" s="205"/>
      <c r="AB95" s="205"/>
      <c r="AC95" s="205"/>
      <c r="AD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c r="AA96" s="205"/>
      <c r="AB96" s="205"/>
      <c r="AC96" s="205"/>
      <c r="AD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c r="AA98" s="205"/>
      <c r="AB98" s="205"/>
      <c r="AC98" s="205"/>
      <c r="AD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c r="AB141" s="205"/>
      <c r="AC141" s="205"/>
      <c r="AD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c r="AA428" s="205"/>
      <c r="AB428" s="205"/>
      <c r="AC428" s="205"/>
      <c r="AD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c r="AA429" s="205"/>
      <c r="AB429" s="205"/>
      <c r="AC429" s="205"/>
      <c r="AD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c r="AA430" s="205"/>
      <c r="AB430" s="205"/>
      <c r="AC430" s="205"/>
      <c r="AD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c r="AA431" s="205"/>
      <c r="AB431" s="205"/>
      <c r="AC431" s="205"/>
      <c r="AD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c r="AA432" s="205"/>
      <c r="AB432" s="205"/>
      <c r="AC432" s="205"/>
      <c r="AD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c r="AA433" s="205"/>
      <c r="AB433" s="205"/>
      <c r="AC433" s="205"/>
      <c r="AD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c r="AA435" s="205"/>
      <c r="AB435" s="205"/>
      <c r="AC435" s="205"/>
      <c r="AD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c r="AA436" s="205"/>
      <c r="AB436" s="205"/>
      <c r="AC436" s="205"/>
      <c r="AD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c r="AA437" s="205"/>
      <c r="AB437" s="205"/>
      <c r="AC437" s="205"/>
      <c r="AD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c r="AA438" s="205"/>
      <c r="AB438" s="205"/>
      <c r="AC438" s="205"/>
      <c r="AD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c r="AA439" s="205"/>
      <c r="AB439" s="205"/>
      <c r="AC439" s="205"/>
      <c r="AD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c r="AA440" s="205"/>
      <c r="AB440" s="205"/>
      <c r="AC440" s="205"/>
      <c r="AD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c r="AA441" s="205"/>
      <c r="AB441" s="205"/>
      <c r="AC441" s="205"/>
      <c r="AD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c r="AA442" s="205"/>
      <c r="AB442" s="205"/>
      <c r="AC442" s="205"/>
      <c r="AD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c r="AA443" s="205"/>
      <c r="AB443" s="205"/>
      <c r="AC443" s="205"/>
      <c r="AD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c r="AA444" s="205"/>
      <c r="AB444" s="205"/>
      <c r="AC444" s="205"/>
      <c r="AD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c r="AA445" s="205"/>
      <c r="AB445" s="205"/>
      <c r="AC445" s="205"/>
      <c r="AD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c r="AA446" s="205"/>
      <c r="AB446" s="205"/>
      <c r="AC446" s="205"/>
      <c r="AD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c r="AA447" s="205"/>
      <c r="AB447" s="205"/>
      <c r="AC447" s="205"/>
      <c r="AD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c r="AA449" s="205"/>
      <c r="AB449" s="205"/>
      <c r="AC449" s="205"/>
      <c r="AD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c r="AA450" s="205"/>
      <c r="AB450" s="205"/>
      <c r="AC450" s="205"/>
      <c r="AD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c r="AA451" s="205"/>
      <c r="AB451" s="205"/>
      <c r="AC451" s="205"/>
      <c r="AD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c r="AA452" s="205"/>
      <c r="AB452" s="205"/>
      <c r="AC452" s="205"/>
      <c r="AD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c r="AA453" s="205"/>
      <c r="AB453" s="205"/>
      <c r="AC453" s="205"/>
      <c r="AD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c r="AA454" s="205"/>
      <c r="AB454" s="205"/>
      <c r="AC454" s="205"/>
      <c r="AD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c r="AA455" s="205"/>
      <c r="AB455" s="205"/>
      <c r="AC455" s="205"/>
      <c r="AD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c r="AA456" s="205"/>
      <c r="AB456" s="205"/>
      <c r="AC456" s="205"/>
      <c r="AD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c r="AA457" s="205"/>
      <c r="AB457" s="205"/>
      <c r="AC457" s="205"/>
      <c r="AD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c r="AA458" s="205"/>
      <c r="AB458" s="205"/>
      <c r="AC458" s="205"/>
      <c r="AD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c r="AA459" s="205"/>
      <c r="AB459" s="205"/>
      <c r="AC459" s="205"/>
      <c r="AD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c r="AA460" s="205"/>
      <c r="AB460" s="205"/>
      <c r="AC460" s="205"/>
      <c r="AD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c r="AA461" s="205"/>
      <c r="AB461" s="205"/>
      <c r="AC461" s="205"/>
      <c r="AD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c r="AA462" s="205"/>
      <c r="AB462" s="205"/>
      <c r="AC462" s="205"/>
      <c r="AD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c r="AA463" s="205"/>
      <c r="AB463" s="205"/>
      <c r="AC463" s="205"/>
      <c r="AD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c r="AA464" s="205"/>
      <c r="AB464" s="205"/>
      <c r="AC464" s="205"/>
      <c r="AD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c r="AA465" s="205"/>
      <c r="AB465" s="205"/>
      <c r="AC465" s="205"/>
      <c r="AD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c r="AA466" s="205"/>
      <c r="AB466" s="205"/>
      <c r="AC466" s="205"/>
      <c r="AD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c r="AA467" s="205"/>
      <c r="AB467" s="205"/>
      <c r="AC467" s="205"/>
      <c r="AD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c r="AA468" s="205"/>
      <c r="AB468" s="205"/>
      <c r="AC468" s="205"/>
      <c r="AD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c r="AA469" s="205"/>
      <c r="AB469" s="205"/>
      <c r="AC469" s="205"/>
      <c r="AD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c r="AA470" s="205"/>
      <c r="AB470" s="205"/>
      <c r="AC470" s="205"/>
      <c r="AD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c r="AA471" s="205"/>
      <c r="AB471" s="205"/>
      <c r="AC471" s="205"/>
      <c r="AD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c r="AA472" s="205"/>
      <c r="AB472" s="205"/>
      <c r="AC472" s="205"/>
      <c r="AD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c r="AA473" s="205"/>
      <c r="AB473" s="205"/>
      <c r="AC473" s="205"/>
      <c r="AD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c r="AA474" s="205"/>
      <c r="AB474" s="205"/>
      <c r="AC474" s="205"/>
      <c r="AD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c r="AA475" s="205"/>
      <c r="AB475" s="205"/>
      <c r="AC475" s="205"/>
      <c r="AD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c r="AA476" s="205"/>
      <c r="AB476" s="205"/>
      <c r="AC476" s="205"/>
      <c r="AD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c r="AA477" s="205"/>
      <c r="AB477" s="205"/>
      <c r="AC477" s="205"/>
      <c r="AD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c r="AA478" s="205"/>
      <c r="AB478" s="205"/>
      <c r="AC478" s="205"/>
      <c r="AD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c r="AA479" s="205"/>
      <c r="AB479" s="205"/>
      <c r="AC479" s="205"/>
      <c r="AD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c r="AA480" s="205"/>
      <c r="AB480" s="205"/>
      <c r="AC480" s="205"/>
      <c r="AD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c r="AA481" s="205"/>
      <c r="AB481" s="205"/>
      <c r="AC481" s="205"/>
      <c r="AD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c r="AA482" s="205"/>
      <c r="AB482" s="205"/>
      <c r="AC482" s="205"/>
      <c r="AD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c r="AA483" s="205"/>
      <c r="AB483" s="205"/>
      <c r="AC483" s="205"/>
      <c r="AD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c r="AA484" s="205"/>
      <c r="AB484" s="205"/>
      <c r="AC484" s="205"/>
      <c r="AD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c r="AA485" s="205"/>
      <c r="AB485" s="205"/>
      <c r="AC485" s="205"/>
      <c r="AD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c r="AA486" s="205"/>
      <c r="AB486" s="205"/>
      <c r="AC486" s="205"/>
      <c r="AD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c r="AA487" s="205"/>
      <c r="AB487" s="205"/>
      <c r="AC487" s="205"/>
      <c r="AD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c r="AA488" s="205"/>
      <c r="AB488" s="205"/>
      <c r="AC488" s="205"/>
      <c r="AD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c r="AA489" s="205"/>
      <c r="AB489" s="205"/>
      <c r="AC489" s="205"/>
      <c r="AD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c r="AA490" s="205"/>
      <c r="AB490" s="205"/>
      <c r="AC490" s="205"/>
      <c r="AD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c r="AA491" s="205"/>
      <c r="AB491" s="205"/>
      <c r="AC491" s="205"/>
      <c r="AD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c r="AA492" s="205"/>
      <c r="AB492" s="205"/>
      <c r="AC492" s="205"/>
      <c r="AD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c r="AA493" s="205"/>
      <c r="AB493" s="205"/>
      <c r="AC493" s="205"/>
      <c r="AD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c r="AA494" s="205"/>
      <c r="AB494" s="205"/>
      <c r="AC494" s="205"/>
      <c r="AD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c r="AA495" s="205"/>
      <c r="AB495" s="205"/>
      <c r="AC495" s="205"/>
      <c r="AD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c r="AA496" s="205"/>
      <c r="AB496" s="205"/>
      <c r="AC496" s="205"/>
      <c r="AD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c r="AA497" s="205"/>
      <c r="AB497" s="205"/>
      <c r="AC497" s="205"/>
      <c r="AD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c r="AA498" s="205"/>
      <c r="AB498" s="205"/>
      <c r="AC498" s="205"/>
      <c r="AD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c r="AA499" s="205"/>
      <c r="AB499" s="205"/>
      <c r="AC499" s="205"/>
      <c r="AD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c r="AA500" s="205"/>
      <c r="AB500" s="205"/>
      <c r="AC500" s="205"/>
      <c r="AD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c r="AA501" s="205"/>
      <c r="AB501" s="205"/>
      <c r="AC501" s="205"/>
      <c r="AD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c r="AA502" s="205"/>
      <c r="AB502" s="205"/>
      <c r="AC502" s="205"/>
      <c r="AD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c r="AA503" s="205"/>
      <c r="AB503" s="205"/>
      <c r="AC503" s="205"/>
      <c r="AD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c r="AA504" s="205"/>
      <c r="AB504" s="205"/>
      <c r="AC504" s="205"/>
      <c r="AD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c r="AA505" s="205"/>
      <c r="AB505" s="205"/>
      <c r="AC505" s="205"/>
      <c r="AD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c r="AA506" s="205"/>
      <c r="AB506" s="205"/>
      <c r="AC506" s="205"/>
      <c r="AD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c r="AA507" s="205"/>
      <c r="AB507" s="205"/>
      <c r="AC507" s="205"/>
      <c r="AD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c r="AA508" s="205"/>
      <c r="AB508" s="205"/>
      <c r="AC508" s="205"/>
      <c r="AD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c r="AA509" s="205"/>
      <c r="AB509" s="205"/>
      <c r="AC509" s="205"/>
      <c r="AD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c r="AA510" s="205"/>
      <c r="AB510" s="205"/>
      <c r="AC510" s="205"/>
      <c r="AD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c r="AA511" s="205"/>
      <c r="AB511" s="205"/>
      <c r="AC511" s="205"/>
      <c r="AD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c r="AA512" s="205"/>
      <c r="AB512" s="205"/>
      <c r="AC512" s="205"/>
      <c r="AD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c r="AB513" s="205"/>
      <c r="AC513" s="205"/>
      <c r="AD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c r="AB514" s="205"/>
      <c r="AC514" s="205"/>
      <c r="AD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c r="AB515" s="205"/>
      <c r="AC515" s="205"/>
      <c r="AD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c r="AB516" s="205"/>
      <c r="AC516" s="205"/>
      <c r="AD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c r="AB517" s="205"/>
      <c r="AC517" s="205"/>
      <c r="AD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c r="AB518" s="205"/>
      <c r="AC518" s="205"/>
      <c r="AD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c r="AB519" s="205"/>
      <c r="AC519" s="205"/>
      <c r="AD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c r="AB520" s="205"/>
      <c r="AC520" s="205"/>
      <c r="AD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c r="AB521" s="205"/>
      <c r="AC521" s="205"/>
      <c r="AD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c r="AB522" s="205"/>
      <c r="AC522" s="205"/>
      <c r="AD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c r="AB523" s="205"/>
      <c r="AC523" s="205"/>
      <c r="AD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c r="AB524" s="205"/>
      <c r="AC524" s="205"/>
      <c r="AD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c r="AB525" s="205"/>
      <c r="AC525" s="205"/>
      <c r="AD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c r="AB526" s="205"/>
      <c r="AC526" s="205"/>
      <c r="AD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c r="AB527" s="205"/>
      <c r="AC527" s="205"/>
      <c r="AD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c r="AB528" s="205"/>
      <c r="AC528" s="205"/>
      <c r="AD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c r="AB529" s="205"/>
      <c r="AC529" s="205"/>
      <c r="AD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c r="AB530" s="205"/>
      <c r="AC530" s="205"/>
      <c r="AD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c r="AB531" s="205"/>
      <c r="AC531" s="205"/>
      <c r="AD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c r="AB532" s="205"/>
      <c r="AC532" s="205"/>
      <c r="AD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c r="AB533" s="205"/>
      <c r="AC533" s="205"/>
      <c r="AD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c r="AB534" s="205"/>
      <c r="AC534" s="205"/>
      <c r="AD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c r="AB535" s="205"/>
      <c r="AC535" s="205"/>
      <c r="AD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c r="AB536" s="205"/>
      <c r="AC536" s="205"/>
      <c r="AD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c r="AB537" s="205"/>
      <c r="AC537" s="205"/>
      <c r="AD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c r="AB538" s="205"/>
      <c r="AC538" s="205"/>
      <c r="AD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c r="AB539" s="205"/>
      <c r="AC539" s="205"/>
      <c r="AD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c r="AB540" s="205"/>
      <c r="AC540" s="205"/>
      <c r="AD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c r="AB541" s="205"/>
      <c r="AC541" s="205"/>
      <c r="AD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c r="AB542" s="205"/>
      <c r="AC542" s="205"/>
      <c r="AD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c r="AB543" s="205"/>
      <c r="AC543" s="205"/>
      <c r="AD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c r="AB544" s="205"/>
      <c r="AC544" s="205"/>
      <c r="AD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c r="AB545" s="205"/>
      <c r="AC545" s="205"/>
      <c r="AD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c r="AB546" s="205"/>
      <c r="AC546" s="205"/>
      <c r="AD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c r="AB547" s="205"/>
      <c r="AC547" s="205"/>
      <c r="AD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c r="AB548" s="205"/>
      <c r="AC548" s="205"/>
      <c r="AD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c r="AB549" s="205"/>
      <c r="AC549" s="205"/>
      <c r="AD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c r="AB550" s="205"/>
      <c r="AC550" s="205"/>
      <c r="AD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c r="AB551" s="205"/>
      <c r="AC551" s="205"/>
      <c r="AD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c r="AB552" s="205"/>
      <c r="AC552" s="205"/>
      <c r="AD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c r="AB553" s="205"/>
      <c r="AC553" s="205"/>
      <c r="AD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c r="AB554" s="205"/>
      <c r="AC554" s="205"/>
      <c r="AD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c r="AB555" s="205"/>
      <c r="AC555" s="205"/>
      <c r="AD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c r="AB556" s="205"/>
      <c r="AC556" s="205"/>
      <c r="AD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c r="AB557" s="205"/>
      <c r="AC557" s="205"/>
      <c r="AD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c r="AB558" s="205"/>
      <c r="AC558" s="205"/>
      <c r="AD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c r="AB559" s="205"/>
      <c r="AC559" s="205"/>
      <c r="AD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c r="AB560" s="205"/>
      <c r="AC560" s="205"/>
      <c r="AD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c r="AB561" s="205"/>
      <c r="AC561" s="205"/>
      <c r="AD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c r="AB562" s="205"/>
      <c r="AC562" s="205"/>
      <c r="AD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c r="AB563" s="205"/>
      <c r="AC563" s="205"/>
      <c r="AD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c r="AB564" s="205"/>
      <c r="AC564" s="205"/>
      <c r="AD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c r="AB565" s="205"/>
      <c r="AC565" s="205"/>
      <c r="AD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c r="AB566" s="205"/>
      <c r="AC566" s="205"/>
      <c r="AD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c r="AB567" s="205"/>
      <c r="AC567" s="205"/>
      <c r="AD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c r="AB568" s="205"/>
      <c r="AC568" s="205"/>
      <c r="AD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c r="AB569" s="205"/>
      <c r="AC569" s="205"/>
      <c r="AD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c r="AB570" s="205"/>
      <c r="AC570" s="205"/>
      <c r="AD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c r="AB571" s="205"/>
      <c r="AC571" s="205"/>
      <c r="AD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c r="AB572" s="205"/>
      <c r="AC572" s="205"/>
      <c r="AD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c r="AB573" s="205"/>
      <c r="AC573" s="205"/>
      <c r="AD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c r="AB574" s="205"/>
      <c r="AC574" s="205"/>
      <c r="AD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c r="AB575" s="205"/>
      <c r="AC575" s="205"/>
      <c r="AD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c r="AB576" s="205"/>
      <c r="AC576" s="205"/>
      <c r="AD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c r="AB577" s="205"/>
      <c r="AC577" s="205"/>
      <c r="AD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c r="AB578" s="205"/>
      <c r="AC578" s="205"/>
      <c r="AD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c r="AB579" s="205"/>
      <c r="AC579" s="205"/>
      <c r="AD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c r="AB580" s="205"/>
      <c r="AC580" s="205"/>
      <c r="AD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c r="AB581" s="205"/>
      <c r="AC581" s="205"/>
      <c r="AD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c r="AB582" s="205"/>
      <c r="AC582" s="205"/>
      <c r="AD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c r="AB583" s="205"/>
      <c r="AC583" s="205"/>
      <c r="AD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c r="AB584" s="205"/>
      <c r="AC584" s="205"/>
      <c r="AD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c r="AB585" s="205"/>
      <c r="AC585" s="205"/>
      <c r="AD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c r="AB586" s="205"/>
      <c r="AC586" s="205"/>
      <c r="AD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c r="AB587" s="205"/>
      <c r="AC587" s="205"/>
      <c r="AD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c r="AB588" s="205"/>
      <c r="AC588" s="205"/>
      <c r="AD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c r="AB589" s="205"/>
      <c r="AC589" s="205"/>
      <c r="AD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c r="AB590" s="205"/>
      <c r="AC590" s="205"/>
      <c r="AD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c r="AB591" s="205"/>
      <c r="AC591" s="205"/>
      <c r="AD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c r="AB592" s="205"/>
      <c r="AC592" s="205"/>
      <c r="AD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c r="AB593" s="205"/>
      <c r="AC593" s="205"/>
      <c r="AD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c r="AB594" s="205"/>
      <c r="AC594" s="205"/>
      <c r="AD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c r="AB595" s="205"/>
      <c r="AC595" s="205"/>
      <c r="AD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c r="AB596" s="205"/>
      <c r="AC596" s="205"/>
      <c r="AD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c r="AB597" s="205"/>
      <c r="AC597" s="205"/>
      <c r="AD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c r="AB598" s="205"/>
      <c r="AC598" s="205"/>
      <c r="AD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c r="AB599" s="205"/>
      <c r="AC599" s="205"/>
      <c r="AD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c r="AB600" s="205"/>
      <c r="AC600" s="205"/>
      <c r="AD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c r="AB601" s="205"/>
      <c r="AC601" s="205"/>
      <c r="AD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c r="AB602" s="205"/>
      <c r="AC602" s="205"/>
      <c r="AD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c r="AB603" s="205"/>
      <c r="AC603" s="205"/>
      <c r="AD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c r="AB604" s="205"/>
      <c r="AC604" s="205"/>
      <c r="AD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c r="AB605" s="205"/>
      <c r="AC605" s="205"/>
      <c r="AD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c r="AB606" s="205"/>
      <c r="AC606" s="205"/>
      <c r="AD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c r="AB607" s="205"/>
      <c r="AC607" s="205"/>
      <c r="AD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c r="AB608" s="205"/>
      <c r="AC608" s="205"/>
      <c r="AD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c r="AB609" s="205"/>
      <c r="AC609" s="205"/>
      <c r="AD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c r="AB610" s="205"/>
      <c r="AC610" s="205"/>
      <c r="AD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c r="AB611" s="205"/>
      <c r="AC611" s="205"/>
      <c r="AD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c r="AB612" s="205"/>
      <c r="AC612" s="205"/>
      <c r="AD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c r="AB613" s="205"/>
      <c r="AC613" s="205"/>
      <c r="AD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c r="AB614" s="205"/>
      <c r="AC614" s="205"/>
      <c r="AD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c r="AB615" s="205"/>
      <c r="AC615" s="205"/>
      <c r="AD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c r="AB616" s="205"/>
      <c r="AC616" s="205"/>
      <c r="AD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c r="AB617" s="205"/>
      <c r="AC617" s="205"/>
      <c r="AD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c r="AB618" s="205"/>
      <c r="AC618" s="205"/>
      <c r="AD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c r="AB619" s="205"/>
      <c r="AC619" s="205"/>
      <c r="AD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c r="AB620" s="205"/>
      <c r="AC620" s="205"/>
      <c r="AD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c r="AB621" s="205"/>
      <c r="AC621" s="205"/>
      <c r="AD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c r="AB622" s="205"/>
      <c r="AC622" s="205"/>
      <c r="AD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c r="AB623" s="205"/>
      <c r="AC623" s="205"/>
      <c r="AD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c r="AB624" s="205"/>
      <c r="AC624" s="205"/>
      <c r="AD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c r="AB625" s="205"/>
      <c r="AC625" s="205"/>
      <c r="AD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c r="AB626" s="205"/>
      <c r="AC626" s="205"/>
      <c r="AD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c r="AB627" s="205"/>
      <c r="AC627" s="205"/>
      <c r="AD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c r="AB628" s="205"/>
      <c r="AC628" s="205"/>
      <c r="AD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c r="AB629" s="205"/>
      <c r="AC629" s="205"/>
      <c r="AD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c r="AB630" s="205"/>
      <c r="AC630" s="205"/>
      <c r="AD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c r="AB631" s="205"/>
      <c r="AC631" s="205"/>
      <c r="AD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c r="AB632" s="205"/>
      <c r="AC632" s="205"/>
      <c r="AD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c r="AB633" s="205"/>
      <c r="AC633" s="205"/>
      <c r="AD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c r="AB634" s="205"/>
      <c r="AC634" s="205"/>
      <c r="AD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c r="AB635" s="205"/>
      <c r="AC635" s="205"/>
      <c r="AD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c r="AB636" s="205"/>
      <c r="AC636" s="205"/>
      <c r="AD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c r="AB637" s="205"/>
      <c r="AC637" s="205"/>
      <c r="AD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c r="AB638" s="205"/>
      <c r="AC638" s="205"/>
      <c r="AD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c r="AB639" s="205"/>
      <c r="AC639" s="205"/>
      <c r="AD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c r="AB640" s="205"/>
      <c r="AC640" s="205"/>
      <c r="AD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c r="AB641" s="205"/>
      <c r="AC641" s="205"/>
      <c r="AD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c r="AB642" s="205"/>
      <c r="AC642" s="205"/>
      <c r="AD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c r="AB643" s="205"/>
      <c r="AC643" s="205"/>
      <c r="AD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c r="AB644" s="205"/>
      <c r="AC644" s="205"/>
      <c r="AD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c r="AB645" s="205"/>
      <c r="AC645" s="205"/>
      <c r="AD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c r="AB646" s="205"/>
      <c r="AC646" s="205"/>
      <c r="AD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c r="AB647" s="205"/>
      <c r="AC647" s="205"/>
      <c r="AD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c r="AB648" s="205"/>
      <c r="AC648" s="205"/>
      <c r="AD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c r="AB649" s="205"/>
      <c r="AC649" s="205"/>
      <c r="AD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c r="AB650" s="205"/>
      <c r="AC650" s="205"/>
      <c r="AD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c r="AB651" s="205"/>
      <c r="AC651" s="205"/>
      <c r="AD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c r="AB652" s="205"/>
      <c r="AC652" s="205"/>
      <c r="AD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c r="AB653" s="205"/>
      <c r="AC653" s="205"/>
      <c r="AD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c r="AB654" s="205"/>
      <c r="AC654" s="205"/>
      <c r="AD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c r="AB655" s="205"/>
      <c r="AC655" s="205"/>
      <c r="AD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c r="AB656" s="205"/>
      <c r="AC656" s="205"/>
      <c r="AD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c r="AA657" s="205"/>
      <c r="AB657" s="205"/>
      <c r="AC657" s="205"/>
      <c r="AD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c r="AA658" s="205"/>
      <c r="AB658" s="205"/>
      <c r="AC658" s="205"/>
      <c r="AD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c r="AA659" s="205"/>
      <c r="AB659" s="205"/>
      <c r="AC659" s="205"/>
      <c r="AD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c r="AA660" s="205"/>
      <c r="AB660" s="205"/>
      <c r="AC660" s="205"/>
      <c r="AD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c r="AA661" s="205"/>
      <c r="AB661" s="205"/>
      <c r="AC661" s="205"/>
      <c r="AD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c r="AA662" s="205"/>
      <c r="AB662" s="205"/>
      <c r="AC662" s="205"/>
      <c r="AD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c r="AA663" s="205"/>
      <c r="AB663" s="205"/>
      <c r="AC663" s="205"/>
      <c r="AD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c r="AA664" s="205"/>
      <c r="AB664" s="205"/>
      <c r="AC664" s="205"/>
      <c r="AD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c r="AA665" s="205"/>
      <c r="AB665" s="205"/>
      <c r="AC665" s="205"/>
      <c r="AD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c r="AA666" s="205"/>
      <c r="AB666" s="205"/>
      <c r="AC666" s="205"/>
      <c r="AD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c r="AA667" s="205"/>
      <c r="AB667" s="205"/>
      <c r="AC667" s="205"/>
      <c r="AD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c r="AA668" s="205"/>
      <c r="AB668" s="205"/>
      <c r="AC668" s="205"/>
      <c r="AD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c r="AA669" s="205"/>
      <c r="AB669" s="205"/>
      <c r="AC669" s="205"/>
      <c r="AD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c r="AA670" s="205"/>
      <c r="AB670" s="205"/>
      <c r="AC670" s="205"/>
      <c r="AD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c r="AA671" s="205"/>
      <c r="AB671" s="205"/>
      <c r="AC671" s="205"/>
      <c r="AD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c r="AA672" s="205"/>
      <c r="AB672" s="205"/>
      <c r="AC672" s="205"/>
      <c r="AD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c r="AA673" s="205"/>
      <c r="AB673" s="205"/>
      <c r="AC673" s="205"/>
      <c r="AD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c r="AA674" s="205"/>
      <c r="AB674" s="205"/>
      <c r="AC674" s="205"/>
      <c r="AD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c r="AA675" s="205"/>
      <c r="AB675" s="205"/>
      <c r="AC675" s="205"/>
      <c r="AD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c r="AA676" s="205"/>
      <c r="AB676" s="205"/>
      <c r="AC676" s="205"/>
      <c r="AD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c r="AA677" s="205"/>
      <c r="AB677" s="205"/>
      <c r="AC677" s="205"/>
      <c r="AD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c r="AA678" s="205"/>
      <c r="AB678" s="205"/>
      <c r="AC678" s="205"/>
      <c r="AD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c r="AA679" s="205"/>
      <c r="AB679" s="205"/>
      <c r="AC679" s="205"/>
      <c r="AD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c r="AA680" s="205"/>
      <c r="AB680" s="205"/>
      <c r="AC680" s="205"/>
      <c r="AD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c r="AA681" s="205"/>
      <c r="AB681" s="205"/>
      <c r="AC681" s="205"/>
      <c r="AD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c r="AA682" s="205"/>
      <c r="AB682" s="205"/>
      <c r="AC682" s="205"/>
      <c r="AD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c r="AA683" s="205"/>
      <c r="AB683" s="205"/>
      <c r="AC683" s="205"/>
      <c r="AD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c r="AA684" s="205"/>
      <c r="AB684" s="205"/>
      <c r="AC684" s="205"/>
      <c r="AD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c r="AA685" s="205"/>
      <c r="AB685" s="205"/>
      <c r="AC685" s="205"/>
      <c r="AD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c r="AA686" s="205"/>
      <c r="AB686" s="205"/>
      <c r="AC686" s="205"/>
      <c r="AD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c r="AA689" s="205"/>
      <c r="AB689" s="205"/>
      <c r="AC689" s="205"/>
      <c r="AD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c r="AA690" s="205"/>
      <c r="AB690" s="205"/>
      <c r="AC690" s="205"/>
      <c r="AD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c r="AA691" s="205"/>
      <c r="AB691" s="205"/>
      <c r="AC691" s="205"/>
      <c r="AD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c r="AA692" s="205"/>
      <c r="AB692" s="205"/>
      <c r="AC692" s="205"/>
      <c r="AD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c r="AA693" s="205"/>
      <c r="AB693" s="205"/>
      <c r="AC693" s="205"/>
      <c r="AD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c r="AA694" s="205"/>
      <c r="AB694" s="205"/>
      <c r="AC694" s="205"/>
      <c r="AD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c r="AA695" s="205"/>
      <c r="AB695" s="205"/>
      <c r="AC695" s="205"/>
      <c r="AD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c r="AA702" s="205"/>
      <c r="AB702" s="205"/>
      <c r="AC702" s="205"/>
      <c r="AD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c r="AA703" s="205"/>
      <c r="AB703" s="205"/>
      <c r="AC703" s="205"/>
      <c r="AD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c r="AA704" s="205"/>
      <c r="AB704" s="205"/>
      <c r="AC704" s="205"/>
      <c r="AD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c r="AA705" s="205"/>
      <c r="AB705" s="205"/>
      <c r="AC705" s="205"/>
      <c r="AD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c r="AA706" s="205"/>
      <c r="AB706" s="205"/>
      <c r="AC706" s="205"/>
      <c r="AD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c r="AA707" s="205"/>
      <c r="AB707" s="205"/>
      <c r="AC707" s="205"/>
      <c r="AD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c r="AA708" s="205"/>
      <c r="AB708" s="205"/>
      <c r="AC708" s="205"/>
      <c r="AD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c r="AA709" s="205"/>
      <c r="AB709" s="205"/>
      <c r="AC709" s="205"/>
      <c r="AD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c r="AA710" s="205"/>
      <c r="AB710" s="205"/>
      <c r="AC710" s="205"/>
      <c r="AD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c r="AA711" s="205"/>
      <c r="AB711" s="205"/>
      <c r="AC711" s="205"/>
      <c r="AD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c r="AA712" s="205"/>
      <c r="AB712" s="205"/>
      <c r="AC712" s="205"/>
      <c r="AD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c r="AA713" s="205"/>
      <c r="AB713" s="205"/>
      <c r="AC713" s="205"/>
      <c r="AD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c r="AA714" s="205"/>
      <c r="AB714" s="205"/>
      <c r="AC714" s="205"/>
      <c r="AD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c r="AA715" s="205"/>
      <c r="AB715" s="205"/>
      <c r="AC715" s="205"/>
      <c r="AD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c r="AA716" s="205"/>
      <c r="AB716" s="205"/>
      <c r="AC716" s="205"/>
      <c r="AD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c r="AA717" s="205"/>
      <c r="AB717" s="205"/>
      <c r="AC717" s="205"/>
      <c r="AD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c r="AA718" s="205"/>
      <c r="AB718" s="205"/>
      <c r="AC718" s="205"/>
      <c r="AD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c r="AA719" s="205"/>
      <c r="AB719" s="205"/>
      <c r="AC719" s="205"/>
      <c r="AD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c r="AA720" s="205"/>
      <c r="AB720" s="205"/>
      <c r="AC720" s="205"/>
      <c r="AD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c r="AA721" s="205"/>
      <c r="AB721" s="205"/>
      <c r="AC721" s="205"/>
      <c r="AD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c r="AA722" s="205"/>
      <c r="AB722" s="205"/>
      <c r="AC722" s="205"/>
      <c r="AD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c r="AA723" s="205"/>
      <c r="AB723" s="205"/>
      <c r="AC723" s="205"/>
      <c r="AD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c r="AA724" s="205"/>
      <c r="AB724" s="205"/>
      <c r="AC724" s="205"/>
      <c r="AD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c r="AA725" s="205"/>
      <c r="AB725" s="205"/>
      <c r="AC725" s="205"/>
      <c r="AD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c r="AA726" s="205"/>
      <c r="AB726" s="205"/>
      <c r="AC726" s="205"/>
      <c r="AD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c r="AA727" s="205"/>
      <c r="AB727" s="205"/>
      <c r="AC727" s="205"/>
      <c r="AD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c r="AA728" s="205"/>
      <c r="AB728" s="205"/>
      <c r="AC728" s="205"/>
      <c r="AD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c r="AA729" s="205"/>
      <c r="AB729" s="205"/>
      <c r="AC729" s="205"/>
      <c r="AD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c r="AA730" s="205"/>
      <c r="AB730" s="205"/>
      <c r="AC730" s="205"/>
      <c r="AD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c r="AA731" s="205"/>
      <c r="AB731" s="205"/>
      <c r="AC731" s="205"/>
      <c r="AD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c r="AA732" s="205"/>
      <c r="AB732" s="205"/>
      <c r="AC732" s="205"/>
      <c r="AD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c r="AA733" s="205"/>
      <c r="AB733" s="205"/>
      <c r="AC733" s="205"/>
      <c r="AD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c r="AA734" s="205"/>
      <c r="AB734" s="205"/>
      <c r="AC734" s="205"/>
      <c r="AD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c r="AA735" s="205"/>
      <c r="AB735" s="205"/>
      <c r="AC735" s="205"/>
      <c r="AD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c r="AA736" s="205"/>
      <c r="AB736" s="205"/>
      <c r="AC736" s="205"/>
      <c r="AD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c r="AA737" s="205"/>
      <c r="AB737" s="205"/>
      <c r="AC737" s="205"/>
      <c r="AD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c r="AA738" s="205"/>
      <c r="AB738" s="205"/>
      <c r="AC738" s="205"/>
      <c r="AD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c r="AA739" s="205"/>
      <c r="AB739" s="205"/>
      <c r="AC739" s="205"/>
      <c r="AD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c r="AA740" s="205"/>
      <c r="AB740" s="205"/>
      <c r="AC740" s="205"/>
      <c r="AD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c r="AA741" s="205"/>
      <c r="AB741" s="205"/>
      <c r="AC741" s="205"/>
      <c r="AD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c r="AA742" s="205"/>
      <c r="AB742" s="205"/>
      <c r="AC742" s="205"/>
      <c r="AD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c r="AA743" s="205"/>
      <c r="AB743" s="205"/>
      <c r="AC743" s="205"/>
      <c r="AD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c r="AA744" s="205"/>
      <c r="AB744" s="205"/>
      <c r="AC744" s="205"/>
      <c r="AD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c r="AA745" s="205"/>
      <c r="AB745" s="205"/>
      <c r="AC745" s="205"/>
      <c r="AD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c r="AA746" s="205"/>
      <c r="AB746" s="205"/>
      <c r="AC746" s="205"/>
      <c r="AD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c r="AA747" s="205"/>
      <c r="AB747" s="205"/>
      <c r="AC747" s="205"/>
      <c r="AD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c r="AA748" s="205"/>
      <c r="AB748" s="205"/>
      <c r="AC748" s="205"/>
      <c r="AD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c r="AA749" s="205"/>
      <c r="AB749" s="205"/>
      <c r="AC749" s="205"/>
      <c r="AD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c r="AA750" s="205"/>
      <c r="AB750" s="205"/>
      <c r="AC750" s="205"/>
      <c r="AD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c r="AA751" s="205"/>
      <c r="AB751" s="205"/>
      <c r="AC751" s="205"/>
      <c r="AD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c r="AA752" s="205"/>
      <c r="AB752" s="205"/>
      <c r="AC752" s="205"/>
      <c r="AD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c r="AA753" s="205"/>
      <c r="AB753" s="205"/>
      <c r="AC753" s="205"/>
      <c r="AD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c r="AA754" s="205"/>
      <c r="AB754" s="205"/>
      <c r="AC754" s="205"/>
      <c r="AD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c r="AA755" s="205"/>
      <c r="AB755" s="205"/>
      <c r="AC755" s="205"/>
      <c r="AD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c r="AA756" s="205"/>
      <c r="AB756" s="205"/>
      <c r="AC756" s="205"/>
      <c r="AD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c r="AA757" s="205"/>
      <c r="AB757" s="205"/>
      <c r="AC757" s="205"/>
      <c r="AD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c r="AA758" s="205"/>
      <c r="AB758" s="205"/>
      <c r="AC758" s="205"/>
      <c r="AD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c r="AA759" s="205"/>
      <c r="AB759" s="205"/>
      <c r="AC759" s="205"/>
      <c r="AD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c r="AA760" s="205"/>
      <c r="AB760" s="205"/>
      <c r="AC760" s="205"/>
      <c r="AD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c r="AA761" s="205"/>
      <c r="AB761" s="205"/>
      <c r="AC761" s="205"/>
      <c r="AD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c r="AA762" s="205"/>
      <c r="AB762" s="205"/>
      <c r="AC762" s="205"/>
      <c r="AD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c r="AA763" s="205"/>
      <c r="AB763" s="205"/>
      <c r="AC763" s="205"/>
      <c r="AD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c r="AA764" s="205"/>
      <c r="AB764" s="205"/>
      <c r="AC764" s="205"/>
      <c r="AD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c r="AA765" s="205"/>
      <c r="AB765" s="205"/>
      <c r="AC765" s="205"/>
      <c r="AD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c r="AA766" s="205"/>
      <c r="AB766" s="205"/>
      <c r="AC766" s="205"/>
      <c r="AD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c r="AA768" s="205"/>
      <c r="AB768" s="205"/>
      <c r="AC768" s="205"/>
      <c r="AD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c r="AA769" s="205"/>
      <c r="AB769" s="205"/>
      <c r="AC769" s="205"/>
      <c r="AD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c r="AA770" s="205"/>
      <c r="AB770" s="205"/>
      <c r="AC770" s="205"/>
      <c r="AD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c r="AA771" s="205"/>
      <c r="AB771" s="205"/>
      <c r="AC771" s="205"/>
      <c r="AD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c r="AA772" s="205"/>
      <c r="AB772" s="205"/>
      <c r="AC772" s="205"/>
      <c r="AD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c r="AA774" s="205"/>
      <c r="AB774" s="205"/>
      <c r="AC774" s="205"/>
      <c r="AD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c r="AA775" s="205"/>
      <c r="AB775" s="205"/>
      <c r="AC775" s="205"/>
      <c r="AD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c r="AA776" s="205"/>
      <c r="AB776" s="205"/>
      <c r="AC776" s="205"/>
      <c r="AD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c r="AA777" s="205"/>
      <c r="AB777" s="205"/>
      <c r="AC777" s="205"/>
      <c r="AD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c r="AA778" s="205"/>
      <c r="AB778" s="205"/>
      <c r="AC778" s="205"/>
      <c r="AD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c r="AA779" s="205"/>
      <c r="AB779" s="205"/>
      <c r="AC779" s="205"/>
      <c r="AD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c r="AA780" s="205"/>
      <c r="AB780" s="205"/>
      <c r="AC780" s="205"/>
      <c r="AD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c r="AA781" s="205"/>
      <c r="AB781" s="205"/>
      <c r="AC781" s="205"/>
      <c r="AD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c r="AA782" s="205"/>
      <c r="AB782" s="205"/>
      <c r="AC782" s="205"/>
      <c r="AD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c r="AA783" s="205"/>
      <c r="AB783" s="205"/>
      <c r="AC783" s="205"/>
      <c r="AD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c r="AA784" s="205"/>
      <c r="AB784" s="205"/>
      <c r="AC784" s="205"/>
      <c r="AD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c r="AA785" s="205"/>
      <c r="AB785" s="205"/>
      <c r="AC785" s="205"/>
      <c r="AD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c r="AA786" s="205"/>
      <c r="AB786" s="205"/>
      <c r="AC786" s="205"/>
      <c r="AD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c r="AA787" s="205"/>
      <c r="AB787" s="205"/>
      <c r="AC787" s="205"/>
      <c r="AD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c r="AA788" s="205"/>
      <c r="AB788" s="205"/>
      <c r="AC788" s="205"/>
      <c r="AD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c r="AA789" s="205"/>
      <c r="AB789" s="205"/>
      <c r="AC789" s="205"/>
      <c r="AD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c r="AA790" s="205"/>
      <c r="AB790" s="205"/>
      <c r="AC790" s="205"/>
      <c r="AD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c r="AA791" s="205"/>
      <c r="AB791" s="205"/>
      <c r="AC791" s="205"/>
      <c r="AD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c r="AA792" s="205"/>
      <c r="AB792" s="205"/>
      <c r="AC792" s="205"/>
      <c r="AD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c r="AA793" s="205"/>
      <c r="AB793" s="205"/>
      <c r="AC793" s="205"/>
      <c r="AD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c r="AA794" s="205"/>
      <c r="AB794" s="205"/>
      <c r="AC794" s="205"/>
      <c r="AD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c r="AA795" s="205"/>
      <c r="AB795" s="205"/>
      <c r="AC795" s="205"/>
      <c r="AD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c r="AA796" s="205"/>
      <c r="AB796" s="205"/>
      <c r="AC796" s="205"/>
      <c r="AD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c r="AA797" s="205"/>
      <c r="AB797" s="205"/>
      <c r="AC797" s="205"/>
      <c r="AD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c r="AA798" s="205"/>
      <c r="AB798" s="205"/>
      <c r="AC798" s="205"/>
      <c r="AD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c r="AA799" s="205"/>
      <c r="AB799" s="205"/>
      <c r="AC799" s="205"/>
      <c r="AD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c r="AA800" s="205"/>
      <c r="AB800" s="205"/>
      <c r="AC800" s="205"/>
      <c r="AD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c r="AA801" s="205"/>
      <c r="AB801" s="205"/>
      <c r="AC801" s="205"/>
      <c r="AD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c r="AA802" s="205"/>
      <c r="AB802" s="205"/>
      <c r="AC802" s="205"/>
      <c r="AD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c r="AA803" s="205"/>
      <c r="AB803" s="205"/>
      <c r="AC803" s="205"/>
      <c r="AD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c r="AA804" s="205"/>
      <c r="AB804" s="205"/>
      <c r="AC804" s="205"/>
      <c r="AD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c r="AA805" s="205"/>
      <c r="AB805" s="205"/>
      <c r="AC805" s="205"/>
      <c r="AD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c r="AA806" s="205"/>
      <c r="AB806" s="205"/>
      <c r="AC806" s="205"/>
      <c r="AD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c r="AA807" s="205"/>
      <c r="AB807" s="205"/>
      <c r="AC807" s="205"/>
      <c r="AD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c r="AA808" s="205"/>
      <c r="AB808" s="205"/>
      <c r="AC808" s="205"/>
      <c r="AD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c r="AA809" s="205"/>
      <c r="AB809" s="205"/>
      <c r="AC809" s="205"/>
      <c r="AD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c r="AA810" s="205"/>
      <c r="AB810" s="205"/>
      <c r="AC810" s="205"/>
      <c r="AD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c r="AA811" s="205"/>
      <c r="AB811" s="205"/>
      <c r="AC811" s="205"/>
      <c r="AD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c r="AA812" s="205"/>
      <c r="AB812" s="205"/>
      <c r="AC812" s="205"/>
      <c r="AD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c r="AA813" s="205"/>
      <c r="AB813" s="205"/>
      <c r="AC813" s="205"/>
      <c r="AD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c r="AA814" s="205"/>
      <c r="AB814" s="205"/>
      <c r="AC814" s="205"/>
      <c r="AD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c r="AA815" s="205"/>
      <c r="AB815" s="205"/>
      <c r="AC815" s="205"/>
      <c r="AD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c r="AA816" s="205"/>
      <c r="AB816" s="205"/>
      <c r="AC816" s="205"/>
      <c r="AD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c r="AA817" s="205"/>
      <c r="AB817" s="205"/>
      <c r="AC817" s="205"/>
      <c r="AD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c r="AA818" s="205"/>
      <c r="AB818" s="205"/>
      <c r="AC818" s="205"/>
      <c r="AD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c r="AA819" s="205"/>
      <c r="AB819" s="205"/>
      <c r="AC819" s="205"/>
      <c r="AD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c r="AA820" s="205"/>
      <c r="AB820" s="205"/>
      <c r="AC820" s="205"/>
      <c r="AD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c r="AA821" s="205"/>
      <c r="AB821" s="205"/>
      <c r="AC821" s="205"/>
      <c r="AD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c r="AA822" s="205"/>
      <c r="AB822" s="205"/>
      <c r="AC822" s="205"/>
      <c r="AD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c r="AA823" s="205"/>
      <c r="AB823" s="205"/>
      <c r="AC823" s="205"/>
      <c r="AD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c r="AA824" s="205"/>
      <c r="AB824" s="205"/>
      <c r="AC824" s="205"/>
      <c r="AD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c r="AA825" s="205"/>
      <c r="AB825" s="205"/>
      <c r="AC825" s="205"/>
      <c r="AD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c r="AA826" s="205"/>
      <c r="AB826" s="205"/>
      <c r="AC826" s="205"/>
      <c r="AD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c r="AA827" s="205"/>
      <c r="AB827" s="205"/>
      <c r="AC827" s="205"/>
      <c r="AD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c r="AA828" s="205"/>
      <c r="AB828" s="205"/>
      <c r="AC828" s="205"/>
      <c r="AD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c r="AA829" s="205"/>
      <c r="AB829" s="205"/>
      <c r="AC829" s="205"/>
      <c r="AD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c r="AA830" s="205"/>
      <c r="AB830" s="205"/>
      <c r="AC830" s="205"/>
      <c r="AD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c r="AA831" s="205"/>
      <c r="AB831" s="205"/>
      <c r="AC831" s="205"/>
      <c r="AD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c r="AA832" s="205"/>
      <c r="AB832" s="205"/>
      <c r="AC832" s="205"/>
      <c r="AD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c r="AA833" s="205"/>
      <c r="AB833" s="205"/>
      <c r="AC833" s="205"/>
      <c r="AD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c r="AA834" s="205"/>
      <c r="AB834" s="205"/>
      <c r="AC834" s="205"/>
      <c r="AD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c r="AA835" s="205"/>
      <c r="AB835" s="205"/>
      <c r="AC835" s="205"/>
      <c r="AD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c r="AA836" s="205"/>
      <c r="AB836" s="205"/>
      <c r="AC836" s="205"/>
      <c r="AD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c r="AA837" s="205"/>
      <c r="AB837" s="205"/>
      <c r="AC837" s="205"/>
      <c r="AD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c r="AA838" s="205"/>
      <c r="AB838" s="205"/>
      <c r="AC838" s="205"/>
      <c r="AD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c r="AA839" s="205"/>
      <c r="AB839" s="205"/>
      <c r="AC839" s="205"/>
      <c r="AD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c r="AA840" s="205"/>
      <c r="AB840" s="205"/>
      <c r="AC840" s="205"/>
      <c r="AD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c r="AA841" s="205"/>
      <c r="AB841" s="205"/>
      <c r="AC841" s="205"/>
      <c r="AD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c r="AA842" s="205"/>
      <c r="AB842" s="205"/>
      <c r="AC842" s="205"/>
      <c r="AD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c r="AA843" s="205"/>
      <c r="AB843" s="205"/>
      <c r="AC843" s="205"/>
      <c r="AD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c r="AA844" s="205"/>
      <c r="AB844" s="205"/>
      <c r="AC844" s="205"/>
      <c r="AD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c r="AA845" s="205"/>
      <c r="AB845" s="205"/>
      <c r="AC845" s="205"/>
      <c r="AD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c r="AA846" s="205"/>
      <c r="AB846" s="205"/>
      <c r="AC846" s="205"/>
      <c r="AD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c r="AA847" s="205"/>
      <c r="AB847" s="205"/>
      <c r="AC847" s="205"/>
      <c r="AD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c r="AA848" s="205"/>
      <c r="AB848" s="205"/>
      <c r="AC848" s="205"/>
      <c r="AD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c r="AA849" s="205"/>
      <c r="AB849" s="205"/>
      <c r="AC849" s="205"/>
      <c r="AD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c r="AA850" s="205"/>
      <c r="AB850" s="205"/>
      <c r="AC850" s="205"/>
      <c r="AD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c r="AA851" s="205"/>
      <c r="AB851" s="205"/>
      <c r="AC851" s="205"/>
      <c r="AD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c r="AA852" s="205"/>
      <c r="AB852" s="205"/>
      <c r="AC852" s="205"/>
      <c r="AD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c r="AA853" s="205"/>
      <c r="AB853" s="205"/>
      <c r="AC853" s="205"/>
      <c r="AD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c r="AA854" s="205"/>
      <c r="AB854" s="205"/>
      <c r="AC854" s="205"/>
      <c r="AD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c r="AA855" s="205"/>
      <c r="AB855" s="205"/>
      <c r="AC855" s="205"/>
      <c r="AD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c r="AA856" s="205"/>
      <c r="AB856" s="205"/>
      <c r="AC856" s="205"/>
      <c r="AD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c r="AA857" s="205"/>
      <c r="AB857" s="205"/>
      <c r="AC857" s="205"/>
      <c r="AD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c r="AA858" s="205"/>
      <c r="AB858" s="205"/>
      <c r="AC858" s="205"/>
      <c r="AD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c r="AA859" s="205"/>
      <c r="AB859" s="205"/>
      <c r="AC859" s="205"/>
      <c r="AD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c r="AA860" s="205"/>
      <c r="AB860" s="205"/>
      <c r="AC860" s="205"/>
      <c r="AD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c r="AA861" s="205"/>
      <c r="AB861" s="205"/>
      <c r="AC861" s="205"/>
      <c r="AD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c r="AA862" s="205"/>
      <c r="AB862" s="205"/>
      <c r="AC862" s="205"/>
      <c r="AD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c r="AA863" s="205"/>
      <c r="AB863" s="205"/>
      <c r="AC863" s="205"/>
      <c r="AD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c r="AA864" s="205"/>
      <c r="AB864" s="205"/>
      <c r="AC864" s="205"/>
      <c r="AD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c r="AA865" s="205"/>
      <c r="AB865" s="205"/>
      <c r="AC865" s="205"/>
      <c r="AD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c r="AA866" s="205"/>
      <c r="AB866" s="205"/>
      <c r="AC866" s="205"/>
      <c r="AD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c r="AA867" s="205"/>
      <c r="AB867" s="205"/>
      <c r="AC867" s="205"/>
      <c r="AD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c r="AA868" s="205"/>
      <c r="AB868" s="205"/>
      <c r="AC868" s="205"/>
      <c r="AD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c r="AA869" s="205"/>
      <c r="AB869" s="205"/>
      <c r="AC869" s="205"/>
      <c r="AD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c r="AA870" s="205"/>
      <c r="AB870" s="205"/>
      <c r="AC870" s="205"/>
      <c r="AD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c r="AA871" s="205"/>
      <c r="AB871" s="205"/>
      <c r="AC871" s="205"/>
      <c r="AD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c r="AA872" s="205"/>
      <c r="AB872" s="205"/>
      <c r="AC872" s="205"/>
      <c r="AD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c r="AA873" s="205"/>
      <c r="AB873" s="205"/>
      <c r="AC873" s="205"/>
      <c r="AD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c r="AA874" s="205"/>
      <c r="AB874" s="205"/>
      <c r="AC874" s="205"/>
      <c r="AD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c r="AA875" s="205"/>
      <c r="AB875" s="205"/>
      <c r="AC875" s="205"/>
      <c r="AD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c r="AA876" s="205"/>
      <c r="AB876" s="205"/>
      <c r="AC876" s="205"/>
      <c r="AD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c r="AA877" s="205"/>
      <c r="AB877" s="205"/>
      <c r="AC877" s="205"/>
      <c r="AD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c r="AA878" s="205"/>
      <c r="AB878" s="205"/>
      <c r="AC878" s="205"/>
      <c r="AD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c r="AA879" s="205"/>
      <c r="AB879" s="205"/>
      <c r="AC879" s="205"/>
      <c r="AD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c r="AA880" s="205"/>
      <c r="AB880" s="205"/>
      <c r="AC880" s="205"/>
      <c r="AD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c r="AA881" s="205"/>
      <c r="AB881" s="205"/>
      <c r="AC881" s="205"/>
      <c r="AD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c r="AA882" s="205"/>
      <c r="AB882" s="205"/>
      <c r="AC882" s="205"/>
      <c r="AD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c r="AA883" s="205"/>
      <c r="AB883" s="205"/>
      <c r="AC883" s="205"/>
      <c r="AD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c r="AA884" s="205"/>
      <c r="AB884" s="205"/>
      <c r="AC884" s="205"/>
      <c r="AD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c r="AA885" s="205"/>
      <c r="AB885" s="205"/>
      <c r="AC885" s="205"/>
      <c r="AD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c r="AA886" s="205"/>
      <c r="AB886" s="205"/>
      <c r="AC886" s="205"/>
      <c r="AD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c r="AA887" s="205"/>
      <c r="AB887" s="205"/>
      <c r="AC887" s="205"/>
      <c r="AD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c r="AA888" s="205"/>
      <c r="AB888" s="205"/>
      <c r="AC888" s="205"/>
      <c r="AD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c r="AA889" s="205"/>
      <c r="AB889" s="205"/>
      <c r="AC889" s="205"/>
      <c r="AD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c r="AA890" s="205"/>
      <c r="AB890" s="205"/>
      <c r="AC890" s="205"/>
      <c r="AD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c r="AA891" s="205"/>
      <c r="AB891" s="205"/>
      <c r="AC891" s="205"/>
      <c r="AD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c r="AA892" s="205"/>
      <c r="AB892" s="205"/>
      <c r="AC892" s="205"/>
      <c r="AD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c r="AA893" s="205"/>
      <c r="AB893" s="205"/>
      <c r="AC893" s="205"/>
      <c r="AD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c r="AA894" s="205"/>
      <c r="AB894" s="205"/>
      <c r="AC894" s="205"/>
      <c r="AD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c r="AA895" s="205"/>
      <c r="AB895" s="205"/>
      <c r="AC895" s="205"/>
      <c r="AD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c r="AA896" s="205"/>
      <c r="AB896" s="205"/>
      <c r="AC896" s="205"/>
      <c r="AD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c r="AA897" s="205"/>
      <c r="AB897" s="205"/>
      <c r="AC897" s="205"/>
      <c r="AD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c r="AA898" s="205"/>
      <c r="AB898" s="205"/>
      <c r="AC898" s="205"/>
      <c r="AD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c r="AA899" s="205"/>
      <c r="AB899" s="205"/>
      <c r="AC899" s="205"/>
      <c r="AD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c r="AA900" s="205"/>
      <c r="AB900" s="205"/>
      <c r="AC900" s="205"/>
      <c r="AD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c r="AA901" s="205"/>
      <c r="AB901" s="205"/>
      <c r="AC901" s="205"/>
      <c r="AD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c r="AA902" s="205"/>
      <c r="AB902" s="205"/>
      <c r="AC902" s="205"/>
      <c r="AD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c r="AA903" s="205"/>
      <c r="AB903" s="205"/>
      <c r="AC903" s="205"/>
      <c r="AD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c r="AA904" s="205"/>
      <c r="AB904" s="205"/>
      <c r="AC904" s="205"/>
      <c r="AD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c r="AA905" s="205"/>
      <c r="AB905" s="205"/>
      <c r="AC905" s="205"/>
      <c r="AD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c r="AA906" s="205"/>
      <c r="AB906" s="205"/>
      <c r="AC906" s="205"/>
      <c r="AD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c r="AA907" s="205"/>
      <c r="AB907" s="205"/>
      <c r="AC907" s="205"/>
      <c r="AD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c r="AA908" s="205"/>
      <c r="AB908" s="205"/>
      <c r="AC908" s="205"/>
      <c r="AD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c r="AA909" s="205"/>
      <c r="AB909" s="205"/>
      <c r="AC909" s="205"/>
      <c r="AD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c r="AA910" s="205"/>
      <c r="AB910" s="205"/>
      <c r="AC910" s="205"/>
      <c r="AD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c r="AA911" s="205"/>
      <c r="AB911" s="205"/>
      <c r="AC911" s="205"/>
      <c r="AD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c r="AA912" s="205"/>
      <c r="AB912" s="205"/>
      <c r="AC912" s="205"/>
      <c r="AD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c r="AA913" s="205"/>
      <c r="AB913" s="205"/>
      <c r="AC913" s="205"/>
      <c r="AD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c r="AA914" s="205"/>
      <c r="AB914" s="205"/>
      <c r="AC914" s="205"/>
      <c r="AD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c r="AA915" s="205"/>
      <c r="AB915" s="205"/>
      <c r="AC915" s="205"/>
      <c r="AD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c r="AA916" s="205"/>
      <c r="AB916" s="205"/>
      <c r="AC916" s="205"/>
      <c r="AD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c r="AA917" s="205"/>
      <c r="AB917" s="205"/>
      <c r="AC917" s="205"/>
      <c r="AD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c r="AA918" s="205"/>
      <c r="AB918" s="205"/>
      <c r="AC918" s="205"/>
      <c r="AD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c r="AA919" s="205"/>
      <c r="AB919" s="205"/>
      <c r="AC919" s="205"/>
      <c r="AD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c r="AA920" s="205"/>
      <c r="AB920" s="205"/>
      <c r="AC920" s="205"/>
      <c r="AD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c r="AA921" s="205"/>
      <c r="AB921" s="205"/>
      <c r="AC921" s="205"/>
      <c r="AD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c r="AA922" s="205"/>
      <c r="AB922" s="205"/>
      <c r="AC922" s="205"/>
      <c r="AD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c r="AA923" s="205"/>
      <c r="AB923" s="205"/>
      <c r="AC923" s="205"/>
      <c r="AD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c r="AA924" s="205"/>
      <c r="AB924" s="205"/>
      <c r="AC924" s="205"/>
      <c r="AD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c r="AA925" s="205"/>
      <c r="AB925" s="205"/>
      <c r="AC925" s="205"/>
      <c r="AD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c r="AA926" s="205"/>
      <c r="AB926" s="205"/>
      <c r="AC926" s="205"/>
      <c r="AD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c r="AA927" s="205"/>
      <c r="AB927" s="205"/>
      <c r="AC927" s="205"/>
      <c r="AD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c r="AA928" s="205"/>
      <c r="AB928" s="205"/>
      <c r="AC928" s="205"/>
      <c r="AD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c r="AA929" s="205"/>
      <c r="AB929" s="205"/>
      <c r="AC929" s="205"/>
      <c r="AD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c r="AA930" s="205"/>
      <c r="AB930" s="205"/>
      <c r="AC930" s="205"/>
      <c r="AD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c r="AA931" s="205"/>
      <c r="AB931" s="205"/>
      <c r="AC931" s="205"/>
      <c r="AD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c r="AA932" s="205"/>
      <c r="AB932" s="205"/>
      <c r="AC932" s="205"/>
      <c r="AD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c r="AA933" s="205"/>
      <c r="AB933" s="205"/>
      <c r="AC933" s="205"/>
      <c r="AD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c r="AA934" s="205"/>
      <c r="AB934" s="205"/>
      <c r="AC934" s="205"/>
      <c r="AD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c r="AA935" s="205"/>
      <c r="AB935" s="205"/>
      <c r="AC935" s="205"/>
      <c r="AD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c r="AA936" s="205"/>
      <c r="AB936" s="205"/>
      <c r="AC936" s="205"/>
      <c r="AD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c r="AA937" s="205"/>
      <c r="AB937" s="205"/>
      <c r="AC937" s="205"/>
      <c r="AD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c r="AA938" s="205"/>
      <c r="AB938" s="205"/>
      <c r="AC938" s="205"/>
      <c r="AD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c r="AA939" s="205"/>
      <c r="AB939" s="205"/>
      <c r="AC939" s="205"/>
      <c r="AD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c r="AA940" s="205"/>
      <c r="AB940" s="205"/>
      <c r="AC940" s="205"/>
      <c r="AD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c r="AA941" s="205"/>
      <c r="AB941" s="205"/>
      <c r="AC941" s="205"/>
      <c r="AD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c r="AA942" s="205"/>
      <c r="AB942" s="205"/>
      <c r="AC942" s="205"/>
      <c r="AD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c r="AA943" s="205"/>
      <c r="AB943" s="205"/>
      <c r="AC943" s="205"/>
      <c r="AD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c r="AA944" s="205"/>
      <c r="AB944" s="205"/>
      <c r="AC944" s="205"/>
      <c r="AD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c r="AA945" s="205"/>
      <c r="AB945" s="205"/>
      <c r="AC945" s="205"/>
      <c r="AD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c r="AA946" s="205"/>
      <c r="AB946" s="205"/>
      <c r="AC946" s="205"/>
      <c r="AD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c r="AA947" s="205"/>
      <c r="AB947" s="205"/>
      <c r="AC947" s="205"/>
      <c r="AD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c r="AA948" s="205"/>
      <c r="AB948" s="205"/>
      <c r="AC948" s="205"/>
      <c r="AD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c r="AA949" s="205"/>
      <c r="AB949" s="205"/>
      <c r="AC949" s="205"/>
      <c r="AD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c r="AA950" s="205"/>
      <c r="AB950" s="205"/>
      <c r="AC950" s="205"/>
      <c r="AD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c r="AA951" s="205"/>
      <c r="AB951" s="205"/>
      <c r="AC951" s="205"/>
      <c r="AD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c r="AA952" s="205"/>
      <c r="AB952" s="205"/>
      <c r="AC952" s="205"/>
      <c r="AD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c r="AA953" s="205"/>
      <c r="AB953" s="205"/>
      <c r="AC953" s="205"/>
      <c r="AD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c r="AA954" s="205"/>
      <c r="AB954" s="205"/>
      <c r="AC954" s="205"/>
      <c r="AD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c r="AA955" s="205"/>
      <c r="AB955" s="205"/>
      <c r="AC955" s="205"/>
      <c r="AD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c r="AA956" s="205"/>
      <c r="AB956" s="205"/>
      <c r="AC956" s="205"/>
      <c r="AD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c r="AA957" s="205"/>
      <c r="AB957" s="205"/>
      <c r="AC957" s="205"/>
      <c r="AD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c r="AA958" s="205"/>
      <c r="AB958" s="205"/>
      <c r="AC958" s="205"/>
      <c r="AD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c r="AA959" s="205"/>
      <c r="AB959" s="205"/>
      <c r="AC959" s="205"/>
      <c r="AD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c r="AA960" s="205"/>
      <c r="AB960" s="205"/>
      <c r="AC960" s="205"/>
      <c r="AD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c r="AA961" s="205"/>
      <c r="AB961" s="205"/>
      <c r="AC961" s="205"/>
      <c r="AD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c r="AA962" s="205"/>
      <c r="AB962" s="205"/>
      <c r="AC962" s="205"/>
      <c r="AD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c r="AA963" s="205"/>
      <c r="AB963" s="205"/>
      <c r="AC963" s="205"/>
      <c r="AD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c r="AA964" s="205"/>
      <c r="AB964" s="205"/>
      <c r="AC964" s="205"/>
      <c r="AD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c r="AA965" s="205"/>
      <c r="AB965" s="205"/>
      <c r="AC965" s="205"/>
      <c r="AD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c r="AA966" s="205"/>
      <c r="AB966" s="205"/>
      <c r="AC966" s="205"/>
      <c r="AD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c r="AA967" s="205"/>
      <c r="AB967" s="205"/>
      <c r="AC967" s="205"/>
      <c r="AD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c r="AA968" s="205"/>
      <c r="AB968" s="205"/>
      <c r="AC968" s="205"/>
      <c r="AD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c r="AA969" s="205"/>
      <c r="AB969" s="205"/>
      <c r="AC969" s="205"/>
      <c r="AD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c r="AA970" s="205"/>
      <c r="AB970" s="205"/>
      <c r="AC970" s="205"/>
      <c r="AD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c r="AA971" s="205"/>
      <c r="AB971" s="205"/>
      <c r="AC971" s="205"/>
      <c r="AD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c r="AA972" s="205"/>
      <c r="AB972" s="205"/>
      <c r="AC972" s="205"/>
      <c r="AD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c r="AA973" s="205"/>
      <c r="AB973" s="205"/>
      <c r="AC973" s="205"/>
      <c r="AD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c r="AA974" s="205"/>
      <c r="AB974" s="205"/>
      <c r="AC974" s="205"/>
      <c r="AD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c r="AA975" s="205"/>
      <c r="AB975" s="205"/>
      <c r="AC975" s="205"/>
      <c r="AD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c r="AA976" s="205"/>
      <c r="AB976" s="205"/>
      <c r="AC976" s="205"/>
      <c r="AD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c r="AA977" s="205"/>
      <c r="AB977" s="205"/>
      <c r="AC977" s="205"/>
      <c r="AD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c r="AA978" s="205"/>
      <c r="AB978" s="205"/>
      <c r="AC978" s="205"/>
      <c r="AD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c r="AA979" s="205"/>
      <c r="AB979" s="205"/>
      <c r="AC979" s="205"/>
      <c r="AD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c r="AA980" s="205"/>
      <c r="AB980" s="205"/>
      <c r="AC980" s="205"/>
      <c r="AD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c r="AA981" s="205"/>
      <c r="AB981" s="205"/>
      <c r="AC981" s="205"/>
      <c r="AD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c r="AA982" s="205"/>
      <c r="AB982" s="205"/>
      <c r="AC982" s="205"/>
      <c r="AD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c r="AA983" s="205"/>
      <c r="AB983" s="205"/>
      <c r="AC983" s="205"/>
      <c r="AD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c r="AA984" s="205"/>
      <c r="AB984" s="205"/>
      <c r="AC984" s="205"/>
      <c r="AD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c r="AA985" s="205"/>
      <c r="AB985" s="205"/>
      <c r="AC985" s="205"/>
      <c r="AD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c r="AA986" s="205"/>
      <c r="AB986" s="205"/>
      <c r="AC986" s="205"/>
      <c r="AD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c r="AA987" s="205"/>
      <c r="AB987" s="205"/>
      <c r="AC987" s="205"/>
      <c r="AD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c r="AA988" s="205"/>
      <c r="AB988" s="205"/>
      <c r="AC988" s="205"/>
      <c r="AD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c r="AA989" s="205"/>
      <c r="AB989" s="205"/>
      <c r="AC989" s="205"/>
      <c r="AD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c r="AA990" s="205"/>
      <c r="AB990" s="205"/>
      <c r="AC990" s="205"/>
      <c r="AD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c r="AA991" s="205"/>
      <c r="AB991" s="205"/>
      <c r="AC991" s="205"/>
      <c r="AD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c r="AA992" s="205"/>
      <c r="AB992" s="205"/>
      <c r="AC992" s="205"/>
      <c r="AD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c r="AA993" s="205"/>
      <c r="AB993" s="205"/>
      <c r="AC993" s="205"/>
      <c r="AD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c r="AA994" s="205"/>
      <c r="AB994" s="205"/>
      <c r="AC994" s="205"/>
      <c r="AD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c r="AA995" s="205"/>
      <c r="AB995" s="205"/>
      <c r="AC995" s="205"/>
      <c r="AD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c r="AA996" s="205"/>
      <c r="AB996" s="205"/>
      <c r="AC996" s="205"/>
      <c r="AD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c r="AA997" s="205"/>
      <c r="AB997" s="205"/>
      <c r="AC997" s="205"/>
      <c r="AD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c r="AA998" s="205"/>
      <c r="AB998" s="205"/>
      <c r="AC998" s="205"/>
      <c r="AD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c r="AA999" s="205"/>
      <c r="AB999" s="205"/>
      <c r="AC999" s="205"/>
      <c r="AD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c r="AA1000" s="205"/>
      <c r="AB1000" s="205"/>
      <c r="AC1000" s="205"/>
      <c r="AD1000" s="20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8" t="str">
        <f t="shared" ref="A1:O1" si="1">'Municipality Case Trends'!A5</f>
        <v>#REF!</v>
      </c>
      <c r="B1" s="188" t="str">
        <f t="shared" si="1"/>
        <v>#REF!</v>
      </c>
      <c r="C1" s="188" t="str">
        <f t="shared" si="1"/>
        <v>#REF!</v>
      </c>
      <c r="D1" s="188" t="str">
        <f t="shared" si="1"/>
        <v>#REF!</v>
      </c>
      <c r="E1" s="188" t="str">
        <f t="shared" si="1"/>
        <v>#REF!</v>
      </c>
      <c r="F1" s="188" t="str">
        <f t="shared" si="1"/>
        <v>#REF!</v>
      </c>
      <c r="G1" s="188" t="str">
        <f t="shared" si="1"/>
        <v>#REF!</v>
      </c>
      <c r="H1" s="188" t="str">
        <f t="shared" si="1"/>
        <v>#REF!</v>
      </c>
      <c r="I1" s="188" t="str">
        <f t="shared" si="1"/>
        <v>#REF!</v>
      </c>
      <c r="J1" s="188" t="str">
        <f t="shared" si="1"/>
        <v>#REF!</v>
      </c>
      <c r="K1" s="188" t="str">
        <f t="shared" si="1"/>
        <v>#REF!</v>
      </c>
      <c r="L1" s="188" t="str">
        <f t="shared" si="1"/>
        <v>#REF!</v>
      </c>
      <c r="M1" s="188" t="str">
        <f t="shared" si="1"/>
        <v>#REF!</v>
      </c>
      <c r="N1" s="188" t="str">
        <f t="shared" si="1"/>
        <v>#REF!</v>
      </c>
      <c r="O1" s="188" t="str">
        <f t="shared" si="1"/>
        <v>#REF!</v>
      </c>
      <c r="P1" s="188" t="str">
        <f t="shared" ref="P1:Z1" si="2">#REF!</f>
        <v>#REF!</v>
      </c>
      <c r="Q1" s="188" t="str">
        <f t="shared" si="2"/>
        <v>#REF!</v>
      </c>
      <c r="R1" s="188" t="str">
        <f t="shared" si="2"/>
        <v>#REF!</v>
      </c>
      <c r="S1" s="188" t="str">
        <f t="shared" si="2"/>
        <v>#REF!</v>
      </c>
      <c r="T1" s="188" t="str">
        <f t="shared" si="2"/>
        <v>#REF!</v>
      </c>
      <c r="U1" s="188" t="str">
        <f t="shared" si="2"/>
        <v>#REF!</v>
      </c>
      <c r="V1" s="188" t="str">
        <f t="shared" si="2"/>
        <v>#REF!</v>
      </c>
      <c r="W1" s="188" t="str">
        <f t="shared" si="2"/>
        <v>#REF!</v>
      </c>
      <c r="X1" s="188" t="str">
        <f t="shared" si="2"/>
        <v>#REF!</v>
      </c>
      <c r="Y1" s="188" t="str">
        <f t="shared" si="2"/>
        <v>#REF!</v>
      </c>
      <c r="Z1" s="188" t="str">
        <f t="shared" si="2"/>
        <v>#REF!</v>
      </c>
    </row>
    <row r="2">
      <c r="A2" s="188" t="str">
        <f t="shared" ref="A2:O2" si="3">'Municipality Case Trends'!A6</f>
        <v>#REF!</v>
      </c>
      <c r="B2" s="188" t="str">
        <f t="shared" si="3"/>
        <v>#REF!</v>
      </c>
      <c r="C2" s="188" t="str">
        <f t="shared" si="3"/>
        <v>#REF!</v>
      </c>
      <c r="D2" s="188" t="str">
        <f t="shared" si="3"/>
        <v>#REF!</v>
      </c>
      <c r="E2" s="188" t="str">
        <f t="shared" si="3"/>
        <v>#REF!</v>
      </c>
      <c r="F2" s="188" t="str">
        <f t="shared" si="3"/>
        <v>#REF!</v>
      </c>
      <c r="G2" s="188" t="str">
        <f t="shared" si="3"/>
        <v>#REF!</v>
      </c>
      <c r="H2" s="188" t="str">
        <f t="shared" si="3"/>
        <v>#REF!</v>
      </c>
      <c r="I2" s="188" t="str">
        <f t="shared" si="3"/>
        <v>#REF!</v>
      </c>
      <c r="J2" s="188" t="str">
        <f t="shared" si="3"/>
        <v>#REF!</v>
      </c>
      <c r="K2" s="188" t="str">
        <f t="shared" si="3"/>
        <v>#REF!</v>
      </c>
      <c r="L2" s="188" t="str">
        <f t="shared" si="3"/>
        <v>#REF!</v>
      </c>
      <c r="M2" s="188" t="str">
        <f t="shared" si="3"/>
        <v>#REF!</v>
      </c>
      <c r="N2" s="188" t="str">
        <f t="shared" si="3"/>
        <v>#REF!</v>
      </c>
      <c r="O2" s="188" t="str">
        <f t="shared" si="3"/>
        <v>#REF!</v>
      </c>
      <c r="P2" s="188" t="str">
        <f t="shared" ref="P2:X2" si="4">#REF!</f>
        <v>#REF!</v>
      </c>
      <c r="Q2" s="188" t="str">
        <f t="shared" si="4"/>
        <v>#REF!</v>
      </c>
      <c r="R2" s="188" t="str">
        <f t="shared" si="4"/>
        <v>#REF!</v>
      </c>
      <c r="S2" s="188" t="str">
        <f t="shared" si="4"/>
        <v>#REF!</v>
      </c>
      <c r="T2" s="188" t="str">
        <f t="shared" si="4"/>
        <v>#REF!</v>
      </c>
      <c r="U2" s="188" t="str">
        <f t="shared" si="4"/>
        <v>#REF!</v>
      </c>
      <c r="V2" s="188" t="str">
        <f t="shared" si="4"/>
        <v>#REF!</v>
      </c>
      <c r="W2" s="188" t="str">
        <f t="shared" si="4"/>
        <v>#REF!</v>
      </c>
      <c r="X2" s="188" t="str">
        <f t="shared" si="4"/>
        <v>#REF!</v>
      </c>
    </row>
    <row r="3">
      <c r="A3" s="188" t="str">
        <f t="shared" ref="A3:O3" si="5">'Municipality Case Trends'!A7</f>
        <v>#REF!</v>
      </c>
      <c r="B3" s="188" t="str">
        <f t="shared" si="5"/>
        <v>#REF!</v>
      </c>
      <c r="C3" s="188" t="str">
        <f t="shared" si="5"/>
        <v>#REF!</v>
      </c>
      <c r="D3" s="188" t="str">
        <f t="shared" si="5"/>
        <v>#REF!</v>
      </c>
      <c r="E3" s="188" t="str">
        <f t="shared" si="5"/>
        <v>#REF!</v>
      </c>
      <c r="F3" s="188" t="str">
        <f t="shared" si="5"/>
        <v>#REF!</v>
      </c>
      <c r="G3" s="188" t="str">
        <f t="shared" si="5"/>
        <v>#REF!</v>
      </c>
      <c r="H3" s="188" t="str">
        <f t="shared" si="5"/>
        <v>#REF!</v>
      </c>
      <c r="I3" s="188" t="str">
        <f t="shared" si="5"/>
        <v>#REF!</v>
      </c>
      <c r="J3" s="188" t="str">
        <f t="shared" si="5"/>
        <v>#REF!</v>
      </c>
      <c r="K3" s="188" t="str">
        <f t="shared" si="5"/>
        <v>#REF!</v>
      </c>
      <c r="L3" s="188" t="str">
        <f t="shared" si="5"/>
        <v>#REF!</v>
      </c>
      <c r="M3" s="188" t="str">
        <f t="shared" si="5"/>
        <v>#REF!</v>
      </c>
      <c r="N3" s="188" t="str">
        <f t="shared" si="5"/>
        <v>#REF!</v>
      </c>
      <c r="O3" s="188" t="str">
        <f t="shared" si="5"/>
        <v>#REF!</v>
      </c>
      <c r="P3" s="188" t="str">
        <f t="shared" ref="P3:X3" si="6">#REF!</f>
        <v>#REF!</v>
      </c>
      <c r="Q3" s="188" t="str">
        <f t="shared" si="6"/>
        <v>#REF!</v>
      </c>
      <c r="R3" s="188" t="str">
        <f t="shared" si="6"/>
        <v>#REF!</v>
      </c>
      <c r="S3" s="188" t="str">
        <f t="shared" si="6"/>
        <v>#REF!</v>
      </c>
      <c r="T3" s="188" t="str">
        <f t="shared" si="6"/>
        <v>#REF!</v>
      </c>
      <c r="U3" s="188" t="str">
        <f t="shared" si="6"/>
        <v>#REF!</v>
      </c>
      <c r="V3" s="188" t="str">
        <f t="shared" si="6"/>
        <v>#REF!</v>
      </c>
      <c r="W3" s="188" t="str">
        <f t="shared" si="6"/>
        <v>#REF!</v>
      </c>
      <c r="X3" s="188" t="str">
        <f t="shared" si="6"/>
        <v>#REF!</v>
      </c>
    </row>
    <row r="4">
      <c r="A4" s="188" t="str">
        <f t="shared" ref="A4:O4" si="7">'Municipality Case Trends'!A8</f>
        <v>#REF!</v>
      </c>
      <c r="B4" s="188" t="str">
        <f t="shared" si="7"/>
        <v>#REF!</v>
      </c>
      <c r="C4" s="188" t="str">
        <f t="shared" si="7"/>
        <v>#REF!</v>
      </c>
      <c r="D4" s="188" t="str">
        <f t="shared" si="7"/>
        <v>#REF!</v>
      </c>
      <c r="E4" s="188" t="str">
        <f t="shared" si="7"/>
        <v>#REF!</v>
      </c>
      <c r="F4" s="188" t="str">
        <f t="shared" si="7"/>
        <v>#REF!</v>
      </c>
      <c r="G4" s="188" t="str">
        <f t="shared" si="7"/>
        <v>#REF!</v>
      </c>
      <c r="H4" s="188" t="str">
        <f t="shared" si="7"/>
        <v>#REF!</v>
      </c>
      <c r="I4" s="188" t="str">
        <f t="shared" si="7"/>
        <v>#REF!</v>
      </c>
      <c r="J4" s="188" t="str">
        <f t="shared" si="7"/>
        <v>#REF!</v>
      </c>
      <c r="K4" s="188" t="str">
        <f t="shared" si="7"/>
        <v>#REF!</v>
      </c>
      <c r="L4" s="188" t="str">
        <f t="shared" si="7"/>
        <v>#REF!</v>
      </c>
      <c r="M4" s="188" t="str">
        <f t="shared" si="7"/>
        <v>#REF!</v>
      </c>
      <c r="N4" s="188" t="str">
        <f t="shared" si="7"/>
        <v>#REF!</v>
      </c>
      <c r="O4" s="188" t="str">
        <f t="shared" si="7"/>
        <v>#REF!</v>
      </c>
      <c r="P4" s="188" t="str">
        <f t="shared" ref="P4:X4" si="8">#REF!</f>
        <v>#REF!</v>
      </c>
      <c r="Q4" s="188" t="str">
        <f t="shared" si="8"/>
        <v>#REF!</v>
      </c>
      <c r="R4" s="188" t="str">
        <f t="shared" si="8"/>
        <v>#REF!</v>
      </c>
      <c r="S4" s="188" t="str">
        <f t="shared" si="8"/>
        <v>#REF!</v>
      </c>
      <c r="T4" s="188" t="str">
        <f t="shared" si="8"/>
        <v>#REF!</v>
      </c>
      <c r="U4" s="188" t="str">
        <f t="shared" si="8"/>
        <v>#REF!</v>
      </c>
      <c r="V4" s="188" t="str">
        <f t="shared" si="8"/>
        <v>#REF!</v>
      </c>
      <c r="W4" s="188" t="str">
        <f t="shared" si="8"/>
        <v>#REF!</v>
      </c>
      <c r="X4" s="188" t="str">
        <f t="shared" si="8"/>
        <v>#REF!</v>
      </c>
    </row>
    <row r="5">
      <c r="A5" s="188" t="str">
        <f t="shared" ref="A5:O5" si="9">'Municipality Case Trends'!A9</f>
        <v>#REF!</v>
      </c>
      <c r="B5" s="188" t="str">
        <f t="shared" si="9"/>
        <v>#REF!</v>
      </c>
      <c r="C5" s="188" t="str">
        <f t="shared" si="9"/>
        <v>#REF!</v>
      </c>
      <c r="D5" s="188" t="str">
        <f t="shared" si="9"/>
        <v>#REF!</v>
      </c>
      <c r="E5" s="188" t="str">
        <f t="shared" si="9"/>
        <v>#REF!</v>
      </c>
      <c r="F5" s="188" t="str">
        <f t="shared" si="9"/>
        <v>#REF!</v>
      </c>
      <c r="G5" s="188" t="str">
        <f t="shared" si="9"/>
        <v>#REF!</v>
      </c>
      <c r="H5" s="188" t="str">
        <f t="shared" si="9"/>
        <v>#REF!</v>
      </c>
      <c r="I5" s="188" t="str">
        <f t="shared" si="9"/>
        <v>#REF!</v>
      </c>
      <c r="J5" s="188" t="str">
        <f t="shared" si="9"/>
        <v>#REF!</v>
      </c>
      <c r="K5" s="188" t="str">
        <f t="shared" si="9"/>
        <v>#REF!</v>
      </c>
      <c r="L5" s="188" t="str">
        <f t="shared" si="9"/>
        <v>#REF!</v>
      </c>
      <c r="M5" s="188" t="str">
        <f t="shared" si="9"/>
        <v>#REF!</v>
      </c>
      <c r="N5" s="188" t="str">
        <f t="shared" si="9"/>
        <v>#REF!</v>
      </c>
      <c r="O5" s="188" t="str">
        <f t="shared" si="9"/>
        <v>#REF!</v>
      </c>
      <c r="P5" s="188" t="str">
        <f t="shared" ref="P5:X5" si="10">#REF!</f>
        <v>#REF!</v>
      </c>
      <c r="Q5" s="188" t="str">
        <f t="shared" si="10"/>
        <v>#REF!</v>
      </c>
      <c r="R5" s="188" t="str">
        <f t="shared" si="10"/>
        <v>#REF!</v>
      </c>
      <c r="S5" s="188" t="str">
        <f t="shared" si="10"/>
        <v>#REF!</v>
      </c>
      <c r="T5" s="188" t="str">
        <f t="shared" si="10"/>
        <v>#REF!</v>
      </c>
      <c r="U5" s="188" t="str">
        <f t="shared" si="10"/>
        <v>#REF!</v>
      </c>
      <c r="V5" s="188" t="str">
        <f t="shared" si="10"/>
        <v>#REF!</v>
      </c>
      <c r="W5" s="188" t="str">
        <f t="shared" si="10"/>
        <v>#REF!</v>
      </c>
      <c r="X5" s="188" t="str">
        <f t="shared" si="10"/>
        <v>#REF!</v>
      </c>
    </row>
    <row r="6">
      <c r="A6" s="188" t="str">
        <f t="shared" ref="A6:O6" si="11">'Municipality Case Trends'!A10</f>
        <v>#REF!</v>
      </c>
      <c r="B6" s="188" t="str">
        <f t="shared" si="11"/>
        <v>#REF!</v>
      </c>
      <c r="C6" s="188" t="str">
        <f t="shared" si="11"/>
        <v>#REF!</v>
      </c>
      <c r="D6" s="188" t="str">
        <f t="shared" si="11"/>
        <v>#REF!</v>
      </c>
      <c r="E6" s="188" t="str">
        <f t="shared" si="11"/>
        <v>#REF!</v>
      </c>
      <c r="F6" s="188" t="str">
        <f t="shared" si="11"/>
        <v>#REF!</v>
      </c>
      <c r="G6" s="188" t="str">
        <f t="shared" si="11"/>
        <v>#REF!</v>
      </c>
      <c r="H6" s="188" t="str">
        <f t="shared" si="11"/>
        <v>#REF!</v>
      </c>
      <c r="I6" s="188" t="str">
        <f t="shared" si="11"/>
        <v>#REF!</v>
      </c>
      <c r="J6" s="188" t="str">
        <f t="shared" si="11"/>
        <v>#REF!</v>
      </c>
      <c r="K6" s="188" t="str">
        <f t="shared" si="11"/>
        <v>#REF!</v>
      </c>
      <c r="L6" s="188" t="str">
        <f t="shared" si="11"/>
        <v>#REF!</v>
      </c>
      <c r="M6" s="188" t="str">
        <f t="shared" si="11"/>
        <v>#REF!</v>
      </c>
      <c r="N6" s="188" t="str">
        <f t="shared" si="11"/>
        <v>#REF!</v>
      </c>
      <c r="O6" s="188" t="str">
        <f t="shared" si="11"/>
        <v>#REF!</v>
      </c>
      <c r="P6" s="188" t="str">
        <f t="shared" ref="P6:X6" si="12">#REF!</f>
        <v>#REF!</v>
      </c>
      <c r="Q6" s="188" t="str">
        <f t="shared" si="12"/>
        <v>#REF!</v>
      </c>
      <c r="R6" s="188" t="str">
        <f t="shared" si="12"/>
        <v>#REF!</v>
      </c>
      <c r="S6" s="188" t="str">
        <f t="shared" si="12"/>
        <v>#REF!</v>
      </c>
      <c r="T6" s="188" t="str">
        <f t="shared" si="12"/>
        <v>#REF!</v>
      </c>
      <c r="U6" s="188" t="str">
        <f t="shared" si="12"/>
        <v>#REF!</v>
      </c>
      <c r="V6" s="188" t="str">
        <f t="shared" si="12"/>
        <v>#REF!</v>
      </c>
      <c r="W6" s="188" t="str">
        <f t="shared" si="12"/>
        <v>#REF!</v>
      </c>
      <c r="X6" s="188" t="str">
        <f t="shared" si="12"/>
        <v>#REF!</v>
      </c>
    </row>
    <row r="7">
      <c r="A7" s="188" t="str">
        <f t="shared" ref="A7:O7" si="13">'Municipality Case Trends'!A11</f>
        <v>#REF!</v>
      </c>
      <c r="B7" s="188" t="str">
        <f t="shared" si="13"/>
        <v>#REF!</v>
      </c>
      <c r="C7" s="188" t="str">
        <f t="shared" si="13"/>
        <v>#REF!</v>
      </c>
      <c r="D7" s="188" t="str">
        <f t="shared" si="13"/>
        <v>#REF!</v>
      </c>
      <c r="E7" s="188" t="str">
        <f t="shared" si="13"/>
        <v>#REF!</v>
      </c>
      <c r="F7" s="188" t="str">
        <f t="shared" si="13"/>
        <v>#REF!</v>
      </c>
      <c r="G7" s="188" t="str">
        <f t="shared" si="13"/>
        <v>#REF!</v>
      </c>
      <c r="H7" s="188" t="str">
        <f t="shared" si="13"/>
        <v>#REF!</v>
      </c>
      <c r="I7" s="188" t="str">
        <f t="shared" si="13"/>
        <v>#REF!</v>
      </c>
      <c r="J7" s="188" t="str">
        <f t="shared" si="13"/>
        <v>#REF!</v>
      </c>
      <c r="K7" s="188" t="str">
        <f t="shared" si="13"/>
        <v>#REF!</v>
      </c>
      <c r="L7" s="188" t="str">
        <f t="shared" si="13"/>
        <v>#REF!</v>
      </c>
      <c r="M7" s="188" t="str">
        <f t="shared" si="13"/>
        <v>#REF!</v>
      </c>
      <c r="N7" s="188" t="str">
        <f t="shared" si="13"/>
        <v>#REF!</v>
      </c>
      <c r="O7" s="188" t="str">
        <f t="shared" si="13"/>
        <v>#REF!</v>
      </c>
      <c r="P7" s="188" t="str">
        <f t="shared" ref="P7:X7" si="14">#REF!</f>
        <v>#REF!</v>
      </c>
      <c r="Q7" s="188" t="str">
        <f t="shared" si="14"/>
        <v>#REF!</v>
      </c>
      <c r="R7" s="188" t="str">
        <f t="shared" si="14"/>
        <v>#REF!</v>
      </c>
      <c r="S7" s="188" t="str">
        <f t="shared" si="14"/>
        <v>#REF!</v>
      </c>
      <c r="T7" s="188" t="str">
        <f t="shared" si="14"/>
        <v>#REF!</v>
      </c>
      <c r="U7" s="188" t="str">
        <f t="shared" si="14"/>
        <v>#REF!</v>
      </c>
      <c r="V7" s="188" t="str">
        <f t="shared" si="14"/>
        <v>#REF!</v>
      </c>
      <c r="W7" s="188" t="str">
        <f t="shared" si="14"/>
        <v>#REF!</v>
      </c>
      <c r="X7" s="188" t="str">
        <f t="shared" si="14"/>
        <v>#REF!</v>
      </c>
    </row>
    <row r="8">
      <c r="A8" s="188" t="str">
        <f t="shared" ref="A8:O8" si="15">'Municipality Case Trends'!A12</f>
        <v>#REF!</v>
      </c>
      <c r="B8" s="188" t="str">
        <f t="shared" si="15"/>
        <v>#REF!</v>
      </c>
      <c r="C8" s="188" t="str">
        <f t="shared" si="15"/>
        <v>#REF!</v>
      </c>
      <c r="D8" s="188" t="str">
        <f t="shared" si="15"/>
        <v>#REF!</v>
      </c>
      <c r="E8" s="188" t="str">
        <f t="shared" si="15"/>
        <v>#REF!</v>
      </c>
      <c r="F8" s="188" t="str">
        <f t="shared" si="15"/>
        <v>#REF!</v>
      </c>
      <c r="G8" s="188" t="str">
        <f t="shared" si="15"/>
        <v>#REF!</v>
      </c>
      <c r="H8" s="188" t="str">
        <f t="shared" si="15"/>
        <v>#REF!</v>
      </c>
      <c r="I8" s="188" t="str">
        <f t="shared" si="15"/>
        <v>#REF!</v>
      </c>
      <c r="J8" s="188" t="str">
        <f t="shared" si="15"/>
        <v>#REF!</v>
      </c>
      <c r="K8" s="188" t="str">
        <f t="shared" si="15"/>
        <v>#REF!</v>
      </c>
      <c r="L8" s="188" t="str">
        <f t="shared" si="15"/>
        <v>#REF!</v>
      </c>
      <c r="M8" s="188" t="str">
        <f t="shared" si="15"/>
        <v>#REF!</v>
      </c>
      <c r="N8" s="188" t="str">
        <f t="shared" si="15"/>
        <v>#REF!</v>
      </c>
      <c r="O8" s="188" t="str">
        <f t="shared" si="15"/>
        <v>#REF!</v>
      </c>
      <c r="P8" s="188" t="str">
        <f t="shared" ref="P8:X8" si="16">#REF!</f>
        <v>#REF!</v>
      </c>
      <c r="Q8" s="188" t="str">
        <f t="shared" si="16"/>
        <v>#REF!</v>
      </c>
      <c r="R8" s="188" t="str">
        <f t="shared" si="16"/>
        <v>#REF!</v>
      </c>
      <c r="S8" s="188" t="str">
        <f t="shared" si="16"/>
        <v>#REF!</v>
      </c>
      <c r="T8" s="188" t="str">
        <f t="shared" si="16"/>
        <v>#REF!</v>
      </c>
      <c r="U8" s="188" t="str">
        <f t="shared" si="16"/>
        <v>#REF!</v>
      </c>
      <c r="V8" s="188" t="str">
        <f t="shared" si="16"/>
        <v>#REF!</v>
      </c>
      <c r="W8" s="188" t="str">
        <f t="shared" si="16"/>
        <v>#REF!</v>
      </c>
      <c r="X8" s="188" t="str">
        <f t="shared" si="16"/>
        <v>#REF!</v>
      </c>
    </row>
    <row r="9">
      <c r="A9" s="188" t="str">
        <f t="shared" ref="A9:O9" si="17">'Municipality Case Trends'!A13</f>
        <v>#REF!</v>
      </c>
      <c r="B9" s="188" t="str">
        <f t="shared" si="17"/>
        <v>#REF!</v>
      </c>
      <c r="C9" s="188" t="str">
        <f t="shared" si="17"/>
        <v>#REF!</v>
      </c>
      <c r="D9" s="188" t="str">
        <f t="shared" si="17"/>
        <v>#REF!</v>
      </c>
      <c r="E9" s="188" t="str">
        <f t="shared" si="17"/>
        <v>#REF!</v>
      </c>
      <c r="F9" s="188" t="str">
        <f t="shared" si="17"/>
        <v>#REF!</v>
      </c>
      <c r="G9" s="188" t="str">
        <f t="shared" si="17"/>
        <v>#REF!</v>
      </c>
      <c r="H9" s="188" t="str">
        <f t="shared" si="17"/>
        <v>#REF!</v>
      </c>
      <c r="I9" s="188" t="str">
        <f t="shared" si="17"/>
        <v>#REF!</v>
      </c>
      <c r="J9" s="188" t="str">
        <f t="shared" si="17"/>
        <v>#REF!</v>
      </c>
      <c r="K9" s="188" t="str">
        <f t="shared" si="17"/>
        <v>#REF!</v>
      </c>
      <c r="L9" s="188" t="str">
        <f t="shared" si="17"/>
        <v>#REF!</v>
      </c>
      <c r="M9" s="188" t="str">
        <f t="shared" si="17"/>
        <v>#REF!</v>
      </c>
      <c r="N9" s="188" t="str">
        <f t="shared" si="17"/>
        <v>#REF!</v>
      </c>
      <c r="O9" s="188" t="str">
        <f t="shared" si="17"/>
        <v>#REF!</v>
      </c>
      <c r="P9" s="188" t="str">
        <f t="shared" ref="P9:X9" si="18">#REF!</f>
        <v>#REF!</v>
      </c>
      <c r="Q9" s="188" t="str">
        <f t="shared" si="18"/>
        <v>#REF!</v>
      </c>
      <c r="R9" s="188" t="str">
        <f t="shared" si="18"/>
        <v>#REF!</v>
      </c>
      <c r="S9" s="188" t="str">
        <f t="shared" si="18"/>
        <v>#REF!</v>
      </c>
      <c r="T9" s="188" t="str">
        <f t="shared" si="18"/>
        <v>#REF!</v>
      </c>
      <c r="U9" s="188" t="str">
        <f t="shared" si="18"/>
        <v>#REF!</v>
      </c>
      <c r="V9" s="188" t="str">
        <f t="shared" si="18"/>
        <v>#REF!</v>
      </c>
      <c r="W9" s="188" t="str">
        <f t="shared" si="18"/>
        <v>#REF!</v>
      </c>
      <c r="X9" s="188" t="str">
        <f t="shared" si="18"/>
        <v>#REF!</v>
      </c>
    </row>
    <row r="10">
      <c r="A10" s="188" t="str">
        <f t="shared" ref="A10:O10" si="19">'Municipality Case Trends'!A14</f>
        <v>#REF!</v>
      </c>
      <c r="B10" s="188" t="str">
        <f t="shared" si="19"/>
        <v>#REF!</v>
      </c>
      <c r="C10" s="188" t="str">
        <f t="shared" si="19"/>
        <v>#REF!</v>
      </c>
      <c r="D10" s="188" t="str">
        <f t="shared" si="19"/>
        <v>#REF!</v>
      </c>
      <c r="E10" s="188" t="str">
        <f t="shared" si="19"/>
        <v>#REF!</v>
      </c>
      <c r="F10" s="188" t="str">
        <f t="shared" si="19"/>
        <v>#REF!</v>
      </c>
      <c r="G10" s="188" t="str">
        <f t="shared" si="19"/>
        <v>#REF!</v>
      </c>
      <c r="H10" s="188" t="str">
        <f t="shared" si="19"/>
        <v>#REF!</v>
      </c>
      <c r="I10" s="188" t="str">
        <f t="shared" si="19"/>
        <v>#REF!</v>
      </c>
      <c r="J10" s="188" t="str">
        <f t="shared" si="19"/>
        <v>#REF!</v>
      </c>
      <c r="K10" s="188" t="str">
        <f t="shared" si="19"/>
        <v>#REF!</v>
      </c>
      <c r="L10" s="188" t="str">
        <f t="shared" si="19"/>
        <v>#REF!</v>
      </c>
      <c r="M10" s="188" t="str">
        <f t="shared" si="19"/>
        <v>#REF!</v>
      </c>
      <c r="N10" s="188" t="str">
        <f t="shared" si="19"/>
        <v>#REF!</v>
      </c>
      <c r="O10" s="188" t="str">
        <f t="shared" si="19"/>
        <v>#REF!</v>
      </c>
      <c r="P10" s="188" t="str">
        <f t="shared" ref="P10:X10" si="20">#REF!</f>
        <v>#REF!</v>
      </c>
      <c r="Q10" s="188" t="str">
        <f t="shared" si="20"/>
        <v>#REF!</v>
      </c>
      <c r="R10" s="188" t="str">
        <f t="shared" si="20"/>
        <v>#REF!</v>
      </c>
      <c r="S10" s="188" t="str">
        <f t="shared" si="20"/>
        <v>#REF!</v>
      </c>
      <c r="T10" s="188" t="str">
        <f t="shared" si="20"/>
        <v>#REF!</v>
      </c>
      <c r="U10" s="188" t="str">
        <f t="shared" si="20"/>
        <v>#REF!</v>
      </c>
      <c r="V10" s="188" t="str">
        <f t="shared" si="20"/>
        <v>#REF!</v>
      </c>
      <c r="W10" s="188" t="str">
        <f t="shared" si="20"/>
        <v>#REF!</v>
      </c>
      <c r="X10" s="188" t="str">
        <f t="shared" si="20"/>
        <v>#REF!</v>
      </c>
    </row>
    <row r="11">
      <c r="A11" s="188" t="str">
        <f t="shared" ref="A11:O11" si="21">'Municipality Case Trends'!A15</f>
        <v>#REF!</v>
      </c>
      <c r="B11" s="188" t="str">
        <f t="shared" si="21"/>
        <v>#REF!</v>
      </c>
      <c r="C11" s="188" t="str">
        <f t="shared" si="21"/>
        <v>#REF!</v>
      </c>
      <c r="D11" s="188" t="str">
        <f t="shared" si="21"/>
        <v>#REF!</v>
      </c>
      <c r="E11" s="188" t="str">
        <f t="shared" si="21"/>
        <v>#REF!</v>
      </c>
      <c r="F11" s="188" t="str">
        <f t="shared" si="21"/>
        <v>#REF!</v>
      </c>
      <c r="G11" s="188" t="str">
        <f t="shared" si="21"/>
        <v>#REF!</v>
      </c>
      <c r="H11" s="188" t="str">
        <f t="shared" si="21"/>
        <v>#REF!</v>
      </c>
      <c r="I11" s="188" t="str">
        <f t="shared" si="21"/>
        <v>#REF!</v>
      </c>
      <c r="J11" s="188" t="str">
        <f t="shared" si="21"/>
        <v>#REF!</v>
      </c>
      <c r="K11" s="188" t="str">
        <f t="shared" si="21"/>
        <v>#REF!</v>
      </c>
      <c r="L11" s="188" t="str">
        <f t="shared" si="21"/>
        <v>#REF!</v>
      </c>
      <c r="M11" s="188" t="str">
        <f t="shared" si="21"/>
        <v>#REF!</v>
      </c>
      <c r="N11" s="188" t="str">
        <f t="shared" si="21"/>
        <v>#REF!</v>
      </c>
      <c r="O11" s="188" t="str">
        <f t="shared" si="21"/>
        <v>#REF!</v>
      </c>
      <c r="P11" s="188" t="str">
        <f t="shared" ref="P11:X11" si="22">#REF!</f>
        <v>#REF!</v>
      </c>
      <c r="Q11" s="188" t="str">
        <f t="shared" si="22"/>
        <v>#REF!</v>
      </c>
      <c r="R11" s="188" t="str">
        <f t="shared" si="22"/>
        <v>#REF!</v>
      </c>
      <c r="S11" s="188" t="str">
        <f t="shared" si="22"/>
        <v>#REF!</v>
      </c>
      <c r="T11" s="188" t="str">
        <f t="shared" si="22"/>
        <v>#REF!</v>
      </c>
      <c r="U11" s="188" t="str">
        <f t="shared" si="22"/>
        <v>#REF!</v>
      </c>
      <c r="V11" s="188" t="str">
        <f t="shared" si="22"/>
        <v>#REF!</v>
      </c>
      <c r="W11" s="188" t="str">
        <f t="shared" si="22"/>
        <v>#REF!</v>
      </c>
      <c r="X11" s="188" t="str">
        <f t="shared" si="22"/>
        <v>#REF!</v>
      </c>
    </row>
    <row r="12">
      <c r="A12" s="188" t="str">
        <f t="shared" ref="A12:O12" si="23">'Municipality Case Trends'!A16</f>
        <v>#REF!</v>
      </c>
      <c r="B12" s="188" t="str">
        <f t="shared" si="23"/>
        <v>#REF!</v>
      </c>
      <c r="C12" s="188" t="str">
        <f t="shared" si="23"/>
        <v>#REF!</v>
      </c>
      <c r="D12" s="188" t="str">
        <f t="shared" si="23"/>
        <v>#REF!</v>
      </c>
      <c r="E12" s="188" t="str">
        <f t="shared" si="23"/>
        <v>#REF!</v>
      </c>
      <c r="F12" s="188" t="str">
        <f t="shared" si="23"/>
        <v>#REF!</v>
      </c>
      <c r="G12" s="188" t="str">
        <f t="shared" si="23"/>
        <v>#REF!</v>
      </c>
      <c r="H12" s="188" t="str">
        <f t="shared" si="23"/>
        <v>#REF!</v>
      </c>
      <c r="I12" s="188" t="str">
        <f t="shared" si="23"/>
        <v>#REF!</v>
      </c>
      <c r="J12" s="188" t="str">
        <f t="shared" si="23"/>
        <v>#REF!</v>
      </c>
      <c r="K12" s="188" t="str">
        <f t="shared" si="23"/>
        <v>#REF!</v>
      </c>
      <c r="L12" s="188" t="str">
        <f t="shared" si="23"/>
        <v>#REF!</v>
      </c>
      <c r="M12" s="188" t="str">
        <f t="shared" si="23"/>
        <v>#REF!</v>
      </c>
      <c r="N12" s="188" t="str">
        <f t="shared" si="23"/>
        <v>#REF!</v>
      </c>
      <c r="O12" s="188" t="str">
        <f t="shared" si="23"/>
        <v>#REF!</v>
      </c>
      <c r="P12" s="188" t="str">
        <f t="shared" ref="P12:X12" si="24">#REF!</f>
        <v>#REF!</v>
      </c>
      <c r="Q12" s="188" t="str">
        <f t="shared" si="24"/>
        <v>#REF!</v>
      </c>
      <c r="R12" s="188" t="str">
        <f t="shared" si="24"/>
        <v>#REF!</v>
      </c>
      <c r="S12" s="188" t="str">
        <f t="shared" si="24"/>
        <v>#REF!</v>
      </c>
      <c r="T12" s="188" t="str">
        <f t="shared" si="24"/>
        <v>#REF!</v>
      </c>
      <c r="U12" s="188" t="str">
        <f t="shared" si="24"/>
        <v>#REF!</v>
      </c>
      <c r="V12" s="188" t="str">
        <f t="shared" si="24"/>
        <v>#REF!</v>
      </c>
      <c r="W12" s="188" t="str">
        <f t="shared" si="24"/>
        <v>#REF!</v>
      </c>
      <c r="X12" s="188" t="str">
        <f t="shared" si="24"/>
        <v>#REF!</v>
      </c>
    </row>
    <row r="13">
      <c r="A13" s="188" t="str">
        <f t="shared" ref="A13:O13" si="25">'Municipality Case Trends'!A17</f>
        <v>#REF!</v>
      </c>
      <c r="B13" s="188" t="str">
        <f t="shared" si="25"/>
        <v>#REF!</v>
      </c>
      <c r="C13" s="188" t="str">
        <f t="shared" si="25"/>
        <v>#REF!</v>
      </c>
      <c r="D13" s="188" t="str">
        <f t="shared" si="25"/>
        <v>#REF!</v>
      </c>
      <c r="E13" s="188" t="str">
        <f t="shared" si="25"/>
        <v>#REF!</v>
      </c>
      <c r="F13" s="188" t="str">
        <f t="shared" si="25"/>
        <v>#REF!</v>
      </c>
      <c r="G13" s="188" t="str">
        <f t="shared" si="25"/>
        <v>#REF!</v>
      </c>
      <c r="H13" s="188" t="str">
        <f t="shared" si="25"/>
        <v>#REF!</v>
      </c>
      <c r="I13" s="188" t="str">
        <f t="shared" si="25"/>
        <v>#REF!</v>
      </c>
      <c r="J13" s="188" t="str">
        <f t="shared" si="25"/>
        <v>#REF!</v>
      </c>
      <c r="K13" s="188" t="str">
        <f t="shared" si="25"/>
        <v>#REF!</v>
      </c>
      <c r="L13" s="188" t="str">
        <f t="shared" si="25"/>
        <v>#REF!</v>
      </c>
      <c r="M13" s="188" t="str">
        <f t="shared" si="25"/>
        <v>#REF!</v>
      </c>
      <c r="N13" s="188" t="str">
        <f t="shared" si="25"/>
        <v>#REF!</v>
      </c>
      <c r="O13" s="188" t="str">
        <f t="shared" si="25"/>
        <v>#REF!</v>
      </c>
      <c r="P13" s="188" t="str">
        <f t="shared" ref="P13:X13" si="26">#REF!</f>
        <v>#REF!</v>
      </c>
      <c r="Q13" s="188" t="str">
        <f t="shared" si="26"/>
        <v>#REF!</v>
      </c>
      <c r="R13" s="188" t="str">
        <f t="shared" si="26"/>
        <v>#REF!</v>
      </c>
      <c r="S13" s="188" t="str">
        <f t="shared" si="26"/>
        <v>#REF!</v>
      </c>
      <c r="T13" s="188" t="str">
        <f t="shared" si="26"/>
        <v>#REF!</v>
      </c>
      <c r="U13" s="188" t="str">
        <f t="shared" si="26"/>
        <v>#REF!</v>
      </c>
      <c r="V13" s="188" t="str">
        <f t="shared" si="26"/>
        <v>#REF!</v>
      </c>
      <c r="W13" s="188" t="str">
        <f t="shared" si="26"/>
        <v>#REF!</v>
      </c>
      <c r="X13" s="188" t="str">
        <f t="shared" si="26"/>
        <v>#REF!</v>
      </c>
    </row>
    <row r="14">
      <c r="A14" s="188" t="str">
        <f t="shared" ref="A14:O14" si="27">'Municipality Case Trends'!A18</f>
        <v>#REF!</v>
      </c>
      <c r="B14" s="188" t="str">
        <f t="shared" si="27"/>
        <v>#REF!</v>
      </c>
      <c r="C14" s="188" t="str">
        <f t="shared" si="27"/>
        <v>#REF!</v>
      </c>
      <c r="D14" s="188" t="str">
        <f t="shared" si="27"/>
        <v>#REF!</v>
      </c>
      <c r="E14" s="188" t="str">
        <f t="shared" si="27"/>
        <v>#REF!</v>
      </c>
      <c r="F14" s="188" t="str">
        <f t="shared" si="27"/>
        <v>#REF!</v>
      </c>
      <c r="G14" s="188" t="str">
        <f t="shared" si="27"/>
        <v>#REF!</v>
      </c>
      <c r="H14" s="188" t="str">
        <f t="shared" si="27"/>
        <v>#REF!</v>
      </c>
      <c r="I14" s="188" t="str">
        <f t="shared" si="27"/>
        <v>#REF!</v>
      </c>
      <c r="J14" s="188" t="str">
        <f t="shared" si="27"/>
        <v>#REF!</v>
      </c>
      <c r="K14" s="188" t="str">
        <f t="shared" si="27"/>
        <v>#REF!</v>
      </c>
      <c r="L14" s="188" t="str">
        <f t="shared" si="27"/>
        <v>#REF!</v>
      </c>
      <c r="M14" s="188" t="str">
        <f t="shared" si="27"/>
        <v>#REF!</v>
      </c>
      <c r="N14" s="188" t="str">
        <f t="shared" si="27"/>
        <v>#REF!</v>
      </c>
      <c r="O14" s="188" t="str">
        <f t="shared" si="27"/>
        <v>#REF!</v>
      </c>
      <c r="P14" s="188" t="str">
        <f t="shared" ref="P14:X14" si="28">#REF!</f>
        <v>#REF!</v>
      </c>
      <c r="Q14" s="188" t="str">
        <f t="shared" si="28"/>
        <v>#REF!</v>
      </c>
      <c r="R14" s="188" t="str">
        <f t="shared" si="28"/>
        <v>#REF!</v>
      </c>
      <c r="S14" s="188" t="str">
        <f t="shared" si="28"/>
        <v>#REF!</v>
      </c>
      <c r="T14" s="188" t="str">
        <f t="shared" si="28"/>
        <v>#REF!</v>
      </c>
      <c r="U14" s="188" t="str">
        <f t="shared" si="28"/>
        <v>#REF!</v>
      </c>
      <c r="V14" s="188" t="str">
        <f t="shared" si="28"/>
        <v>#REF!</v>
      </c>
      <c r="W14" s="188" t="str">
        <f t="shared" si="28"/>
        <v>#REF!</v>
      </c>
      <c r="X14" s="188" t="str">
        <f t="shared" si="28"/>
        <v>#REF!</v>
      </c>
    </row>
    <row r="15">
      <c r="A15" s="188" t="str">
        <f t="shared" ref="A15:O15" si="29">'Municipality Case Trends'!A19</f>
        <v>#REF!</v>
      </c>
      <c r="B15" s="188" t="str">
        <f t="shared" si="29"/>
        <v>#REF!</v>
      </c>
      <c r="C15" s="188" t="str">
        <f t="shared" si="29"/>
        <v>#REF!</v>
      </c>
      <c r="D15" s="188" t="str">
        <f t="shared" si="29"/>
        <v>#REF!</v>
      </c>
      <c r="E15" s="188" t="str">
        <f t="shared" si="29"/>
        <v>#REF!</v>
      </c>
      <c r="F15" s="188" t="str">
        <f t="shared" si="29"/>
        <v>#REF!</v>
      </c>
      <c r="G15" s="188" t="str">
        <f t="shared" si="29"/>
        <v>#REF!</v>
      </c>
      <c r="H15" s="188" t="str">
        <f t="shared" si="29"/>
        <v>#REF!</v>
      </c>
      <c r="I15" s="188" t="str">
        <f t="shared" si="29"/>
        <v>#REF!</v>
      </c>
      <c r="J15" s="188" t="str">
        <f t="shared" si="29"/>
        <v>#REF!</v>
      </c>
      <c r="K15" s="188" t="str">
        <f t="shared" si="29"/>
        <v>#REF!</v>
      </c>
      <c r="L15" s="188" t="str">
        <f t="shared" si="29"/>
        <v>#REF!</v>
      </c>
      <c r="M15" s="188" t="str">
        <f t="shared" si="29"/>
        <v>#REF!</v>
      </c>
      <c r="N15" s="188" t="str">
        <f t="shared" si="29"/>
        <v>#REF!</v>
      </c>
      <c r="O15" s="188" t="str">
        <f t="shared" si="29"/>
        <v>#REF!</v>
      </c>
      <c r="P15" s="188" t="str">
        <f t="shared" ref="P15:X15" si="30">#REF!</f>
        <v>#REF!</v>
      </c>
      <c r="Q15" s="188" t="str">
        <f t="shared" si="30"/>
        <v>#REF!</v>
      </c>
      <c r="R15" s="188" t="str">
        <f t="shared" si="30"/>
        <v>#REF!</v>
      </c>
      <c r="S15" s="188" t="str">
        <f t="shared" si="30"/>
        <v>#REF!</v>
      </c>
      <c r="T15" s="188" t="str">
        <f t="shared" si="30"/>
        <v>#REF!</v>
      </c>
      <c r="U15" s="188" t="str">
        <f t="shared" si="30"/>
        <v>#REF!</v>
      </c>
      <c r="V15" s="188" t="str">
        <f t="shared" si="30"/>
        <v>#REF!</v>
      </c>
      <c r="W15" s="188" t="str">
        <f t="shared" si="30"/>
        <v>#REF!</v>
      </c>
      <c r="X15" s="188" t="str">
        <f t="shared" si="30"/>
        <v>#REF!</v>
      </c>
    </row>
    <row r="16">
      <c r="A16" s="188" t="str">
        <f t="shared" ref="A16:O16" si="31">'Municipality Case Trends'!A20</f>
        <v>#REF!</v>
      </c>
      <c r="B16" s="188" t="str">
        <f t="shared" si="31"/>
        <v>#REF!</v>
      </c>
      <c r="C16" s="188" t="str">
        <f t="shared" si="31"/>
        <v>#REF!</v>
      </c>
      <c r="D16" s="188" t="str">
        <f t="shared" si="31"/>
        <v>#REF!</v>
      </c>
      <c r="E16" s="188" t="str">
        <f t="shared" si="31"/>
        <v>#REF!</v>
      </c>
      <c r="F16" s="188" t="str">
        <f t="shared" si="31"/>
        <v>#REF!</v>
      </c>
      <c r="G16" s="188" t="str">
        <f t="shared" si="31"/>
        <v>#REF!</v>
      </c>
      <c r="H16" s="188" t="str">
        <f t="shared" si="31"/>
        <v>#REF!</v>
      </c>
      <c r="I16" s="188" t="str">
        <f t="shared" si="31"/>
        <v>#REF!</v>
      </c>
      <c r="J16" s="188" t="str">
        <f t="shared" si="31"/>
        <v>#REF!</v>
      </c>
      <c r="K16" s="188" t="str">
        <f t="shared" si="31"/>
        <v>#REF!</v>
      </c>
      <c r="L16" s="188" t="str">
        <f t="shared" si="31"/>
        <v>#REF!</v>
      </c>
      <c r="M16" s="188" t="str">
        <f t="shared" si="31"/>
        <v>#REF!</v>
      </c>
      <c r="N16" s="188" t="str">
        <f t="shared" si="31"/>
        <v>#REF!</v>
      </c>
      <c r="O16" s="188" t="str">
        <f t="shared" si="31"/>
        <v>#REF!</v>
      </c>
      <c r="P16" s="188" t="str">
        <f t="shared" ref="P16:X16" si="32">#REF!</f>
        <v>#REF!</v>
      </c>
      <c r="Q16" s="188" t="str">
        <f t="shared" si="32"/>
        <v>#REF!</v>
      </c>
      <c r="R16" s="188" t="str">
        <f t="shared" si="32"/>
        <v>#REF!</v>
      </c>
      <c r="S16" s="188" t="str">
        <f t="shared" si="32"/>
        <v>#REF!</v>
      </c>
      <c r="T16" s="188" t="str">
        <f t="shared" si="32"/>
        <v>#REF!</v>
      </c>
      <c r="U16" s="188" t="str">
        <f t="shared" si="32"/>
        <v>#REF!</v>
      </c>
      <c r="V16" s="188" t="str">
        <f t="shared" si="32"/>
        <v>#REF!</v>
      </c>
      <c r="W16" s="188" t="str">
        <f t="shared" si="32"/>
        <v>#REF!</v>
      </c>
      <c r="X16" s="188" t="str">
        <f t="shared" si="32"/>
        <v>#REF!</v>
      </c>
    </row>
    <row r="17">
      <c r="A17" s="188" t="str">
        <f t="shared" ref="A17:O17" si="33">'Municipality Case Trends'!A21</f>
        <v>#REF!</v>
      </c>
      <c r="B17" s="188" t="str">
        <f t="shared" si="33"/>
        <v>#REF!</v>
      </c>
      <c r="C17" s="188" t="str">
        <f t="shared" si="33"/>
        <v>#REF!</v>
      </c>
      <c r="D17" s="188" t="str">
        <f t="shared" si="33"/>
        <v>#REF!</v>
      </c>
      <c r="E17" s="188" t="str">
        <f t="shared" si="33"/>
        <v>#REF!</v>
      </c>
      <c r="F17" s="188" t="str">
        <f t="shared" si="33"/>
        <v>#REF!</v>
      </c>
      <c r="G17" s="188" t="str">
        <f t="shared" si="33"/>
        <v>#REF!</v>
      </c>
      <c r="H17" s="188" t="str">
        <f t="shared" si="33"/>
        <v>#REF!</v>
      </c>
      <c r="I17" s="188" t="str">
        <f t="shared" si="33"/>
        <v>#REF!</v>
      </c>
      <c r="J17" s="188" t="str">
        <f t="shared" si="33"/>
        <v>#REF!</v>
      </c>
      <c r="K17" s="188" t="str">
        <f t="shared" si="33"/>
        <v>#REF!</v>
      </c>
      <c r="L17" s="188" t="str">
        <f t="shared" si="33"/>
        <v>#REF!</v>
      </c>
      <c r="M17" s="188" t="str">
        <f t="shared" si="33"/>
        <v>#REF!</v>
      </c>
      <c r="N17" s="188" t="str">
        <f t="shared" si="33"/>
        <v>#REF!</v>
      </c>
      <c r="O17" s="188" t="str">
        <f t="shared" si="33"/>
        <v>#REF!</v>
      </c>
      <c r="P17" s="188" t="str">
        <f t="shared" ref="P17:X17" si="34">#REF!</f>
        <v>#REF!</v>
      </c>
      <c r="Q17" s="188" t="str">
        <f t="shared" si="34"/>
        <v>#REF!</v>
      </c>
      <c r="R17" s="188" t="str">
        <f t="shared" si="34"/>
        <v>#REF!</v>
      </c>
      <c r="S17" s="188" t="str">
        <f t="shared" si="34"/>
        <v>#REF!</v>
      </c>
      <c r="T17" s="188" t="str">
        <f t="shared" si="34"/>
        <v>#REF!</v>
      </c>
      <c r="U17" s="188" t="str">
        <f t="shared" si="34"/>
        <v>#REF!</v>
      </c>
      <c r="V17" s="188" t="str">
        <f t="shared" si="34"/>
        <v>#REF!</v>
      </c>
      <c r="W17" s="188" t="str">
        <f t="shared" si="34"/>
        <v>#REF!</v>
      </c>
      <c r="X17" s="188" t="str">
        <f t="shared" si="34"/>
        <v>#REF!</v>
      </c>
    </row>
    <row r="18">
      <c r="A18" s="188" t="str">
        <f t="shared" ref="A18:O18" si="35">'Municipality Case Trends'!A22</f>
        <v>#REF!</v>
      </c>
      <c r="B18" s="188" t="str">
        <f t="shared" si="35"/>
        <v>#REF!</v>
      </c>
      <c r="C18" s="188" t="str">
        <f t="shared" si="35"/>
        <v>#REF!</v>
      </c>
      <c r="D18" s="188" t="str">
        <f t="shared" si="35"/>
        <v>#REF!</v>
      </c>
      <c r="E18" s="188" t="str">
        <f t="shared" si="35"/>
        <v>#REF!</v>
      </c>
      <c r="F18" s="188" t="str">
        <f t="shared" si="35"/>
        <v>#REF!</v>
      </c>
      <c r="G18" s="188" t="str">
        <f t="shared" si="35"/>
        <v>#REF!</v>
      </c>
      <c r="H18" s="188" t="str">
        <f t="shared" si="35"/>
        <v>#REF!</v>
      </c>
      <c r="I18" s="188" t="str">
        <f t="shared" si="35"/>
        <v>#REF!</v>
      </c>
      <c r="J18" s="188" t="str">
        <f t="shared" si="35"/>
        <v>#REF!</v>
      </c>
      <c r="K18" s="188" t="str">
        <f t="shared" si="35"/>
        <v>#REF!</v>
      </c>
      <c r="L18" s="188" t="str">
        <f t="shared" si="35"/>
        <v>#REF!</v>
      </c>
      <c r="M18" s="188" t="str">
        <f t="shared" si="35"/>
        <v>#REF!</v>
      </c>
      <c r="N18" s="188" t="str">
        <f t="shared" si="35"/>
        <v>#REF!</v>
      </c>
      <c r="O18" s="188" t="str">
        <f t="shared" si="35"/>
        <v>#REF!</v>
      </c>
      <c r="P18" s="188" t="str">
        <f t="shared" ref="P18:X18" si="36">#REF!</f>
        <v>#REF!</v>
      </c>
      <c r="Q18" s="188" t="str">
        <f t="shared" si="36"/>
        <v>#REF!</v>
      </c>
      <c r="R18" s="188" t="str">
        <f t="shared" si="36"/>
        <v>#REF!</v>
      </c>
      <c r="S18" s="188" t="str">
        <f t="shared" si="36"/>
        <v>#REF!</v>
      </c>
      <c r="T18" s="188" t="str">
        <f t="shared" si="36"/>
        <v>#REF!</v>
      </c>
      <c r="U18" s="188" t="str">
        <f t="shared" si="36"/>
        <v>#REF!</v>
      </c>
      <c r="V18" s="188" t="str">
        <f t="shared" si="36"/>
        <v>#REF!</v>
      </c>
      <c r="W18" s="188" t="str">
        <f t="shared" si="36"/>
        <v>#REF!</v>
      </c>
      <c r="X18" s="188" t="str">
        <f t="shared" si="36"/>
        <v>#REF!</v>
      </c>
    </row>
    <row r="19">
      <c r="A19" s="188" t="str">
        <f t="shared" ref="A19:O19" si="37">'Municipality Case Trends'!A23</f>
        <v>#REF!</v>
      </c>
      <c r="B19" s="188" t="str">
        <f t="shared" si="37"/>
        <v>#REF!</v>
      </c>
      <c r="C19" s="188" t="str">
        <f t="shared" si="37"/>
        <v>#REF!</v>
      </c>
      <c r="D19" s="188" t="str">
        <f t="shared" si="37"/>
        <v>#REF!</v>
      </c>
      <c r="E19" s="188" t="str">
        <f t="shared" si="37"/>
        <v>#REF!</v>
      </c>
      <c r="F19" s="188" t="str">
        <f t="shared" si="37"/>
        <v>#REF!</v>
      </c>
      <c r="G19" s="188" t="str">
        <f t="shared" si="37"/>
        <v>#REF!</v>
      </c>
      <c r="H19" s="188" t="str">
        <f t="shared" si="37"/>
        <v>#REF!</v>
      </c>
      <c r="I19" s="188" t="str">
        <f t="shared" si="37"/>
        <v>#REF!</v>
      </c>
      <c r="J19" s="188" t="str">
        <f t="shared" si="37"/>
        <v>#REF!</v>
      </c>
      <c r="K19" s="188" t="str">
        <f t="shared" si="37"/>
        <v>#REF!</v>
      </c>
      <c r="L19" s="188" t="str">
        <f t="shared" si="37"/>
        <v>#REF!</v>
      </c>
      <c r="M19" s="188" t="str">
        <f t="shared" si="37"/>
        <v>#REF!</v>
      </c>
      <c r="N19" s="188" t="str">
        <f t="shared" si="37"/>
        <v>#REF!</v>
      </c>
      <c r="O19" s="188" t="str">
        <f t="shared" si="37"/>
        <v>#REF!</v>
      </c>
      <c r="P19" s="188" t="str">
        <f t="shared" ref="P19:X19" si="38">#REF!</f>
        <v>#REF!</v>
      </c>
      <c r="Q19" s="188" t="str">
        <f t="shared" si="38"/>
        <v>#REF!</v>
      </c>
      <c r="R19" s="188" t="str">
        <f t="shared" si="38"/>
        <v>#REF!</v>
      </c>
      <c r="S19" s="188" t="str">
        <f t="shared" si="38"/>
        <v>#REF!</v>
      </c>
      <c r="T19" s="188" t="str">
        <f t="shared" si="38"/>
        <v>#REF!</v>
      </c>
      <c r="U19" s="188" t="str">
        <f t="shared" si="38"/>
        <v>#REF!</v>
      </c>
      <c r="V19" s="188" t="str">
        <f t="shared" si="38"/>
        <v>#REF!</v>
      </c>
      <c r="W19" s="188" t="str">
        <f t="shared" si="38"/>
        <v>#REF!</v>
      </c>
      <c r="X19" s="188" t="str">
        <f t="shared" si="38"/>
        <v>#REF!</v>
      </c>
    </row>
    <row r="20">
      <c r="A20" s="188" t="str">
        <f t="shared" ref="A20:O20" si="39">'Municipality Case Trends'!A24</f>
        <v>#REF!</v>
      </c>
      <c r="B20" s="188" t="str">
        <f t="shared" si="39"/>
        <v>#REF!</v>
      </c>
      <c r="C20" s="188" t="str">
        <f t="shared" si="39"/>
        <v>#REF!</v>
      </c>
      <c r="D20" s="188" t="str">
        <f t="shared" si="39"/>
        <v>#REF!</v>
      </c>
      <c r="E20" s="188" t="str">
        <f t="shared" si="39"/>
        <v>#REF!</v>
      </c>
      <c r="F20" s="188" t="str">
        <f t="shared" si="39"/>
        <v>#REF!</v>
      </c>
      <c r="G20" s="188" t="str">
        <f t="shared" si="39"/>
        <v>#REF!</v>
      </c>
      <c r="H20" s="188" t="str">
        <f t="shared" si="39"/>
        <v>#REF!</v>
      </c>
      <c r="I20" s="188" t="str">
        <f t="shared" si="39"/>
        <v>#REF!</v>
      </c>
      <c r="J20" s="188" t="str">
        <f t="shared" si="39"/>
        <v>#REF!</v>
      </c>
      <c r="K20" s="188" t="str">
        <f t="shared" si="39"/>
        <v>#REF!</v>
      </c>
      <c r="L20" s="188" t="str">
        <f t="shared" si="39"/>
        <v>#REF!</v>
      </c>
      <c r="M20" s="188" t="str">
        <f t="shared" si="39"/>
        <v>#REF!</v>
      </c>
      <c r="N20" s="188" t="str">
        <f t="shared" si="39"/>
        <v>#REF!</v>
      </c>
      <c r="O20" s="188" t="str">
        <f t="shared" si="39"/>
        <v>#REF!</v>
      </c>
      <c r="P20" s="188" t="str">
        <f t="shared" ref="P20:X20" si="40">#REF!</f>
        <v>#REF!</v>
      </c>
      <c r="Q20" s="188" t="str">
        <f t="shared" si="40"/>
        <v>#REF!</v>
      </c>
      <c r="R20" s="188" t="str">
        <f t="shared" si="40"/>
        <v>#REF!</v>
      </c>
      <c r="S20" s="188" t="str">
        <f t="shared" si="40"/>
        <v>#REF!</v>
      </c>
      <c r="T20" s="188" t="str">
        <f t="shared" si="40"/>
        <v>#REF!</v>
      </c>
      <c r="U20" s="188" t="str">
        <f t="shared" si="40"/>
        <v>#REF!</v>
      </c>
      <c r="V20" s="188" t="str">
        <f t="shared" si="40"/>
        <v>#REF!</v>
      </c>
      <c r="W20" s="188" t="str">
        <f t="shared" si="40"/>
        <v>#REF!</v>
      </c>
      <c r="X20" s="188" t="str">
        <f t="shared" si="40"/>
        <v>#REF!</v>
      </c>
    </row>
    <row r="21">
      <c r="A21" s="188" t="str">
        <f t="shared" ref="A21:O21" si="41">'Municipality Case Trends'!A25</f>
        <v>#REF!</v>
      </c>
      <c r="B21" s="188" t="str">
        <f t="shared" si="41"/>
        <v>#REF!</v>
      </c>
      <c r="C21" s="188" t="str">
        <f t="shared" si="41"/>
        <v>#REF!</v>
      </c>
      <c r="D21" s="188" t="str">
        <f t="shared" si="41"/>
        <v>#REF!</v>
      </c>
      <c r="E21" s="188" t="str">
        <f t="shared" si="41"/>
        <v>#REF!</v>
      </c>
      <c r="F21" s="188" t="str">
        <f t="shared" si="41"/>
        <v>#REF!</v>
      </c>
      <c r="G21" s="188" t="str">
        <f t="shared" si="41"/>
        <v>#REF!</v>
      </c>
      <c r="H21" s="188" t="str">
        <f t="shared" si="41"/>
        <v>#REF!</v>
      </c>
      <c r="I21" s="188" t="str">
        <f t="shared" si="41"/>
        <v>#REF!</v>
      </c>
      <c r="J21" s="188" t="str">
        <f t="shared" si="41"/>
        <v>#REF!</v>
      </c>
      <c r="K21" s="188" t="str">
        <f t="shared" si="41"/>
        <v>#REF!</v>
      </c>
      <c r="L21" s="188" t="str">
        <f t="shared" si="41"/>
        <v>#REF!</v>
      </c>
      <c r="M21" s="188" t="str">
        <f t="shared" si="41"/>
        <v>#REF!</v>
      </c>
      <c r="N21" s="188" t="str">
        <f t="shared" si="41"/>
        <v>#REF!</v>
      </c>
      <c r="O21" s="188" t="str">
        <f t="shared" si="41"/>
        <v>#REF!</v>
      </c>
      <c r="P21" s="188" t="str">
        <f t="shared" ref="P21:X21" si="42">#REF!</f>
        <v>#REF!</v>
      </c>
      <c r="Q21" s="188" t="str">
        <f t="shared" si="42"/>
        <v>#REF!</v>
      </c>
      <c r="R21" s="188" t="str">
        <f t="shared" si="42"/>
        <v>#REF!</v>
      </c>
      <c r="S21" s="188" t="str">
        <f t="shared" si="42"/>
        <v>#REF!</v>
      </c>
      <c r="T21" s="188" t="str">
        <f t="shared" si="42"/>
        <v>#REF!</v>
      </c>
      <c r="U21" s="188" t="str">
        <f t="shared" si="42"/>
        <v>#REF!</v>
      </c>
      <c r="V21" s="188" t="str">
        <f t="shared" si="42"/>
        <v>#REF!</v>
      </c>
      <c r="W21" s="188" t="str">
        <f t="shared" si="42"/>
        <v>#REF!</v>
      </c>
      <c r="X21" s="188" t="str">
        <f t="shared" si="42"/>
        <v>#REF!</v>
      </c>
    </row>
    <row r="22">
      <c r="A22" s="188" t="str">
        <f t="shared" ref="A22:O22" si="43">'Municipality Case Trends'!A26</f>
        <v>#REF!</v>
      </c>
      <c r="B22" s="188" t="str">
        <f t="shared" si="43"/>
        <v>#REF!</v>
      </c>
      <c r="C22" s="188" t="str">
        <f t="shared" si="43"/>
        <v>#REF!</v>
      </c>
      <c r="D22" s="188" t="str">
        <f t="shared" si="43"/>
        <v>#REF!</v>
      </c>
      <c r="E22" s="188" t="str">
        <f t="shared" si="43"/>
        <v>#REF!</v>
      </c>
      <c r="F22" s="188" t="str">
        <f t="shared" si="43"/>
        <v>#REF!</v>
      </c>
      <c r="G22" s="188" t="str">
        <f t="shared" si="43"/>
        <v>#REF!</v>
      </c>
      <c r="H22" s="188" t="str">
        <f t="shared" si="43"/>
        <v>#REF!</v>
      </c>
      <c r="I22" s="188" t="str">
        <f t="shared" si="43"/>
        <v>#REF!</v>
      </c>
      <c r="J22" s="188" t="str">
        <f t="shared" si="43"/>
        <v>#REF!</v>
      </c>
      <c r="K22" s="188" t="str">
        <f t="shared" si="43"/>
        <v>#REF!</v>
      </c>
      <c r="L22" s="188" t="str">
        <f t="shared" si="43"/>
        <v>#REF!</v>
      </c>
      <c r="M22" s="188" t="str">
        <f t="shared" si="43"/>
        <v>#REF!</v>
      </c>
      <c r="N22" s="188" t="str">
        <f t="shared" si="43"/>
        <v>#REF!</v>
      </c>
      <c r="O22" s="188" t="str">
        <f t="shared" si="43"/>
        <v>#REF!</v>
      </c>
      <c r="P22" s="188" t="str">
        <f t="shared" ref="P22:X22" si="44">#REF!</f>
        <v>#REF!</v>
      </c>
      <c r="Q22" s="188" t="str">
        <f t="shared" si="44"/>
        <v>#REF!</v>
      </c>
      <c r="R22" s="188" t="str">
        <f t="shared" si="44"/>
        <v>#REF!</v>
      </c>
      <c r="S22" s="188" t="str">
        <f t="shared" si="44"/>
        <v>#REF!</v>
      </c>
      <c r="T22" s="188" t="str">
        <f t="shared" si="44"/>
        <v>#REF!</v>
      </c>
      <c r="U22" s="188" t="str">
        <f t="shared" si="44"/>
        <v>#REF!</v>
      </c>
      <c r="V22" s="188" t="str">
        <f t="shared" si="44"/>
        <v>#REF!</v>
      </c>
      <c r="W22" s="188" t="str">
        <f t="shared" si="44"/>
        <v>#REF!</v>
      </c>
      <c r="X22" s="188" t="str">
        <f t="shared" si="44"/>
        <v>#REF!</v>
      </c>
    </row>
    <row r="23">
      <c r="A23" s="188" t="str">
        <f t="shared" ref="A23:O23" si="45">'Municipality Case Trends'!A27</f>
        <v>#REF!</v>
      </c>
      <c r="B23" s="188" t="str">
        <f t="shared" si="45"/>
        <v>#REF!</v>
      </c>
      <c r="C23" s="188" t="str">
        <f t="shared" si="45"/>
        <v>#REF!</v>
      </c>
      <c r="D23" s="188" t="str">
        <f t="shared" si="45"/>
        <v>#REF!</v>
      </c>
      <c r="E23" s="188" t="str">
        <f t="shared" si="45"/>
        <v>#REF!</v>
      </c>
      <c r="F23" s="188" t="str">
        <f t="shared" si="45"/>
        <v>#REF!</v>
      </c>
      <c r="G23" s="188" t="str">
        <f t="shared" si="45"/>
        <v>#REF!</v>
      </c>
      <c r="H23" s="188" t="str">
        <f t="shared" si="45"/>
        <v>#REF!</v>
      </c>
      <c r="I23" s="188" t="str">
        <f t="shared" si="45"/>
        <v>#REF!</v>
      </c>
      <c r="J23" s="188" t="str">
        <f t="shared" si="45"/>
        <v>#REF!</v>
      </c>
      <c r="K23" s="188" t="str">
        <f t="shared" si="45"/>
        <v>#REF!</v>
      </c>
      <c r="L23" s="188" t="str">
        <f t="shared" si="45"/>
        <v>#REF!</v>
      </c>
      <c r="M23" s="188" t="str">
        <f t="shared" si="45"/>
        <v>#REF!</v>
      </c>
      <c r="N23" s="188" t="str">
        <f t="shared" si="45"/>
        <v>#REF!</v>
      </c>
      <c r="O23" s="188" t="str">
        <f t="shared" si="45"/>
        <v>#REF!</v>
      </c>
      <c r="P23" s="188" t="str">
        <f t="shared" ref="P23:X23" si="46">#REF!</f>
        <v>#REF!</v>
      </c>
      <c r="Q23" s="188" t="str">
        <f t="shared" si="46"/>
        <v>#REF!</v>
      </c>
      <c r="R23" s="188" t="str">
        <f t="shared" si="46"/>
        <v>#REF!</v>
      </c>
      <c r="S23" s="188" t="str">
        <f t="shared" si="46"/>
        <v>#REF!</v>
      </c>
      <c r="T23" s="188" t="str">
        <f t="shared" si="46"/>
        <v>#REF!</v>
      </c>
      <c r="U23" s="188" t="str">
        <f t="shared" si="46"/>
        <v>#REF!</v>
      </c>
      <c r="V23" s="188" t="str">
        <f t="shared" si="46"/>
        <v>#REF!</v>
      </c>
      <c r="W23" s="188" t="str">
        <f t="shared" si="46"/>
        <v>#REF!</v>
      </c>
      <c r="X23" s="188" t="str">
        <f t="shared" si="46"/>
        <v>#REF!</v>
      </c>
    </row>
    <row r="24">
      <c r="A24" s="188" t="str">
        <f t="shared" ref="A24:O24" si="47">'Municipality Case Trends'!A28</f>
        <v>#REF!</v>
      </c>
      <c r="B24" s="188" t="str">
        <f t="shared" si="47"/>
        <v>#REF!</v>
      </c>
      <c r="C24" s="188" t="str">
        <f t="shared" si="47"/>
        <v>#REF!</v>
      </c>
      <c r="D24" s="188" t="str">
        <f t="shared" si="47"/>
        <v>#REF!</v>
      </c>
      <c r="E24" s="188" t="str">
        <f t="shared" si="47"/>
        <v>#REF!</v>
      </c>
      <c r="F24" s="188" t="str">
        <f t="shared" si="47"/>
        <v>#REF!</v>
      </c>
      <c r="G24" s="188" t="str">
        <f t="shared" si="47"/>
        <v>#REF!</v>
      </c>
      <c r="H24" s="188" t="str">
        <f t="shared" si="47"/>
        <v>#REF!</v>
      </c>
      <c r="I24" s="188" t="str">
        <f t="shared" si="47"/>
        <v>#REF!</v>
      </c>
      <c r="J24" s="188" t="str">
        <f t="shared" si="47"/>
        <v>#REF!</v>
      </c>
      <c r="K24" s="188" t="str">
        <f t="shared" si="47"/>
        <v>#REF!</v>
      </c>
      <c r="L24" s="188" t="str">
        <f t="shared" si="47"/>
        <v>#REF!</v>
      </c>
      <c r="M24" s="188" t="str">
        <f t="shared" si="47"/>
        <v>#REF!</v>
      </c>
      <c r="N24" s="188" t="str">
        <f t="shared" si="47"/>
        <v>#REF!</v>
      </c>
      <c r="O24" s="188" t="str">
        <f t="shared" si="47"/>
        <v>#REF!</v>
      </c>
      <c r="P24" s="188" t="str">
        <f t="shared" ref="P24:X24" si="48">#REF!</f>
        <v>#REF!</v>
      </c>
      <c r="Q24" s="188" t="str">
        <f t="shared" si="48"/>
        <v>#REF!</v>
      </c>
      <c r="R24" s="188" t="str">
        <f t="shared" si="48"/>
        <v>#REF!</v>
      </c>
      <c r="S24" s="188" t="str">
        <f t="shared" si="48"/>
        <v>#REF!</v>
      </c>
      <c r="T24" s="188" t="str">
        <f t="shared" si="48"/>
        <v>#REF!</v>
      </c>
      <c r="U24" s="188" t="str">
        <f t="shared" si="48"/>
        <v>#REF!</v>
      </c>
      <c r="V24" s="188" t="str">
        <f t="shared" si="48"/>
        <v>#REF!</v>
      </c>
      <c r="W24" s="188" t="str">
        <f t="shared" si="48"/>
        <v>#REF!</v>
      </c>
      <c r="X24" s="188" t="str">
        <f t="shared" si="48"/>
        <v>#REF!</v>
      </c>
    </row>
    <row r="25">
      <c r="A25" s="188" t="str">
        <f t="shared" ref="A25:O25" si="49">'Municipality Case Trends'!A29</f>
        <v>#REF!</v>
      </c>
      <c r="B25" s="188" t="str">
        <f t="shared" si="49"/>
        <v>#REF!</v>
      </c>
      <c r="C25" s="188" t="str">
        <f t="shared" si="49"/>
        <v>#REF!</v>
      </c>
      <c r="D25" s="188" t="str">
        <f t="shared" si="49"/>
        <v>#REF!</v>
      </c>
      <c r="E25" s="188" t="str">
        <f t="shared" si="49"/>
        <v>#REF!</v>
      </c>
      <c r="F25" s="188" t="str">
        <f t="shared" si="49"/>
        <v>#REF!</v>
      </c>
      <c r="G25" s="188" t="str">
        <f t="shared" si="49"/>
        <v>#REF!</v>
      </c>
      <c r="H25" s="188" t="str">
        <f t="shared" si="49"/>
        <v>#REF!</v>
      </c>
      <c r="I25" s="188" t="str">
        <f t="shared" si="49"/>
        <v>#REF!</v>
      </c>
      <c r="J25" s="188" t="str">
        <f t="shared" si="49"/>
        <v>#REF!</v>
      </c>
      <c r="K25" s="188" t="str">
        <f t="shared" si="49"/>
        <v>#REF!</v>
      </c>
      <c r="L25" s="188" t="str">
        <f t="shared" si="49"/>
        <v>#REF!</v>
      </c>
      <c r="M25" s="188" t="str">
        <f t="shared" si="49"/>
        <v>#REF!</v>
      </c>
      <c r="N25" s="188" t="str">
        <f t="shared" si="49"/>
        <v>#REF!</v>
      </c>
      <c r="O25" s="188" t="str">
        <f t="shared" si="49"/>
        <v>#REF!</v>
      </c>
      <c r="P25" s="188" t="str">
        <f t="shared" ref="P25:X25" si="50">#REF!</f>
        <v>#REF!</v>
      </c>
      <c r="Q25" s="188" t="str">
        <f t="shared" si="50"/>
        <v>#REF!</v>
      </c>
      <c r="R25" s="188" t="str">
        <f t="shared" si="50"/>
        <v>#REF!</v>
      </c>
      <c r="S25" s="188" t="str">
        <f t="shared" si="50"/>
        <v>#REF!</v>
      </c>
      <c r="T25" s="188" t="str">
        <f t="shared" si="50"/>
        <v>#REF!</v>
      </c>
      <c r="U25" s="188" t="str">
        <f t="shared" si="50"/>
        <v>#REF!</v>
      </c>
      <c r="V25" s="188" t="str">
        <f t="shared" si="50"/>
        <v>#REF!</v>
      </c>
      <c r="W25" s="188" t="str">
        <f t="shared" si="50"/>
        <v>#REF!</v>
      </c>
      <c r="X25" s="188" t="str">
        <f t="shared" si="50"/>
        <v>#REF!</v>
      </c>
    </row>
    <row r="26">
      <c r="A26" s="188" t="str">
        <f t="shared" ref="A26:O26" si="51">'Municipality Case Trends'!A30</f>
        <v>#REF!</v>
      </c>
      <c r="B26" s="188" t="str">
        <f t="shared" si="51"/>
        <v>#REF!</v>
      </c>
      <c r="C26" s="188" t="str">
        <f t="shared" si="51"/>
        <v>#REF!</v>
      </c>
      <c r="D26" s="188" t="str">
        <f t="shared" si="51"/>
        <v>#REF!</v>
      </c>
      <c r="E26" s="188" t="str">
        <f t="shared" si="51"/>
        <v>#REF!</v>
      </c>
      <c r="F26" s="188" t="str">
        <f t="shared" si="51"/>
        <v>#REF!</v>
      </c>
      <c r="G26" s="188" t="str">
        <f t="shared" si="51"/>
        <v>#REF!</v>
      </c>
      <c r="H26" s="188" t="str">
        <f t="shared" si="51"/>
        <v>#REF!</v>
      </c>
      <c r="I26" s="188" t="str">
        <f t="shared" si="51"/>
        <v>#REF!</v>
      </c>
      <c r="J26" s="188" t="str">
        <f t="shared" si="51"/>
        <v>#REF!</v>
      </c>
      <c r="K26" s="188" t="str">
        <f t="shared" si="51"/>
        <v>#REF!</v>
      </c>
      <c r="L26" s="188" t="str">
        <f t="shared" si="51"/>
        <v>#REF!</v>
      </c>
      <c r="M26" s="188" t="str">
        <f t="shared" si="51"/>
        <v>#REF!</v>
      </c>
      <c r="N26" s="188" t="str">
        <f t="shared" si="51"/>
        <v>#REF!</v>
      </c>
      <c r="O26" s="188" t="str">
        <f t="shared" si="51"/>
        <v>#REF!</v>
      </c>
      <c r="P26" s="188" t="str">
        <f t="shared" ref="P26:X26" si="52">#REF!</f>
        <v>#REF!</v>
      </c>
      <c r="Q26" s="188" t="str">
        <f t="shared" si="52"/>
        <v>#REF!</v>
      </c>
      <c r="R26" s="188" t="str">
        <f t="shared" si="52"/>
        <v>#REF!</v>
      </c>
      <c r="S26" s="188" t="str">
        <f t="shared" si="52"/>
        <v>#REF!</v>
      </c>
      <c r="T26" s="188" t="str">
        <f t="shared" si="52"/>
        <v>#REF!</v>
      </c>
      <c r="U26" s="188" t="str">
        <f t="shared" si="52"/>
        <v>#REF!</v>
      </c>
      <c r="V26" s="188" t="str">
        <f t="shared" si="52"/>
        <v>#REF!</v>
      </c>
      <c r="W26" s="188" t="str">
        <f t="shared" si="52"/>
        <v>#REF!</v>
      </c>
      <c r="X26" s="188" t="str">
        <f t="shared" si="52"/>
        <v>#REF!</v>
      </c>
    </row>
    <row r="27">
      <c r="A27" s="188" t="str">
        <f t="shared" ref="A27:O27" si="53">'Municipality Case Trends'!A31</f>
        <v>#REF!</v>
      </c>
      <c r="B27" s="188" t="str">
        <f t="shared" si="53"/>
        <v>#REF!</v>
      </c>
      <c r="C27" s="188" t="str">
        <f t="shared" si="53"/>
        <v>#REF!</v>
      </c>
      <c r="D27" s="188" t="str">
        <f t="shared" si="53"/>
        <v>#REF!</v>
      </c>
      <c r="E27" s="188" t="str">
        <f t="shared" si="53"/>
        <v>#REF!</v>
      </c>
      <c r="F27" s="188" t="str">
        <f t="shared" si="53"/>
        <v>#REF!</v>
      </c>
      <c r="G27" s="188" t="str">
        <f t="shared" si="53"/>
        <v>#REF!</v>
      </c>
      <c r="H27" s="188" t="str">
        <f t="shared" si="53"/>
        <v>#REF!</v>
      </c>
      <c r="I27" s="188" t="str">
        <f t="shared" si="53"/>
        <v>#REF!</v>
      </c>
      <c r="J27" s="188" t="str">
        <f t="shared" si="53"/>
        <v>#REF!</v>
      </c>
      <c r="K27" s="188" t="str">
        <f t="shared" si="53"/>
        <v>#REF!</v>
      </c>
      <c r="L27" s="188" t="str">
        <f t="shared" si="53"/>
        <v>#REF!</v>
      </c>
      <c r="M27" s="188" t="str">
        <f t="shared" si="53"/>
        <v>#REF!</v>
      </c>
      <c r="N27" s="188" t="str">
        <f t="shared" si="53"/>
        <v>#REF!</v>
      </c>
      <c r="O27" s="188" t="str">
        <f t="shared" si="53"/>
        <v>#REF!</v>
      </c>
      <c r="P27" s="188" t="str">
        <f t="shared" ref="P27:X27" si="54">#REF!</f>
        <v>#REF!</v>
      </c>
      <c r="Q27" s="188" t="str">
        <f t="shared" si="54"/>
        <v>#REF!</v>
      </c>
      <c r="R27" s="188" t="str">
        <f t="shared" si="54"/>
        <v>#REF!</v>
      </c>
      <c r="S27" s="188" t="str">
        <f t="shared" si="54"/>
        <v>#REF!</v>
      </c>
      <c r="T27" s="188" t="str">
        <f t="shared" si="54"/>
        <v>#REF!</v>
      </c>
      <c r="U27" s="188" t="str">
        <f t="shared" si="54"/>
        <v>#REF!</v>
      </c>
      <c r="V27" s="188" t="str">
        <f t="shared" si="54"/>
        <v>#REF!</v>
      </c>
      <c r="W27" s="188" t="str">
        <f t="shared" si="54"/>
        <v>#REF!</v>
      </c>
      <c r="X27" s="188" t="str">
        <f t="shared" si="54"/>
        <v>#REF!</v>
      </c>
    </row>
    <row r="28">
      <c r="A28" s="188" t="str">
        <f t="shared" ref="A28:O28" si="55">'Municipality Case Trends'!A32</f>
        <v>#REF!</v>
      </c>
      <c r="B28" s="188" t="str">
        <f t="shared" si="55"/>
        <v>#REF!</v>
      </c>
      <c r="C28" s="188" t="str">
        <f t="shared" si="55"/>
        <v>#REF!</v>
      </c>
      <c r="D28" s="188" t="str">
        <f t="shared" si="55"/>
        <v>#REF!</v>
      </c>
      <c r="E28" s="188" t="str">
        <f t="shared" si="55"/>
        <v>#REF!</v>
      </c>
      <c r="F28" s="188" t="str">
        <f t="shared" si="55"/>
        <v>#REF!</v>
      </c>
      <c r="G28" s="188" t="str">
        <f t="shared" si="55"/>
        <v>#REF!</v>
      </c>
      <c r="H28" s="188" t="str">
        <f t="shared" si="55"/>
        <v>#REF!</v>
      </c>
      <c r="I28" s="188" t="str">
        <f t="shared" si="55"/>
        <v>#REF!</v>
      </c>
      <c r="J28" s="188" t="str">
        <f t="shared" si="55"/>
        <v>#REF!</v>
      </c>
      <c r="K28" s="188" t="str">
        <f t="shared" si="55"/>
        <v>#REF!</v>
      </c>
      <c r="L28" s="188" t="str">
        <f t="shared" si="55"/>
        <v>#REF!</v>
      </c>
      <c r="M28" s="188" t="str">
        <f t="shared" si="55"/>
        <v>#REF!</v>
      </c>
      <c r="N28" s="188" t="str">
        <f t="shared" si="55"/>
        <v>#REF!</v>
      </c>
      <c r="O28" s="188" t="str">
        <f t="shared" si="55"/>
        <v>#REF!</v>
      </c>
      <c r="P28" s="188" t="str">
        <f t="shared" ref="P28:X28" si="56">#REF!</f>
        <v>#REF!</v>
      </c>
      <c r="Q28" s="188" t="str">
        <f t="shared" si="56"/>
        <v>#REF!</v>
      </c>
      <c r="R28" s="188" t="str">
        <f t="shared" si="56"/>
        <v>#REF!</v>
      </c>
      <c r="S28" s="188" t="str">
        <f t="shared" si="56"/>
        <v>#REF!</v>
      </c>
      <c r="T28" s="188" t="str">
        <f t="shared" si="56"/>
        <v>#REF!</v>
      </c>
      <c r="U28" s="188" t="str">
        <f t="shared" si="56"/>
        <v>#REF!</v>
      </c>
      <c r="V28" s="188" t="str">
        <f t="shared" si="56"/>
        <v>#REF!</v>
      </c>
      <c r="W28" s="188" t="str">
        <f t="shared" si="56"/>
        <v>#REF!</v>
      </c>
      <c r="X28" s="188" t="str">
        <f t="shared" si="56"/>
        <v>#REF!</v>
      </c>
    </row>
    <row r="29">
      <c r="A29" s="188" t="str">
        <f t="shared" ref="A29:O29" si="57">'Municipality Case Trends'!A33</f>
        <v>#REF!</v>
      </c>
      <c r="B29" s="188" t="str">
        <f t="shared" si="57"/>
        <v>#REF!</v>
      </c>
      <c r="C29" s="188" t="str">
        <f t="shared" si="57"/>
        <v>#REF!</v>
      </c>
      <c r="D29" s="188" t="str">
        <f t="shared" si="57"/>
        <v>#REF!</v>
      </c>
      <c r="E29" s="188" t="str">
        <f t="shared" si="57"/>
        <v>#REF!</v>
      </c>
      <c r="F29" s="188" t="str">
        <f t="shared" si="57"/>
        <v>#REF!</v>
      </c>
      <c r="G29" s="188" t="str">
        <f t="shared" si="57"/>
        <v>#REF!</v>
      </c>
      <c r="H29" s="188" t="str">
        <f t="shared" si="57"/>
        <v>#REF!</v>
      </c>
      <c r="I29" s="188" t="str">
        <f t="shared" si="57"/>
        <v>#REF!</v>
      </c>
      <c r="J29" s="188" t="str">
        <f t="shared" si="57"/>
        <v>#REF!</v>
      </c>
      <c r="K29" s="188" t="str">
        <f t="shared" si="57"/>
        <v>#REF!</v>
      </c>
      <c r="L29" s="188" t="str">
        <f t="shared" si="57"/>
        <v>#REF!</v>
      </c>
      <c r="M29" s="188" t="str">
        <f t="shared" si="57"/>
        <v>#REF!</v>
      </c>
      <c r="N29" s="188" t="str">
        <f t="shared" si="57"/>
        <v>#REF!</v>
      </c>
      <c r="O29" s="188" t="str">
        <f t="shared" si="57"/>
        <v>#REF!</v>
      </c>
      <c r="P29" s="188" t="str">
        <f t="shared" ref="P29:X29" si="58">#REF!</f>
        <v>#REF!</v>
      </c>
      <c r="Q29" s="188" t="str">
        <f t="shared" si="58"/>
        <v>#REF!</v>
      </c>
      <c r="R29" s="188" t="str">
        <f t="shared" si="58"/>
        <v>#REF!</v>
      </c>
      <c r="S29" s="188" t="str">
        <f t="shared" si="58"/>
        <v>#REF!</v>
      </c>
      <c r="T29" s="188" t="str">
        <f t="shared" si="58"/>
        <v>#REF!</v>
      </c>
      <c r="U29" s="188" t="str">
        <f t="shared" si="58"/>
        <v>#REF!</v>
      </c>
      <c r="V29" s="188" t="str">
        <f t="shared" si="58"/>
        <v>#REF!</v>
      </c>
      <c r="W29" s="188" t="str">
        <f t="shared" si="58"/>
        <v>#REF!</v>
      </c>
      <c r="X29" s="188" t="str">
        <f t="shared" si="58"/>
        <v>#REF!</v>
      </c>
    </row>
    <row r="30">
      <c r="A30" s="188" t="str">
        <f t="shared" ref="A30:O30" si="59">'Municipality Case Trends'!A34</f>
        <v>#REF!</v>
      </c>
      <c r="B30" s="188" t="str">
        <f t="shared" si="59"/>
        <v>#REF!</v>
      </c>
      <c r="C30" s="188" t="str">
        <f t="shared" si="59"/>
        <v>#REF!</v>
      </c>
      <c r="D30" s="188" t="str">
        <f t="shared" si="59"/>
        <v>#REF!</v>
      </c>
      <c r="E30" s="188" t="str">
        <f t="shared" si="59"/>
        <v>#REF!</v>
      </c>
      <c r="F30" s="188" t="str">
        <f t="shared" si="59"/>
        <v>#REF!</v>
      </c>
      <c r="G30" s="188" t="str">
        <f t="shared" si="59"/>
        <v>#REF!</v>
      </c>
      <c r="H30" s="188" t="str">
        <f t="shared" si="59"/>
        <v>#REF!</v>
      </c>
      <c r="I30" s="188" t="str">
        <f t="shared" si="59"/>
        <v>#REF!</v>
      </c>
      <c r="J30" s="188" t="str">
        <f t="shared" si="59"/>
        <v>#REF!</v>
      </c>
      <c r="K30" s="188" t="str">
        <f t="shared" si="59"/>
        <v>#REF!</v>
      </c>
      <c r="L30" s="188" t="str">
        <f t="shared" si="59"/>
        <v>#REF!</v>
      </c>
      <c r="M30" s="188" t="str">
        <f t="shared" si="59"/>
        <v>#REF!</v>
      </c>
      <c r="N30" s="188" t="str">
        <f t="shared" si="59"/>
        <v>#REF!</v>
      </c>
      <c r="O30" s="188" t="str">
        <f t="shared" si="59"/>
        <v>#REF!</v>
      </c>
      <c r="P30" s="188" t="str">
        <f t="shared" ref="P30:X30" si="60">#REF!</f>
        <v>#REF!</v>
      </c>
      <c r="Q30" s="188" t="str">
        <f t="shared" si="60"/>
        <v>#REF!</v>
      </c>
      <c r="R30" s="188" t="str">
        <f t="shared" si="60"/>
        <v>#REF!</v>
      </c>
      <c r="S30" s="188" t="str">
        <f t="shared" si="60"/>
        <v>#REF!</v>
      </c>
      <c r="T30" s="188" t="str">
        <f t="shared" si="60"/>
        <v>#REF!</v>
      </c>
      <c r="U30" s="188" t="str">
        <f t="shared" si="60"/>
        <v>#REF!</v>
      </c>
      <c r="V30" s="188" t="str">
        <f t="shared" si="60"/>
        <v>#REF!</v>
      </c>
      <c r="W30" s="188" t="str">
        <f t="shared" si="60"/>
        <v>#REF!</v>
      </c>
      <c r="X30" s="188" t="str">
        <f t="shared" si="60"/>
        <v>#REF!</v>
      </c>
    </row>
    <row r="31">
      <c r="A31" s="188" t="str">
        <f t="shared" ref="A31:O31" si="61">'Municipality Case Trends'!A35</f>
        <v>#REF!</v>
      </c>
      <c r="B31" s="188" t="str">
        <f t="shared" si="61"/>
        <v>#REF!</v>
      </c>
      <c r="C31" s="188" t="str">
        <f t="shared" si="61"/>
        <v>#REF!</v>
      </c>
      <c r="D31" s="188" t="str">
        <f t="shared" si="61"/>
        <v>#REF!</v>
      </c>
      <c r="E31" s="188" t="str">
        <f t="shared" si="61"/>
        <v>#REF!</v>
      </c>
      <c r="F31" s="188" t="str">
        <f t="shared" si="61"/>
        <v>#REF!</v>
      </c>
      <c r="G31" s="188" t="str">
        <f t="shared" si="61"/>
        <v>#REF!</v>
      </c>
      <c r="H31" s="188" t="str">
        <f t="shared" si="61"/>
        <v>#REF!</v>
      </c>
      <c r="I31" s="188" t="str">
        <f t="shared" si="61"/>
        <v>#REF!</v>
      </c>
      <c r="J31" s="188" t="str">
        <f t="shared" si="61"/>
        <v>#REF!</v>
      </c>
      <c r="K31" s="188" t="str">
        <f t="shared" si="61"/>
        <v>#REF!</v>
      </c>
      <c r="L31" s="188" t="str">
        <f t="shared" si="61"/>
        <v>#REF!</v>
      </c>
      <c r="M31" s="188" t="str">
        <f t="shared" si="61"/>
        <v>#REF!</v>
      </c>
      <c r="N31" s="188" t="str">
        <f t="shared" si="61"/>
        <v>#REF!</v>
      </c>
      <c r="O31" s="188" t="str">
        <f t="shared" si="61"/>
        <v>#REF!</v>
      </c>
      <c r="P31" s="188" t="str">
        <f t="shared" ref="P31:X31" si="62">#REF!</f>
        <v>#REF!</v>
      </c>
      <c r="Q31" s="188" t="str">
        <f t="shared" si="62"/>
        <v>#REF!</v>
      </c>
      <c r="R31" s="188" t="str">
        <f t="shared" si="62"/>
        <v>#REF!</v>
      </c>
      <c r="S31" s="188" t="str">
        <f t="shared" si="62"/>
        <v>#REF!</v>
      </c>
      <c r="T31" s="188" t="str">
        <f t="shared" si="62"/>
        <v>#REF!</v>
      </c>
      <c r="U31" s="188" t="str">
        <f t="shared" si="62"/>
        <v>#REF!</v>
      </c>
      <c r="V31" s="188" t="str">
        <f t="shared" si="62"/>
        <v>#REF!</v>
      </c>
      <c r="W31" s="188" t="str">
        <f t="shared" si="62"/>
        <v>#REF!</v>
      </c>
      <c r="X31" s="188" t="str">
        <f t="shared" si="62"/>
        <v>#REF!</v>
      </c>
    </row>
    <row r="32">
      <c r="A32" s="188" t="str">
        <f t="shared" ref="A32:O32" si="63">'Municipality Case Trends'!A36</f>
        <v>#REF!</v>
      </c>
      <c r="B32" s="188" t="str">
        <f t="shared" si="63"/>
        <v>#REF!</v>
      </c>
      <c r="C32" s="188" t="str">
        <f t="shared" si="63"/>
        <v>#REF!</v>
      </c>
      <c r="D32" s="188" t="str">
        <f t="shared" si="63"/>
        <v>#REF!</v>
      </c>
      <c r="E32" s="188" t="str">
        <f t="shared" si="63"/>
        <v>#REF!</v>
      </c>
      <c r="F32" s="188" t="str">
        <f t="shared" si="63"/>
        <v>#REF!</v>
      </c>
      <c r="G32" s="188" t="str">
        <f t="shared" si="63"/>
        <v>#REF!</v>
      </c>
      <c r="H32" s="188" t="str">
        <f t="shared" si="63"/>
        <v>#REF!</v>
      </c>
      <c r="I32" s="188" t="str">
        <f t="shared" si="63"/>
        <v>#REF!</v>
      </c>
      <c r="J32" s="188" t="str">
        <f t="shared" si="63"/>
        <v>#REF!</v>
      </c>
      <c r="K32" s="188" t="str">
        <f t="shared" si="63"/>
        <v>#REF!</v>
      </c>
      <c r="L32" s="188" t="str">
        <f t="shared" si="63"/>
        <v>#REF!</v>
      </c>
      <c r="M32" s="188" t="str">
        <f t="shared" si="63"/>
        <v>#REF!</v>
      </c>
      <c r="N32" s="188" t="str">
        <f t="shared" si="63"/>
        <v>#REF!</v>
      </c>
      <c r="O32" s="188" t="str">
        <f t="shared" si="63"/>
        <v>#REF!</v>
      </c>
      <c r="P32" s="188" t="str">
        <f t="shared" ref="P32:X32" si="64">#REF!</f>
        <v>#REF!</v>
      </c>
      <c r="Q32" s="188" t="str">
        <f t="shared" si="64"/>
        <v>#REF!</v>
      </c>
      <c r="R32" s="188" t="str">
        <f t="shared" si="64"/>
        <v>#REF!</v>
      </c>
      <c r="S32" s="188" t="str">
        <f t="shared" si="64"/>
        <v>#REF!</v>
      </c>
      <c r="T32" s="188" t="str">
        <f t="shared" si="64"/>
        <v>#REF!</v>
      </c>
      <c r="U32" s="188" t="str">
        <f t="shared" si="64"/>
        <v>#REF!</v>
      </c>
      <c r="V32" s="188" t="str">
        <f t="shared" si="64"/>
        <v>#REF!</v>
      </c>
      <c r="W32" s="188" t="str">
        <f t="shared" si="64"/>
        <v>#REF!</v>
      </c>
      <c r="X32" s="188" t="str">
        <f t="shared" si="64"/>
        <v>#REF!</v>
      </c>
    </row>
    <row r="33">
      <c r="A33" s="188" t="str">
        <f t="shared" ref="A33:O33" si="65">'Municipality Case Trends'!A37</f>
        <v>#REF!</v>
      </c>
      <c r="B33" s="188" t="str">
        <f t="shared" si="65"/>
        <v>#REF!</v>
      </c>
      <c r="C33" s="188" t="str">
        <f t="shared" si="65"/>
        <v>#REF!</v>
      </c>
      <c r="D33" s="188" t="str">
        <f t="shared" si="65"/>
        <v>#REF!</v>
      </c>
      <c r="E33" s="188" t="str">
        <f t="shared" si="65"/>
        <v>#REF!</v>
      </c>
      <c r="F33" s="188" t="str">
        <f t="shared" si="65"/>
        <v>#REF!</v>
      </c>
      <c r="G33" s="188" t="str">
        <f t="shared" si="65"/>
        <v>#REF!</v>
      </c>
      <c r="H33" s="188" t="str">
        <f t="shared" si="65"/>
        <v>#REF!</v>
      </c>
      <c r="I33" s="188" t="str">
        <f t="shared" si="65"/>
        <v>#REF!</v>
      </c>
      <c r="J33" s="188" t="str">
        <f t="shared" si="65"/>
        <v>#REF!</v>
      </c>
      <c r="K33" s="188" t="str">
        <f t="shared" si="65"/>
        <v>#REF!</v>
      </c>
      <c r="L33" s="188" t="str">
        <f t="shared" si="65"/>
        <v>#REF!</v>
      </c>
      <c r="M33" s="188" t="str">
        <f t="shared" si="65"/>
        <v>#REF!</v>
      </c>
      <c r="N33" s="188" t="str">
        <f t="shared" si="65"/>
        <v>#REF!</v>
      </c>
      <c r="O33" s="188" t="str">
        <f t="shared" si="65"/>
        <v>#REF!</v>
      </c>
      <c r="P33" s="188" t="str">
        <f t="shared" ref="P33:X33" si="66">#REF!</f>
        <v>#REF!</v>
      </c>
      <c r="Q33" s="188" t="str">
        <f t="shared" si="66"/>
        <v>#REF!</v>
      </c>
      <c r="R33" s="188" t="str">
        <f t="shared" si="66"/>
        <v>#REF!</v>
      </c>
      <c r="S33" s="188" t="str">
        <f t="shared" si="66"/>
        <v>#REF!</v>
      </c>
      <c r="T33" s="188" t="str">
        <f t="shared" si="66"/>
        <v>#REF!</v>
      </c>
      <c r="U33" s="188" t="str">
        <f t="shared" si="66"/>
        <v>#REF!</v>
      </c>
      <c r="V33" s="188" t="str">
        <f t="shared" si="66"/>
        <v>#REF!</v>
      </c>
      <c r="W33" s="188" t="str">
        <f t="shared" si="66"/>
        <v>#REF!</v>
      </c>
      <c r="X33" s="188" t="str">
        <f t="shared" si="66"/>
        <v>#REF!</v>
      </c>
    </row>
    <row r="34">
      <c r="A34" s="188" t="str">
        <f t="shared" ref="A34:O34" si="67">'Municipality Case Trends'!A38</f>
        <v>#REF!</v>
      </c>
      <c r="B34" s="188" t="str">
        <f t="shared" si="67"/>
        <v>#REF!</v>
      </c>
      <c r="C34" s="188" t="str">
        <f t="shared" si="67"/>
        <v>#REF!</v>
      </c>
      <c r="D34" s="188" t="str">
        <f t="shared" si="67"/>
        <v>#REF!</v>
      </c>
      <c r="E34" s="188" t="str">
        <f t="shared" si="67"/>
        <v>#REF!</v>
      </c>
      <c r="F34" s="188" t="str">
        <f t="shared" si="67"/>
        <v>#REF!</v>
      </c>
      <c r="G34" s="188" t="str">
        <f t="shared" si="67"/>
        <v>#REF!</v>
      </c>
      <c r="H34" s="188" t="str">
        <f t="shared" si="67"/>
        <v>#REF!</v>
      </c>
      <c r="I34" s="188" t="str">
        <f t="shared" si="67"/>
        <v>#REF!</v>
      </c>
      <c r="J34" s="188" t="str">
        <f t="shared" si="67"/>
        <v>#REF!</v>
      </c>
      <c r="K34" s="188" t="str">
        <f t="shared" si="67"/>
        <v>#REF!</v>
      </c>
      <c r="L34" s="188" t="str">
        <f t="shared" si="67"/>
        <v>#REF!</v>
      </c>
      <c r="M34" s="188" t="str">
        <f t="shared" si="67"/>
        <v>#REF!</v>
      </c>
      <c r="N34" s="188" t="str">
        <f t="shared" si="67"/>
        <v>#REF!</v>
      </c>
      <c r="O34" s="188" t="str">
        <f t="shared" si="67"/>
        <v>#REF!</v>
      </c>
      <c r="P34" s="188" t="str">
        <f t="shared" ref="P34:X34" si="68">#REF!</f>
        <v>#REF!</v>
      </c>
      <c r="Q34" s="188" t="str">
        <f t="shared" si="68"/>
        <v>#REF!</v>
      </c>
      <c r="R34" s="188" t="str">
        <f t="shared" si="68"/>
        <v>#REF!</v>
      </c>
      <c r="S34" s="188" t="str">
        <f t="shared" si="68"/>
        <v>#REF!</v>
      </c>
      <c r="T34" s="188" t="str">
        <f t="shared" si="68"/>
        <v>#REF!</v>
      </c>
      <c r="U34" s="188" t="str">
        <f t="shared" si="68"/>
        <v>#REF!</v>
      </c>
      <c r="V34" s="188" t="str">
        <f t="shared" si="68"/>
        <v>#REF!</v>
      </c>
      <c r="W34" s="188" t="str">
        <f t="shared" si="68"/>
        <v>#REF!</v>
      </c>
      <c r="X34" s="188" t="str">
        <f t="shared" si="68"/>
        <v>#REF!</v>
      </c>
    </row>
    <row r="35">
      <c r="A35" s="188" t="str">
        <f t="shared" ref="A35:O35" si="69">'Municipality Case Trends'!A39</f>
        <v>#REF!</v>
      </c>
      <c r="B35" s="188" t="str">
        <f t="shared" si="69"/>
        <v>#REF!</v>
      </c>
      <c r="C35" s="188" t="str">
        <f t="shared" si="69"/>
        <v>#REF!</v>
      </c>
      <c r="D35" s="188" t="str">
        <f t="shared" si="69"/>
        <v>#REF!</v>
      </c>
      <c r="E35" s="188" t="str">
        <f t="shared" si="69"/>
        <v>#REF!</v>
      </c>
      <c r="F35" s="188" t="str">
        <f t="shared" si="69"/>
        <v>#REF!</v>
      </c>
      <c r="G35" s="188" t="str">
        <f t="shared" si="69"/>
        <v>#REF!</v>
      </c>
      <c r="H35" s="188" t="str">
        <f t="shared" si="69"/>
        <v>#REF!</v>
      </c>
      <c r="I35" s="188" t="str">
        <f t="shared" si="69"/>
        <v>#REF!</v>
      </c>
      <c r="J35" s="188" t="str">
        <f t="shared" si="69"/>
        <v>#REF!</v>
      </c>
      <c r="K35" s="188" t="str">
        <f t="shared" si="69"/>
        <v>#REF!</v>
      </c>
      <c r="L35" s="188" t="str">
        <f t="shared" si="69"/>
        <v>#REF!</v>
      </c>
      <c r="M35" s="188" t="str">
        <f t="shared" si="69"/>
        <v>#REF!</v>
      </c>
      <c r="N35" s="188" t="str">
        <f t="shared" si="69"/>
        <v>#REF!</v>
      </c>
      <c r="O35" s="188" t="str">
        <f t="shared" si="69"/>
        <v>#REF!</v>
      </c>
      <c r="P35" s="188" t="str">
        <f t="shared" ref="P35:X35" si="70">#REF!</f>
        <v>#REF!</v>
      </c>
      <c r="Q35" s="188" t="str">
        <f t="shared" si="70"/>
        <v>#REF!</v>
      </c>
      <c r="R35" s="188" t="str">
        <f t="shared" si="70"/>
        <v>#REF!</v>
      </c>
      <c r="S35" s="188" t="str">
        <f t="shared" si="70"/>
        <v>#REF!</v>
      </c>
      <c r="T35" s="188" t="str">
        <f t="shared" si="70"/>
        <v>#REF!</v>
      </c>
      <c r="U35" s="188" t="str">
        <f t="shared" si="70"/>
        <v>#REF!</v>
      </c>
      <c r="V35" s="188" t="str">
        <f t="shared" si="70"/>
        <v>#REF!</v>
      </c>
      <c r="W35" s="188" t="str">
        <f t="shared" si="70"/>
        <v>#REF!</v>
      </c>
      <c r="X35" s="188" t="str">
        <f t="shared" si="70"/>
        <v>#REF!</v>
      </c>
    </row>
    <row r="36">
      <c r="A36" s="188" t="str">
        <f t="shared" ref="A36:O36" si="71">'Municipality Case Trends'!A40</f>
        <v>#REF!</v>
      </c>
      <c r="B36" s="188" t="str">
        <f t="shared" si="71"/>
        <v>#REF!</v>
      </c>
      <c r="C36" s="188" t="str">
        <f t="shared" si="71"/>
        <v>#REF!</v>
      </c>
      <c r="D36" s="188" t="str">
        <f t="shared" si="71"/>
        <v>#REF!</v>
      </c>
      <c r="E36" s="188" t="str">
        <f t="shared" si="71"/>
        <v>#REF!</v>
      </c>
      <c r="F36" s="188" t="str">
        <f t="shared" si="71"/>
        <v>#REF!</v>
      </c>
      <c r="G36" s="188" t="str">
        <f t="shared" si="71"/>
        <v>#REF!</v>
      </c>
      <c r="H36" s="188" t="str">
        <f t="shared" si="71"/>
        <v>#REF!</v>
      </c>
      <c r="I36" s="188" t="str">
        <f t="shared" si="71"/>
        <v>#REF!</v>
      </c>
      <c r="J36" s="188" t="str">
        <f t="shared" si="71"/>
        <v>#REF!</v>
      </c>
      <c r="K36" s="188" t="str">
        <f t="shared" si="71"/>
        <v>#REF!</v>
      </c>
      <c r="L36" s="188" t="str">
        <f t="shared" si="71"/>
        <v>#REF!</v>
      </c>
      <c r="M36" s="188" t="str">
        <f t="shared" si="71"/>
        <v>#REF!</v>
      </c>
      <c r="N36" s="188" t="str">
        <f t="shared" si="71"/>
        <v>#REF!</v>
      </c>
      <c r="O36" s="188" t="str">
        <f t="shared" si="71"/>
        <v>#REF!</v>
      </c>
      <c r="P36" s="188" t="str">
        <f t="shared" ref="P36:X36" si="72">#REF!</f>
        <v>#REF!</v>
      </c>
      <c r="Q36" s="188" t="str">
        <f t="shared" si="72"/>
        <v>#REF!</v>
      </c>
      <c r="R36" s="188" t="str">
        <f t="shared" si="72"/>
        <v>#REF!</v>
      </c>
      <c r="S36" s="188" t="str">
        <f t="shared" si="72"/>
        <v>#REF!</v>
      </c>
      <c r="T36" s="188" t="str">
        <f t="shared" si="72"/>
        <v>#REF!</v>
      </c>
      <c r="U36" s="188" t="str">
        <f t="shared" si="72"/>
        <v>#REF!</v>
      </c>
      <c r="V36" s="188" t="str">
        <f t="shared" si="72"/>
        <v>#REF!</v>
      </c>
      <c r="W36" s="188" t="str">
        <f t="shared" si="72"/>
        <v>#REF!</v>
      </c>
      <c r="X36" s="188" t="str">
        <f t="shared" si="72"/>
        <v>#REF!</v>
      </c>
    </row>
    <row r="37">
      <c r="A37" s="188" t="str">
        <f t="shared" ref="A37:O37" si="73">'Municipality Case Trends'!A41</f>
        <v>#REF!</v>
      </c>
      <c r="B37" s="188" t="str">
        <f t="shared" si="73"/>
        <v>#REF!</v>
      </c>
      <c r="C37" s="188" t="str">
        <f t="shared" si="73"/>
        <v>#REF!</v>
      </c>
      <c r="D37" s="188" t="str">
        <f t="shared" si="73"/>
        <v>#REF!</v>
      </c>
      <c r="E37" s="188" t="str">
        <f t="shared" si="73"/>
        <v>#REF!</v>
      </c>
      <c r="F37" s="188" t="str">
        <f t="shared" si="73"/>
        <v>#REF!</v>
      </c>
      <c r="G37" s="188" t="str">
        <f t="shared" si="73"/>
        <v>#REF!</v>
      </c>
      <c r="H37" s="188" t="str">
        <f t="shared" si="73"/>
        <v>#REF!</v>
      </c>
      <c r="I37" s="188" t="str">
        <f t="shared" si="73"/>
        <v>#REF!</v>
      </c>
      <c r="J37" s="188" t="str">
        <f t="shared" si="73"/>
        <v>#REF!</v>
      </c>
      <c r="K37" s="188" t="str">
        <f t="shared" si="73"/>
        <v>#REF!</v>
      </c>
      <c r="L37" s="188" t="str">
        <f t="shared" si="73"/>
        <v>#REF!</v>
      </c>
      <c r="M37" s="188" t="str">
        <f t="shared" si="73"/>
        <v>#REF!</v>
      </c>
      <c r="N37" s="188" t="str">
        <f t="shared" si="73"/>
        <v>#REF!</v>
      </c>
      <c r="O37" s="188" t="str">
        <f t="shared" si="73"/>
        <v>#REF!</v>
      </c>
      <c r="P37" s="188" t="str">
        <f t="shared" ref="P37:X37" si="74">#REF!</f>
        <v>#REF!</v>
      </c>
      <c r="Q37" s="188" t="str">
        <f t="shared" si="74"/>
        <v>#REF!</v>
      </c>
      <c r="R37" s="188" t="str">
        <f t="shared" si="74"/>
        <v>#REF!</v>
      </c>
      <c r="S37" s="188" t="str">
        <f t="shared" si="74"/>
        <v>#REF!</v>
      </c>
      <c r="T37" s="188" t="str">
        <f t="shared" si="74"/>
        <v>#REF!</v>
      </c>
      <c r="U37" s="188" t="str">
        <f t="shared" si="74"/>
        <v>#REF!</v>
      </c>
      <c r="V37" s="188" t="str">
        <f t="shared" si="74"/>
        <v>#REF!</v>
      </c>
      <c r="W37" s="188" t="str">
        <f t="shared" si="74"/>
        <v>#REF!</v>
      </c>
      <c r="X37" s="188" t="str">
        <f t="shared" si="74"/>
        <v>#REF!</v>
      </c>
    </row>
    <row r="38">
      <c r="A38" s="188" t="str">
        <f t="shared" ref="A38:O38" si="75">'Municipality Case Trends'!A42</f>
        <v>#REF!</v>
      </c>
      <c r="B38" s="188" t="str">
        <f t="shared" si="75"/>
        <v>#REF!</v>
      </c>
      <c r="C38" s="188" t="str">
        <f t="shared" si="75"/>
        <v>#REF!</v>
      </c>
      <c r="D38" s="188" t="str">
        <f t="shared" si="75"/>
        <v>#REF!</v>
      </c>
      <c r="E38" s="188" t="str">
        <f t="shared" si="75"/>
        <v>#REF!</v>
      </c>
      <c r="F38" s="188" t="str">
        <f t="shared" si="75"/>
        <v>#REF!</v>
      </c>
      <c r="G38" s="188" t="str">
        <f t="shared" si="75"/>
        <v>#REF!</v>
      </c>
      <c r="H38" s="188" t="str">
        <f t="shared" si="75"/>
        <v>#REF!</v>
      </c>
      <c r="I38" s="188" t="str">
        <f t="shared" si="75"/>
        <v>#REF!</v>
      </c>
      <c r="J38" s="188" t="str">
        <f t="shared" si="75"/>
        <v>#REF!</v>
      </c>
      <c r="K38" s="188" t="str">
        <f t="shared" si="75"/>
        <v>#REF!</v>
      </c>
      <c r="L38" s="188" t="str">
        <f t="shared" si="75"/>
        <v>#REF!</v>
      </c>
      <c r="M38" s="188" t="str">
        <f t="shared" si="75"/>
        <v>#REF!</v>
      </c>
      <c r="N38" s="188" t="str">
        <f t="shared" si="75"/>
        <v>#REF!</v>
      </c>
      <c r="O38" s="188" t="str">
        <f t="shared" si="75"/>
        <v>#REF!</v>
      </c>
      <c r="P38" s="188" t="str">
        <f t="shared" ref="P38:X38" si="76">#REF!</f>
        <v>#REF!</v>
      </c>
      <c r="Q38" s="188" t="str">
        <f t="shared" si="76"/>
        <v>#REF!</v>
      </c>
      <c r="R38" s="188" t="str">
        <f t="shared" si="76"/>
        <v>#REF!</v>
      </c>
      <c r="S38" s="188" t="str">
        <f t="shared" si="76"/>
        <v>#REF!</v>
      </c>
      <c r="T38" s="188" t="str">
        <f t="shared" si="76"/>
        <v>#REF!</v>
      </c>
      <c r="U38" s="188" t="str">
        <f t="shared" si="76"/>
        <v>#REF!</v>
      </c>
      <c r="V38" s="188" t="str">
        <f t="shared" si="76"/>
        <v>#REF!</v>
      </c>
      <c r="W38" s="188" t="str">
        <f t="shared" si="76"/>
        <v>#REF!</v>
      </c>
      <c r="X38" s="188" t="str">
        <f t="shared" si="76"/>
        <v>#REF!</v>
      </c>
    </row>
    <row r="39">
      <c r="A39" s="188" t="str">
        <f t="shared" ref="A39:O39" si="77">'Municipality Case Trends'!A43</f>
        <v>#REF!</v>
      </c>
      <c r="B39" s="188" t="str">
        <f t="shared" si="77"/>
        <v>#REF!</v>
      </c>
      <c r="C39" s="188" t="str">
        <f t="shared" si="77"/>
        <v>#REF!</v>
      </c>
      <c r="D39" s="188" t="str">
        <f t="shared" si="77"/>
        <v>#REF!</v>
      </c>
      <c r="E39" s="188" t="str">
        <f t="shared" si="77"/>
        <v>#REF!</v>
      </c>
      <c r="F39" s="188" t="str">
        <f t="shared" si="77"/>
        <v>#REF!</v>
      </c>
      <c r="G39" s="188" t="str">
        <f t="shared" si="77"/>
        <v>#REF!</v>
      </c>
      <c r="H39" s="188" t="str">
        <f t="shared" si="77"/>
        <v>#REF!</v>
      </c>
      <c r="I39" s="188" t="str">
        <f t="shared" si="77"/>
        <v>#REF!</v>
      </c>
      <c r="J39" s="188" t="str">
        <f t="shared" si="77"/>
        <v>#REF!</v>
      </c>
      <c r="K39" s="188" t="str">
        <f t="shared" si="77"/>
        <v>#REF!</v>
      </c>
      <c r="L39" s="188" t="str">
        <f t="shared" si="77"/>
        <v>#REF!</v>
      </c>
      <c r="M39" s="188" t="str">
        <f t="shared" si="77"/>
        <v>#REF!</v>
      </c>
      <c r="N39" s="188" t="str">
        <f t="shared" si="77"/>
        <v>#REF!</v>
      </c>
      <c r="O39" s="188" t="str">
        <f t="shared" si="77"/>
        <v>#REF!</v>
      </c>
      <c r="P39" s="188" t="str">
        <f t="shared" ref="P39:X39" si="78">#REF!</f>
        <v>#REF!</v>
      </c>
      <c r="Q39" s="188" t="str">
        <f t="shared" si="78"/>
        <v>#REF!</v>
      </c>
      <c r="R39" s="188" t="str">
        <f t="shared" si="78"/>
        <v>#REF!</v>
      </c>
      <c r="S39" s="188" t="str">
        <f t="shared" si="78"/>
        <v>#REF!</v>
      </c>
      <c r="T39" s="188" t="str">
        <f t="shared" si="78"/>
        <v>#REF!</v>
      </c>
      <c r="U39" s="188" t="str">
        <f t="shared" si="78"/>
        <v>#REF!</v>
      </c>
      <c r="V39" s="188" t="str">
        <f t="shared" si="78"/>
        <v>#REF!</v>
      </c>
      <c r="W39" s="188" t="str">
        <f t="shared" si="78"/>
        <v>#REF!</v>
      </c>
      <c r="X39" s="188" t="str">
        <f t="shared" si="78"/>
        <v>#REF!</v>
      </c>
    </row>
    <row r="40">
      <c r="A40" s="188" t="str">
        <f t="shared" ref="A40:O40" si="79">'Municipality Case Trends'!A44</f>
        <v>#REF!</v>
      </c>
      <c r="B40" s="188" t="str">
        <f t="shared" si="79"/>
        <v>#REF!</v>
      </c>
      <c r="C40" s="188" t="str">
        <f t="shared" si="79"/>
        <v>#REF!</v>
      </c>
      <c r="D40" s="188" t="str">
        <f t="shared" si="79"/>
        <v>#REF!</v>
      </c>
      <c r="E40" s="188" t="str">
        <f t="shared" si="79"/>
        <v>#REF!</v>
      </c>
      <c r="F40" s="188" t="str">
        <f t="shared" si="79"/>
        <v>#REF!</v>
      </c>
      <c r="G40" s="188" t="str">
        <f t="shared" si="79"/>
        <v>#REF!</v>
      </c>
      <c r="H40" s="188" t="str">
        <f t="shared" si="79"/>
        <v>#REF!</v>
      </c>
      <c r="I40" s="188" t="str">
        <f t="shared" si="79"/>
        <v>#REF!</v>
      </c>
      <c r="J40" s="188" t="str">
        <f t="shared" si="79"/>
        <v>#REF!</v>
      </c>
      <c r="K40" s="188" t="str">
        <f t="shared" si="79"/>
        <v>#REF!</v>
      </c>
      <c r="L40" s="188" t="str">
        <f t="shared" si="79"/>
        <v>#REF!</v>
      </c>
      <c r="M40" s="188" t="str">
        <f t="shared" si="79"/>
        <v>#REF!</v>
      </c>
      <c r="N40" s="188" t="str">
        <f t="shared" si="79"/>
        <v>#REF!</v>
      </c>
      <c r="O40" s="188" t="str">
        <f t="shared" si="79"/>
        <v>#REF!</v>
      </c>
      <c r="P40" s="188" t="str">
        <f t="shared" ref="P40:X40" si="80">#REF!</f>
        <v>#REF!</v>
      </c>
      <c r="Q40" s="188" t="str">
        <f t="shared" si="80"/>
        <v>#REF!</v>
      </c>
      <c r="R40" s="188" t="str">
        <f t="shared" si="80"/>
        <v>#REF!</v>
      </c>
      <c r="S40" s="188" t="str">
        <f t="shared" si="80"/>
        <v>#REF!</v>
      </c>
      <c r="T40" s="188" t="str">
        <f t="shared" si="80"/>
        <v>#REF!</v>
      </c>
      <c r="U40" s="188" t="str">
        <f t="shared" si="80"/>
        <v>#REF!</v>
      </c>
      <c r="V40" s="188" t="str">
        <f t="shared" si="80"/>
        <v>#REF!</v>
      </c>
      <c r="W40" s="188" t="str">
        <f t="shared" si="80"/>
        <v>#REF!</v>
      </c>
      <c r="X40" s="188" t="str">
        <f t="shared" si="80"/>
        <v>#REF!</v>
      </c>
    </row>
    <row r="41">
      <c r="A41" s="188" t="str">
        <f t="shared" ref="A41:O41" si="81">'Municipality Case Trends'!A45</f>
        <v>#REF!</v>
      </c>
      <c r="B41" s="188" t="str">
        <f t="shared" si="81"/>
        <v>#REF!</v>
      </c>
      <c r="C41" s="188" t="str">
        <f t="shared" si="81"/>
        <v>#REF!</v>
      </c>
      <c r="D41" s="188" t="str">
        <f t="shared" si="81"/>
        <v>#REF!</v>
      </c>
      <c r="E41" s="188" t="str">
        <f t="shared" si="81"/>
        <v>#REF!</v>
      </c>
      <c r="F41" s="188" t="str">
        <f t="shared" si="81"/>
        <v>#REF!</v>
      </c>
      <c r="G41" s="188" t="str">
        <f t="shared" si="81"/>
        <v>#REF!</v>
      </c>
      <c r="H41" s="188" t="str">
        <f t="shared" si="81"/>
        <v>#REF!</v>
      </c>
      <c r="I41" s="188" t="str">
        <f t="shared" si="81"/>
        <v>#REF!</v>
      </c>
      <c r="J41" s="188" t="str">
        <f t="shared" si="81"/>
        <v>#REF!</v>
      </c>
      <c r="K41" s="188" t="str">
        <f t="shared" si="81"/>
        <v>#REF!</v>
      </c>
      <c r="L41" s="188" t="str">
        <f t="shared" si="81"/>
        <v>#REF!</v>
      </c>
      <c r="M41" s="188" t="str">
        <f t="shared" si="81"/>
        <v>#REF!</v>
      </c>
      <c r="N41" s="188" t="str">
        <f t="shared" si="81"/>
        <v>#REF!</v>
      </c>
      <c r="O41" s="188" t="str">
        <f t="shared" si="81"/>
        <v>#REF!</v>
      </c>
      <c r="P41" s="188" t="str">
        <f t="shared" ref="P41:X41" si="82">#REF!</f>
        <v>#REF!</v>
      </c>
      <c r="Q41" s="188" t="str">
        <f t="shared" si="82"/>
        <v>#REF!</v>
      </c>
      <c r="R41" s="188" t="str">
        <f t="shared" si="82"/>
        <v>#REF!</v>
      </c>
      <c r="S41" s="188" t="str">
        <f t="shared" si="82"/>
        <v>#REF!</v>
      </c>
      <c r="T41" s="188" t="str">
        <f t="shared" si="82"/>
        <v>#REF!</v>
      </c>
      <c r="U41" s="188" t="str">
        <f t="shared" si="82"/>
        <v>#REF!</v>
      </c>
      <c r="V41" s="188" t="str">
        <f t="shared" si="82"/>
        <v>#REF!</v>
      </c>
      <c r="W41" s="188" t="str">
        <f t="shared" si="82"/>
        <v>#REF!</v>
      </c>
      <c r="X41" s="188" t="str">
        <f t="shared" si="82"/>
        <v>#REF!</v>
      </c>
    </row>
    <row r="42">
      <c r="A42" s="188" t="str">
        <f t="shared" ref="A42:O42" si="83">'Municipality Case Trends'!A46</f>
        <v>#REF!</v>
      </c>
      <c r="B42" s="188" t="str">
        <f t="shared" si="83"/>
        <v>#REF!</v>
      </c>
      <c r="C42" s="188" t="str">
        <f t="shared" si="83"/>
        <v>#REF!</v>
      </c>
      <c r="D42" s="188" t="str">
        <f t="shared" si="83"/>
        <v>#REF!</v>
      </c>
      <c r="E42" s="188" t="str">
        <f t="shared" si="83"/>
        <v>#REF!</v>
      </c>
      <c r="F42" s="188" t="str">
        <f t="shared" si="83"/>
        <v>#REF!</v>
      </c>
      <c r="G42" s="188" t="str">
        <f t="shared" si="83"/>
        <v>#REF!</v>
      </c>
      <c r="H42" s="188" t="str">
        <f t="shared" si="83"/>
        <v>#REF!</v>
      </c>
      <c r="I42" s="188" t="str">
        <f t="shared" si="83"/>
        <v>#REF!</v>
      </c>
      <c r="J42" s="188" t="str">
        <f t="shared" si="83"/>
        <v>#REF!</v>
      </c>
      <c r="K42" s="188" t="str">
        <f t="shared" si="83"/>
        <v>#REF!</v>
      </c>
      <c r="L42" s="188" t="str">
        <f t="shared" si="83"/>
        <v>#REF!</v>
      </c>
      <c r="M42" s="188" t="str">
        <f t="shared" si="83"/>
        <v>#REF!</v>
      </c>
      <c r="N42" s="188" t="str">
        <f t="shared" si="83"/>
        <v>#REF!</v>
      </c>
      <c r="O42" s="188" t="str">
        <f t="shared" si="83"/>
        <v>#REF!</v>
      </c>
      <c r="P42" s="188" t="str">
        <f t="shared" ref="P42:X42" si="84">#REF!</f>
        <v>#REF!</v>
      </c>
      <c r="Q42" s="188" t="str">
        <f t="shared" si="84"/>
        <v>#REF!</v>
      </c>
      <c r="R42" s="188" t="str">
        <f t="shared" si="84"/>
        <v>#REF!</v>
      </c>
      <c r="S42" s="188" t="str">
        <f t="shared" si="84"/>
        <v>#REF!</v>
      </c>
      <c r="T42" s="188" t="str">
        <f t="shared" si="84"/>
        <v>#REF!</v>
      </c>
      <c r="U42" s="188" t="str">
        <f t="shared" si="84"/>
        <v>#REF!</v>
      </c>
      <c r="V42" s="188" t="str">
        <f t="shared" si="84"/>
        <v>#REF!</v>
      </c>
      <c r="W42" s="188" t="str">
        <f t="shared" si="84"/>
        <v>#REF!</v>
      </c>
      <c r="X42" s="188" t="str">
        <f t="shared" si="84"/>
        <v>#REF!</v>
      </c>
    </row>
    <row r="43">
      <c r="A43" s="188" t="str">
        <f>#REF!</f>
        <v>#REF!</v>
      </c>
    </row>
    <row r="44">
      <c r="A44" s="188" t="str">
        <f>'Municipality Case Trends'!A4</f>
        <v>#REF!</v>
      </c>
    </row>
    <row r="45">
      <c r="A45" s="188" t="str">
        <f t="shared" ref="A45:A57" si="85">#REF!</f>
        <v>#REF!</v>
      </c>
    </row>
    <row r="46">
      <c r="A46" s="188" t="str">
        <f t="shared" si="85"/>
        <v>#REF!</v>
      </c>
    </row>
    <row r="47">
      <c r="A47" s="188" t="str">
        <f t="shared" si="85"/>
        <v>#REF!</v>
      </c>
    </row>
    <row r="48">
      <c r="A48" s="188" t="str">
        <f t="shared" si="85"/>
        <v>#REF!</v>
      </c>
    </row>
    <row r="49">
      <c r="A49" s="188" t="str">
        <f t="shared" si="85"/>
        <v>#REF!</v>
      </c>
    </row>
    <row r="50">
      <c r="A50" s="188" t="str">
        <f t="shared" si="85"/>
        <v>#REF!</v>
      </c>
    </row>
    <row r="51">
      <c r="A51" s="188" t="str">
        <f t="shared" si="85"/>
        <v>#REF!</v>
      </c>
    </row>
    <row r="52">
      <c r="A52" s="188" t="str">
        <f t="shared" si="85"/>
        <v>#REF!</v>
      </c>
    </row>
    <row r="53">
      <c r="A53" s="188" t="str">
        <f t="shared" si="85"/>
        <v>#REF!</v>
      </c>
    </row>
    <row r="54">
      <c r="A54" s="188" t="str">
        <f t="shared" si="85"/>
        <v>#REF!</v>
      </c>
    </row>
    <row r="55">
      <c r="A55" s="188" t="str">
        <f t="shared" si="85"/>
        <v>#REF!</v>
      </c>
    </row>
    <row r="56">
      <c r="A56" s="188" t="str">
        <f t="shared" si="85"/>
        <v>#REF!</v>
      </c>
    </row>
    <row r="57">
      <c r="A57" s="188"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3.0</v>
      </c>
      <c r="F5" s="22">
        <v>3.0</v>
      </c>
      <c r="G5" s="22">
        <v>5.0</v>
      </c>
      <c r="H5" s="22">
        <v>5.0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4.0</v>
      </c>
      <c r="G6" s="22">
        <v>1.0</v>
      </c>
      <c r="H6" s="22">
        <v>6.0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6.0</v>
      </c>
      <c r="G7" s="22">
        <v>2.0</v>
      </c>
      <c r="H7" s="22">
        <v>8.0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18.0</v>
      </c>
      <c r="G8" s="22">
        <v>12.0</v>
      </c>
      <c r="H8" s="22">
        <v>20.0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5.0</v>
      </c>
      <c r="F9" s="22">
        <v>23.0</v>
      </c>
      <c r="G9" s="22">
        <v>5.0</v>
      </c>
      <c r="H9" s="22">
        <v>25.0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35.0</v>
      </c>
      <c r="G10" s="22">
        <v>13.0</v>
      </c>
      <c r="H10" s="22">
        <v>38.0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54.0</v>
      </c>
      <c r="G11" s="22">
        <v>19.0</v>
      </c>
      <c r="H11" s="22">
        <v>57.0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19.0</v>
      </c>
      <c r="F12" s="22">
        <v>73.0</v>
      </c>
      <c r="G12" s="22">
        <v>19.0</v>
      </c>
      <c r="H12" s="22">
        <v>76.0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27.0</v>
      </c>
      <c r="F13" s="22">
        <v>100.0</v>
      </c>
      <c r="G13" s="22">
        <v>28.0</v>
      </c>
      <c r="H13" s="22">
        <v>104.0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125.0</v>
      </c>
      <c r="G14" s="22">
        <v>27.0</v>
      </c>
      <c r="H14" s="22">
        <v>131.0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159.0</v>
      </c>
      <c r="G15" s="22">
        <v>34.0</v>
      </c>
      <c r="H15" s="22">
        <v>165.0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200.0</v>
      </c>
      <c r="G16" s="22">
        <v>50.0</v>
      </c>
      <c r="H16" s="22">
        <v>215.0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250.0</v>
      </c>
      <c r="G17" s="22">
        <v>56.0</v>
      </c>
      <c r="H17" s="22">
        <v>271.0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340.0</v>
      </c>
      <c r="G18" s="22">
        <v>90.0</v>
      </c>
      <c r="H18" s="22">
        <v>361.0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394.0</v>
      </c>
      <c r="G19" s="22">
        <v>55.0</v>
      </c>
      <c r="H19" s="22">
        <v>416.0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489.0</v>
      </c>
      <c r="G20" s="22">
        <v>97.0</v>
      </c>
      <c r="H20" s="22">
        <v>513.0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651.0</v>
      </c>
      <c r="G21" s="22">
        <v>178.0</v>
      </c>
      <c r="H21" s="22">
        <v>691.0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767.0</v>
      </c>
      <c r="G22" s="22">
        <v>128.0</v>
      </c>
      <c r="H22" s="22">
        <v>819.0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1029.0</v>
      </c>
      <c r="G23" s="22">
        <v>279.0</v>
      </c>
      <c r="H23" s="22">
        <v>1098.0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1226.0</v>
      </c>
      <c r="G24" s="22">
        <v>211.0</v>
      </c>
      <c r="H24" s="22">
        <v>1309.0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1352.0</v>
      </c>
      <c r="G25" s="22">
        <v>147.0</v>
      </c>
      <c r="H25" s="22">
        <v>1456.0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1634.0</v>
      </c>
      <c r="G26" s="22">
        <v>312.0</v>
      </c>
      <c r="H26" s="22">
        <v>1768.0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15.0</v>
      </c>
      <c r="C27" s="22">
        <v>22.0</v>
      </c>
      <c r="D27" s="22">
        <v>149.0</v>
      </c>
      <c r="E27" s="21">
        <v>169.0</v>
      </c>
      <c r="F27" s="22">
        <v>1803.0</v>
      </c>
      <c r="G27" s="22">
        <v>184.0</v>
      </c>
      <c r="H27" s="22">
        <v>1952.0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22.0</v>
      </c>
      <c r="D28" s="22">
        <v>169.0</v>
      </c>
      <c r="E28" s="21">
        <v>243.0</v>
      </c>
      <c r="F28" s="22">
        <v>2046.0</v>
      </c>
      <c r="G28" s="22">
        <v>263.0</v>
      </c>
      <c r="H28" s="22">
        <v>2215.0</v>
      </c>
      <c r="I28" s="24">
        <v>19.0</v>
      </c>
      <c r="J28" s="22">
        <v>20.0</v>
      </c>
      <c r="K28" s="22">
        <v>148.0</v>
      </c>
      <c r="L28" s="22">
        <v>238.0</v>
      </c>
      <c r="M28" s="22">
        <v>1948.0</v>
      </c>
      <c r="N28" s="22">
        <v>2096.0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195.0</v>
      </c>
      <c r="E29" s="21">
        <v>184.0</v>
      </c>
      <c r="F29" s="22">
        <v>2230.0</v>
      </c>
      <c r="G29" s="22">
        <v>210.0</v>
      </c>
      <c r="H29" s="22">
        <v>2425.0</v>
      </c>
      <c r="I29" s="24">
        <v>28.0</v>
      </c>
      <c r="J29" s="22">
        <v>21.0</v>
      </c>
      <c r="K29" s="22">
        <v>176.0</v>
      </c>
      <c r="L29" s="22">
        <v>172.0</v>
      </c>
      <c r="M29" s="22">
        <v>2120.0</v>
      </c>
      <c r="N29" s="22">
        <v>2296.0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230.0</v>
      </c>
      <c r="E30" s="21">
        <v>181.0</v>
      </c>
      <c r="F30" s="22">
        <v>2411.0</v>
      </c>
      <c r="G30" s="22">
        <v>216.0</v>
      </c>
      <c r="H30" s="22">
        <v>2641.0</v>
      </c>
      <c r="I30" s="24">
        <v>41.0</v>
      </c>
      <c r="J30" s="22">
        <v>29.0</v>
      </c>
      <c r="K30" s="22">
        <v>217.0</v>
      </c>
      <c r="L30" s="22">
        <v>176.0</v>
      </c>
      <c r="M30" s="22">
        <v>2296.0</v>
      </c>
      <c r="N30" s="22">
        <v>2513.0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257.0</v>
      </c>
      <c r="E31" s="21">
        <v>215.0</v>
      </c>
      <c r="F31" s="22">
        <v>2626.0</v>
      </c>
      <c r="G31" s="22">
        <v>242.0</v>
      </c>
      <c r="H31" s="22">
        <v>2883.0</v>
      </c>
      <c r="I31" s="24">
        <v>31.0</v>
      </c>
      <c r="J31" s="22">
        <v>33.0</v>
      </c>
      <c r="K31" s="22">
        <v>248.0</v>
      </c>
      <c r="L31" s="22">
        <v>202.0</v>
      </c>
      <c r="M31" s="22">
        <v>2498.0</v>
      </c>
      <c r="N31" s="22">
        <v>2746.0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316.0</v>
      </c>
      <c r="E32" s="21">
        <v>260.0</v>
      </c>
      <c r="F32" s="22">
        <v>2886.0</v>
      </c>
      <c r="G32" s="22">
        <v>319.0</v>
      </c>
      <c r="H32" s="22">
        <v>3202.0</v>
      </c>
      <c r="I32" s="24">
        <v>63.0</v>
      </c>
      <c r="J32" s="22">
        <v>45.0</v>
      </c>
      <c r="K32" s="22">
        <v>311.0</v>
      </c>
      <c r="L32" s="22">
        <v>241.0</v>
      </c>
      <c r="M32" s="22">
        <v>2739.0</v>
      </c>
      <c r="N32" s="22">
        <v>3050.0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422.0</v>
      </c>
      <c r="E33" s="21">
        <v>356.0</v>
      </c>
      <c r="F33" s="22">
        <v>3242.0</v>
      </c>
      <c r="G33" s="22">
        <v>462.0</v>
      </c>
      <c r="H33" s="22">
        <v>3664.0</v>
      </c>
      <c r="I33" s="24">
        <v>105.0</v>
      </c>
      <c r="J33" s="22">
        <v>66.0</v>
      </c>
      <c r="K33" s="22">
        <v>416.0</v>
      </c>
      <c r="L33" s="22">
        <v>314.0</v>
      </c>
      <c r="M33" s="22">
        <v>3053.0</v>
      </c>
      <c r="N33" s="22">
        <v>3469.0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484.0</v>
      </c>
      <c r="E34" s="21">
        <v>222.0</v>
      </c>
      <c r="F34" s="22">
        <v>3464.0</v>
      </c>
      <c r="G34" s="22">
        <v>284.0</v>
      </c>
      <c r="H34" s="22">
        <v>3948.0</v>
      </c>
      <c r="I34" s="24">
        <v>78.0</v>
      </c>
      <c r="J34" s="22">
        <v>82.0</v>
      </c>
      <c r="K34" s="22">
        <v>494.0</v>
      </c>
      <c r="L34" s="22">
        <v>184.0</v>
      </c>
      <c r="M34" s="22">
        <v>3237.0</v>
      </c>
      <c r="N34" s="22">
        <v>3731.0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555.0</v>
      </c>
      <c r="E35" s="21">
        <v>369.0</v>
      </c>
      <c r="F35" s="22">
        <v>3833.0</v>
      </c>
      <c r="G35" s="22">
        <v>440.0</v>
      </c>
      <c r="H35" s="22">
        <v>4388.0</v>
      </c>
      <c r="I35" s="24">
        <v>73.0</v>
      </c>
      <c r="J35" s="22">
        <v>85.0</v>
      </c>
      <c r="K35" s="22">
        <v>567.0</v>
      </c>
      <c r="L35" s="22">
        <v>297.0</v>
      </c>
      <c r="M35" s="22">
        <v>3534.0</v>
      </c>
      <c r="N35" s="22">
        <v>4101.0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654.0</v>
      </c>
      <c r="E36" s="21">
        <v>699.0</v>
      </c>
      <c r="F36" s="22">
        <v>4532.0</v>
      </c>
      <c r="G36" s="22">
        <v>798.0</v>
      </c>
      <c r="H36" s="22">
        <v>5186.0</v>
      </c>
      <c r="I36" s="24">
        <v>102.0</v>
      </c>
      <c r="J36" s="22">
        <v>84.0</v>
      </c>
      <c r="K36" s="22">
        <v>669.0</v>
      </c>
      <c r="L36" s="22">
        <v>642.0</v>
      </c>
      <c r="M36" s="22">
        <v>4176.0</v>
      </c>
      <c r="N36" s="22">
        <v>4845.0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706.0</v>
      </c>
      <c r="E37" s="21">
        <v>478.0</v>
      </c>
      <c r="F37" s="22">
        <v>5010.0</v>
      </c>
      <c r="G37" s="22">
        <v>530.0</v>
      </c>
      <c r="H37" s="22">
        <v>5716.0</v>
      </c>
      <c r="I37" s="24">
        <v>62.0</v>
      </c>
      <c r="J37" s="22">
        <v>79.0</v>
      </c>
      <c r="K37" s="22">
        <v>731.0</v>
      </c>
      <c r="L37" s="22">
        <v>436.0</v>
      </c>
      <c r="M37" s="22">
        <v>4612.0</v>
      </c>
      <c r="N37" s="22">
        <v>5343.0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814.0</v>
      </c>
      <c r="E38" s="21">
        <v>776.0</v>
      </c>
      <c r="F38" s="22">
        <v>5786.0</v>
      </c>
      <c r="G38" s="22">
        <v>884.0</v>
      </c>
      <c r="H38" s="22">
        <v>6600.0</v>
      </c>
      <c r="I38" s="24">
        <v>100.0</v>
      </c>
      <c r="J38" s="22">
        <v>88.0</v>
      </c>
      <c r="K38" s="22">
        <v>831.0</v>
      </c>
      <c r="L38" s="22">
        <v>712.0</v>
      </c>
      <c r="M38" s="22">
        <v>5324.0</v>
      </c>
      <c r="N38" s="22">
        <v>6155.0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957.0</v>
      </c>
      <c r="E39" s="21">
        <v>660.0</v>
      </c>
      <c r="F39" s="22">
        <v>6446.0</v>
      </c>
      <c r="G39" s="22">
        <v>803.0</v>
      </c>
      <c r="H39" s="22">
        <v>7403.0</v>
      </c>
      <c r="I39" s="24">
        <v>137.0</v>
      </c>
      <c r="J39" s="22">
        <v>100.0</v>
      </c>
      <c r="K39" s="22">
        <v>968.0</v>
      </c>
      <c r="L39" s="22">
        <v>619.0</v>
      </c>
      <c r="M39" s="22">
        <v>5943.0</v>
      </c>
      <c r="N39" s="22">
        <v>6911.0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1144.0</v>
      </c>
      <c r="E40" s="21">
        <v>1156.0</v>
      </c>
      <c r="F40" s="22">
        <v>7602.0</v>
      </c>
      <c r="G40" s="22">
        <v>1343.0</v>
      </c>
      <c r="H40" s="22">
        <v>8746.0</v>
      </c>
      <c r="I40" s="24">
        <v>182.0</v>
      </c>
      <c r="J40" s="22">
        <v>140.0</v>
      </c>
      <c r="K40" s="22">
        <v>1150.0</v>
      </c>
      <c r="L40" s="22">
        <v>1069.0</v>
      </c>
      <c r="M40" s="22">
        <v>7012.0</v>
      </c>
      <c r="N40" s="22">
        <v>8162.0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1362.0</v>
      </c>
      <c r="E41" s="21">
        <v>1707.0</v>
      </c>
      <c r="F41" s="22">
        <v>9309.0</v>
      </c>
      <c r="G41" s="22">
        <v>1925.0</v>
      </c>
      <c r="H41" s="22">
        <v>10671.0</v>
      </c>
      <c r="I41" s="24">
        <v>206.0</v>
      </c>
      <c r="J41" s="22">
        <v>175.0</v>
      </c>
      <c r="K41" s="22">
        <v>1356.0</v>
      </c>
      <c r="L41" s="22">
        <v>1555.0</v>
      </c>
      <c r="M41" s="22">
        <v>8567.0</v>
      </c>
      <c r="N41" s="22">
        <v>9923.0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1647.0</v>
      </c>
      <c r="E42" s="21">
        <v>1632.0</v>
      </c>
      <c r="F42" s="22">
        <v>10941.0</v>
      </c>
      <c r="G42" s="22">
        <v>1917.0</v>
      </c>
      <c r="H42" s="22">
        <v>12588.0</v>
      </c>
      <c r="I42" s="24">
        <v>261.0</v>
      </c>
      <c r="J42" s="22">
        <v>216.0</v>
      </c>
      <c r="K42" s="22">
        <v>1617.0</v>
      </c>
      <c r="L42" s="22">
        <v>1484.0</v>
      </c>
      <c r="M42" s="22">
        <v>10051.0</v>
      </c>
      <c r="N42" s="22">
        <v>11668.0</v>
      </c>
      <c r="O42" s="23">
        <v>20.0</v>
      </c>
      <c r="P42" s="23">
        <v>282.0</v>
      </c>
      <c r="Q42" s="23">
        <v>3.0</v>
      </c>
      <c r="R42" s="23">
        <v>74.0</v>
      </c>
      <c r="S42" s="23">
        <v>2.0</v>
      </c>
      <c r="T42" s="22">
        <v>15.0</v>
      </c>
      <c r="U42" s="22">
        <v>193.0</v>
      </c>
      <c r="V42" s="22">
        <v>177.0</v>
      </c>
      <c r="W42" s="24">
        <v>50.0</v>
      </c>
      <c r="X42" s="24">
        <v>42.0</v>
      </c>
      <c r="Y42" s="24">
        <v>5.0</v>
      </c>
      <c r="Z42" s="22">
        <v>42.0</v>
      </c>
    </row>
    <row r="43" ht="14.25" customHeight="1">
      <c r="A43" s="25">
        <v>43929.0</v>
      </c>
      <c r="B43" s="21">
        <v>291.0</v>
      </c>
      <c r="C43" s="22">
        <v>265.0</v>
      </c>
      <c r="D43" s="22">
        <v>1938.0</v>
      </c>
      <c r="E43" s="21">
        <v>1724.0</v>
      </c>
      <c r="F43" s="22">
        <v>12665.0</v>
      </c>
      <c r="G43" s="22">
        <v>2015.0</v>
      </c>
      <c r="H43" s="22">
        <v>14603.0</v>
      </c>
      <c r="I43" s="24">
        <v>273.0</v>
      </c>
      <c r="J43" s="22">
        <v>247.0</v>
      </c>
      <c r="K43" s="22">
        <v>1890.0</v>
      </c>
      <c r="L43" s="22">
        <v>1564.0</v>
      </c>
      <c r="M43" s="22">
        <v>11615.0</v>
      </c>
      <c r="N43" s="22">
        <v>13505.0</v>
      </c>
      <c r="O43" s="23">
        <v>19.0</v>
      </c>
      <c r="P43" s="23">
        <v>301.0</v>
      </c>
      <c r="Q43" s="23">
        <v>7.0</v>
      </c>
      <c r="R43" s="23">
        <v>81.0</v>
      </c>
      <c r="S43" s="23">
        <v>6.0</v>
      </c>
      <c r="T43" s="22">
        <v>21.0</v>
      </c>
      <c r="U43" s="22">
        <v>199.0</v>
      </c>
      <c r="V43" s="22">
        <v>190.0</v>
      </c>
      <c r="W43" s="24">
        <v>50.0</v>
      </c>
      <c r="X43" s="24">
        <v>38.0</v>
      </c>
      <c r="Y43" s="24">
        <v>10.0</v>
      </c>
      <c r="Z43" s="22">
        <v>52.0</v>
      </c>
    </row>
    <row r="44" ht="14.25" customHeight="1">
      <c r="A44" s="25">
        <v>43930.0</v>
      </c>
      <c r="B44" s="21">
        <v>284.0</v>
      </c>
      <c r="C44" s="22">
        <v>287.0</v>
      </c>
      <c r="D44" s="22">
        <v>2222.0</v>
      </c>
      <c r="E44" s="21">
        <v>1521.0</v>
      </c>
      <c r="F44" s="22">
        <v>14186.0</v>
      </c>
      <c r="G44" s="22">
        <v>1805.0</v>
      </c>
      <c r="H44" s="22">
        <v>16408.0</v>
      </c>
      <c r="I44" s="24">
        <v>280.0</v>
      </c>
      <c r="J44" s="22">
        <v>271.0</v>
      </c>
      <c r="K44" s="22">
        <v>2170.0</v>
      </c>
      <c r="L44" s="22">
        <v>1355.0</v>
      </c>
      <c r="M44" s="22">
        <v>12970.0</v>
      </c>
      <c r="N44" s="22">
        <v>15140.0</v>
      </c>
      <c r="O44" s="23">
        <v>32.0</v>
      </c>
      <c r="P44" s="23">
        <v>333.0</v>
      </c>
      <c r="Q44" s="23">
        <v>9.0</v>
      </c>
      <c r="R44" s="23">
        <v>90.0</v>
      </c>
      <c r="S44" s="23">
        <v>4.0</v>
      </c>
      <c r="T44" s="22">
        <v>25.0</v>
      </c>
      <c r="U44" s="22">
        <v>218.0</v>
      </c>
      <c r="V44" s="22">
        <v>203.0</v>
      </c>
      <c r="W44" s="24">
        <v>53.0</v>
      </c>
      <c r="X44" s="24">
        <v>40.0</v>
      </c>
      <c r="Y44" s="24">
        <v>7.0</v>
      </c>
      <c r="Z44" s="22">
        <v>59.0</v>
      </c>
    </row>
    <row r="45" ht="14.25" customHeight="1">
      <c r="A45" s="25">
        <v>43931.0</v>
      </c>
      <c r="B45" s="21">
        <v>420.0</v>
      </c>
      <c r="C45" s="22">
        <v>332.0</v>
      </c>
      <c r="D45" s="22">
        <v>2642.0</v>
      </c>
      <c r="E45" s="21">
        <v>2578.0</v>
      </c>
      <c r="F45" s="22">
        <v>16764.0</v>
      </c>
      <c r="G45" s="22">
        <v>2998.0</v>
      </c>
      <c r="H45" s="22">
        <v>19406.0</v>
      </c>
      <c r="I45" s="24">
        <v>403.0</v>
      </c>
      <c r="J45" s="22">
        <v>319.0</v>
      </c>
      <c r="K45" s="22">
        <v>2573.0</v>
      </c>
      <c r="L45" s="22">
        <v>2372.0</v>
      </c>
      <c r="M45" s="22">
        <v>15342.0</v>
      </c>
      <c r="N45" s="22">
        <v>17915.0</v>
      </c>
      <c r="O45" s="23">
        <v>29.0</v>
      </c>
      <c r="P45" s="23">
        <v>362.0</v>
      </c>
      <c r="Q45" s="23">
        <v>17.0</v>
      </c>
      <c r="R45" s="23">
        <v>107.0</v>
      </c>
      <c r="S45" s="23">
        <v>5.0</v>
      </c>
      <c r="T45" s="22">
        <v>30.0</v>
      </c>
      <c r="U45" s="22">
        <v>225.0</v>
      </c>
      <c r="V45" s="22">
        <v>214.0</v>
      </c>
      <c r="W45" s="24">
        <v>59.0</v>
      </c>
      <c r="X45" s="24">
        <v>41.0</v>
      </c>
      <c r="Y45" s="24">
        <v>11.0</v>
      </c>
      <c r="Z45" s="22">
        <v>70.0</v>
      </c>
    </row>
    <row r="46" ht="14.25" customHeight="1">
      <c r="A46" s="25">
        <v>43932.0</v>
      </c>
      <c r="B46" s="21">
        <v>299.0</v>
      </c>
      <c r="C46" s="22">
        <v>334.0</v>
      </c>
      <c r="D46" s="22">
        <v>2941.0</v>
      </c>
      <c r="E46" s="21">
        <v>1912.0</v>
      </c>
      <c r="F46" s="22">
        <v>18676.0</v>
      </c>
      <c r="G46" s="22">
        <v>2211.0</v>
      </c>
      <c r="H46" s="22">
        <v>21617.0</v>
      </c>
      <c r="I46" s="24">
        <v>280.0</v>
      </c>
      <c r="J46" s="22">
        <v>321.0</v>
      </c>
      <c r="K46" s="22">
        <v>2853.0</v>
      </c>
      <c r="L46" s="22">
        <v>1720.0</v>
      </c>
      <c r="M46" s="22">
        <v>17062.0</v>
      </c>
      <c r="N46" s="22">
        <v>19915.0</v>
      </c>
      <c r="O46" s="23">
        <v>29.0</v>
      </c>
      <c r="P46" s="23">
        <v>391.0</v>
      </c>
      <c r="Q46" s="23">
        <v>11.0</v>
      </c>
      <c r="R46" s="23">
        <v>118.0</v>
      </c>
      <c r="S46" s="23">
        <v>2.0</v>
      </c>
      <c r="T46" s="22">
        <v>32.0</v>
      </c>
      <c r="U46" s="22">
        <v>241.0</v>
      </c>
      <c r="V46" s="22">
        <v>228.0</v>
      </c>
      <c r="W46" s="24">
        <v>61.0</v>
      </c>
      <c r="X46" s="24">
        <v>48.0</v>
      </c>
      <c r="Y46" s="24">
        <v>12.0</v>
      </c>
      <c r="Z46" s="22">
        <v>82.0</v>
      </c>
    </row>
    <row r="47" ht="14.25" customHeight="1">
      <c r="A47" s="25">
        <v>43933.0</v>
      </c>
      <c r="B47" s="21">
        <v>315.0</v>
      </c>
      <c r="C47" s="22">
        <v>345.0</v>
      </c>
      <c r="D47" s="22">
        <v>3256.0</v>
      </c>
      <c r="E47" s="21">
        <v>1677.0</v>
      </c>
      <c r="F47" s="22">
        <v>20353.0</v>
      </c>
      <c r="G47" s="22">
        <v>1992.0</v>
      </c>
      <c r="H47" s="22">
        <v>23609.0</v>
      </c>
      <c r="I47" s="24">
        <v>289.0</v>
      </c>
      <c r="J47" s="22">
        <v>324.0</v>
      </c>
      <c r="K47" s="22">
        <v>3142.0</v>
      </c>
      <c r="L47" s="22">
        <v>1438.0</v>
      </c>
      <c r="M47" s="22">
        <v>18500.0</v>
      </c>
      <c r="N47" s="22">
        <v>21642.0</v>
      </c>
      <c r="O47" s="23">
        <v>35.0</v>
      </c>
      <c r="P47" s="23">
        <v>426.0</v>
      </c>
      <c r="Q47" s="23">
        <v>13.0</v>
      </c>
      <c r="R47" s="23">
        <v>131.0</v>
      </c>
      <c r="S47" s="23">
        <v>5.0</v>
      </c>
      <c r="T47" s="22">
        <v>37.0</v>
      </c>
      <c r="U47" s="22">
        <v>258.0</v>
      </c>
      <c r="V47" s="22">
        <v>241.0</v>
      </c>
      <c r="W47" s="24">
        <v>59.0</v>
      </c>
      <c r="X47" s="24">
        <v>49.0</v>
      </c>
      <c r="Y47" s="24">
        <v>9.0</v>
      </c>
      <c r="Z47" s="22">
        <v>91.0</v>
      </c>
    </row>
    <row r="48" ht="14.25" customHeight="1">
      <c r="A48" s="25">
        <v>43934.0</v>
      </c>
      <c r="B48" s="21">
        <v>162.0</v>
      </c>
      <c r="C48" s="22">
        <v>259.0</v>
      </c>
      <c r="D48" s="22">
        <v>3418.0</v>
      </c>
      <c r="E48" s="21">
        <v>940.0</v>
      </c>
      <c r="F48" s="22">
        <v>21293.0</v>
      </c>
      <c r="G48" s="22">
        <v>1102.0</v>
      </c>
      <c r="H48" s="22">
        <v>24711.0</v>
      </c>
      <c r="I48" s="24">
        <v>187.0</v>
      </c>
      <c r="J48" s="22">
        <v>252.0</v>
      </c>
      <c r="K48" s="22">
        <v>3329.0</v>
      </c>
      <c r="L48" s="22">
        <v>838.0</v>
      </c>
      <c r="M48" s="22">
        <v>19338.0</v>
      </c>
      <c r="N48" s="22">
        <v>22667.0</v>
      </c>
      <c r="O48" s="23">
        <v>35.0</v>
      </c>
      <c r="P48" s="23">
        <v>461.0</v>
      </c>
      <c r="Q48" s="23">
        <v>13.0</v>
      </c>
      <c r="R48" s="23">
        <v>144.0</v>
      </c>
      <c r="S48" s="23">
        <v>3.0</v>
      </c>
      <c r="T48" s="22">
        <v>40.0</v>
      </c>
      <c r="U48" s="22">
        <v>277.0</v>
      </c>
      <c r="V48" s="22">
        <v>259.0</v>
      </c>
      <c r="W48" s="24">
        <v>64.0</v>
      </c>
      <c r="X48" s="24">
        <v>54.0</v>
      </c>
      <c r="Y48" s="24">
        <v>9.0</v>
      </c>
      <c r="Z48" s="22">
        <v>100.0</v>
      </c>
    </row>
    <row r="49" ht="14.25" customHeight="1">
      <c r="A49" s="25">
        <v>43935.0</v>
      </c>
      <c r="B49" s="21">
        <v>290.0</v>
      </c>
      <c r="C49" s="22">
        <v>256.0</v>
      </c>
      <c r="D49" s="22">
        <v>3708.0</v>
      </c>
      <c r="E49" s="21">
        <v>1805.0</v>
      </c>
      <c r="F49" s="22">
        <v>23098.0</v>
      </c>
      <c r="G49" s="22">
        <v>2095.0</v>
      </c>
      <c r="H49" s="22">
        <v>26806.0</v>
      </c>
      <c r="I49" s="24">
        <v>265.0</v>
      </c>
      <c r="J49" s="22">
        <v>247.0</v>
      </c>
      <c r="K49" s="22">
        <v>3594.0</v>
      </c>
      <c r="L49" s="22">
        <v>1528.0</v>
      </c>
      <c r="M49" s="22">
        <v>20866.0</v>
      </c>
      <c r="N49" s="22">
        <v>24460.0</v>
      </c>
      <c r="O49" s="23">
        <v>27.0</v>
      </c>
      <c r="P49" s="23">
        <v>488.0</v>
      </c>
      <c r="Q49" s="23">
        <v>17.0</v>
      </c>
      <c r="R49" s="23">
        <v>161.0</v>
      </c>
      <c r="S49" s="23">
        <v>5.0</v>
      </c>
      <c r="T49" s="22">
        <v>45.0</v>
      </c>
      <c r="U49" s="22">
        <v>282.0</v>
      </c>
      <c r="V49" s="22">
        <v>272.0</v>
      </c>
      <c r="W49" s="24">
        <v>72.0</v>
      </c>
      <c r="X49" s="24">
        <v>53.0</v>
      </c>
      <c r="Y49" s="24">
        <v>8.0</v>
      </c>
      <c r="Z49" s="22">
        <v>108.0</v>
      </c>
    </row>
    <row r="50" ht="14.25" customHeight="1">
      <c r="A50" s="25">
        <v>43936.0</v>
      </c>
      <c r="B50" s="21">
        <v>353.0</v>
      </c>
      <c r="C50" s="22">
        <v>268.0</v>
      </c>
      <c r="D50" s="22">
        <v>4061.0</v>
      </c>
      <c r="E50" s="21">
        <v>1805.0</v>
      </c>
      <c r="F50" s="22">
        <v>24903.0</v>
      </c>
      <c r="G50" s="22">
        <v>2158.0</v>
      </c>
      <c r="H50" s="22">
        <v>28964.0</v>
      </c>
      <c r="I50" s="24">
        <v>307.0</v>
      </c>
      <c r="J50" s="22">
        <v>253.0</v>
      </c>
      <c r="K50" s="22">
        <v>3901.0</v>
      </c>
      <c r="L50" s="22">
        <v>1559.0</v>
      </c>
      <c r="M50" s="22">
        <v>22425.0</v>
      </c>
      <c r="N50" s="22">
        <v>26326.0</v>
      </c>
      <c r="O50" s="23">
        <v>31.0</v>
      </c>
      <c r="P50" s="23">
        <v>519.0</v>
      </c>
      <c r="Q50" s="23">
        <v>20.0</v>
      </c>
      <c r="R50" s="23">
        <v>181.0</v>
      </c>
      <c r="S50" s="23">
        <v>3.0</v>
      </c>
      <c r="T50" s="22">
        <v>48.0</v>
      </c>
      <c r="U50" s="22">
        <v>290.0</v>
      </c>
      <c r="V50" s="22">
        <v>283.0</v>
      </c>
      <c r="W50" s="24">
        <v>72.0</v>
      </c>
      <c r="X50" s="24">
        <v>54.0</v>
      </c>
      <c r="Y50" s="24">
        <v>17.0</v>
      </c>
      <c r="Z50" s="22">
        <v>125.0</v>
      </c>
    </row>
    <row r="51" ht="14.25" customHeight="1">
      <c r="A51" s="25">
        <v>43937.0</v>
      </c>
      <c r="B51" s="21">
        <v>449.0</v>
      </c>
      <c r="C51" s="22">
        <v>364.0</v>
      </c>
      <c r="D51" s="22">
        <v>4510.0</v>
      </c>
      <c r="E51" s="21">
        <v>2503.0</v>
      </c>
      <c r="F51" s="22">
        <v>27406.0</v>
      </c>
      <c r="G51" s="22">
        <v>2952.0</v>
      </c>
      <c r="H51" s="22">
        <v>31916.0</v>
      </c>
      <c r="I51" s="24">
        <v>389.0</v>
      </c>
      <c r="J51" s="22">
        <v>320.0</v>
      </c>
      <c r="K51" s="22">
        <v>4290.0</v>
      </c>
      <c r="L51" s="22">
        <v>2080.0</v>
      </c>
      <c r="M51" s="22">
        <v>24505.0</v>
      </c>
      <c r="N51" s="22">
        <v>28795.0</v>
      </c>
      <c r="O51" s="23">
        <v>36.0</v>
      </c>
      <c r="P51" s="23">
        <v>555.0</v>
      </c>
      <c r="Q51" s="23">
        <v>25.0</v>
      </c>
      <c r="R51" s="23">
        <v>206.0</v>
      </c>
      <c r="S51" s="23">
        <v>6.0</v>
      </c>
      <c r="T51" s="22">
        <v>54.0</v>
      </c>
      <c r="U51" s="22">
        <v>295.0</v>
      </c>
      <c r="V51" s="22">
        <v>289.0</v>
      </c>
      <c r="W51" s="24">
        <v>72.0</v>
      </c>
      <c r="X51" s="24">
        <v>53.0</v>
      </c>
      <c r="Y51" s="24">
        <v>14.0</v>
      </c>
      <c r="Z51" s="22">
        <v>139.0</v>
      </c>
    </row>
    <row r="52" ht="14.25" customHeight="1">
      <c r="A52" s="25">
        <v>43938.0</v>
      </c>
      <c r="B52" s="21">
        <v>309.0</v>
      </c>
      <c r="C52" s="22">
        <v>370.0</v>
      </c>
      <c r="D52" s="22">
        <v>4819.0</v>
      </c>
      <c r="E52" s="21">
        <v>1826.0</v>
      </c>
      <c r="F52" s="22">
        <v>29232.0</v>
      </c>
      <c r="G52" s="22">
        <v>2135.0</v>
      </c>
      <c r="H52" s="22">
        <v>34051.0</v>
      </c>
      <c r="I52" s="24">
        <v>293.0</v>
      </c>
      <c r="J52" s="22">
        <v>330.0</v>
      </c>
      <c r="K52" s="22">
        <v>4583.0</v>
      </c>
      <c r="L52" s="22">
        <v>1449.0</v>
      </c>
      <c r="M52" s="22">
        <v>25954.0</v>
      </c>
      <c r="N52" s="22">
        <v>30537.0</v>
      </c>
      <c r="O52" s="23">
        <v>32.0</v>
      </c>
      <c r="P52" s="23">
        <v>587.0</v>
      </c>
      <c r="Q52" s="23">
        <v>20.0</v>
      </c>
      <c r="R52" s="23">
        <v>226.0</v>
      </c>
      <c r="S52" s="23">
        <v>7.0</v>
      </c>
      <c r="T52" s="22">
        <v>61.0</v>
      </c>
      <c r="U52" s="22">
        <v>300.0</v>
      </c>
      <c r="V52" s="22">
        <v>295.0</v>
      </c>
      <c r="W52" s="24">
        <v>66.0</v>
      </c>
      <c r="X52" s="24">
        <v>45.0</v>
      </c>
      <c r="Y52" s="24">
        <v>21.0</v>
      </c>
      <c r="Z52" s="22">
        <v>160.0</v>
      </c>
    </row>
    <row r="53" ht="14.25" customHeight="1">
      <c r="A53" s="25">
        <v>43939.0</v>
      </c>
      <c r="B53" s="21">
        <v>323.0</v>
      </c>
      <c r="C53" s="22">
        <v>360.0</v>
      </c>
      <c r="D53" s="22">
        <v>5142.0</v>
      </c>
      <c r="E53" s="21">
        <v>1730.0</v>
      </c>
      <c r="F53" s="22">
        <v>30962.0</v>
      </c>
      <c r="G53" s="22">
        <v>2053.0</v>
      </c>
      <c r="H53" s="22">
        <v>36104.0</v>
      </c>
      <c r="I53" s="24">
        <v>286.0</v>
      </c>
      <c r="J53" s="22">
        <v>323.0</v>
      </c>
      <c r="K53" s="22">
        <v>4869.0</v>
      </c>
      <c r="L53" s="22">
        <v>1328.0</v>
      </c>
      <c r="M53" s="22">
        <v>27282.0</v>
      </c>
      <c r="N53" s="22">
        <v>32151.0</v>
      </c>
      <c r="O53" s="23">
        <v>26.0</v>
      </c>
      <c r="P53" s="23">
        <v>613.0</v>
      </c>
      <c r="Q53" s="23">
        <v>18.0</v>
      </c>
      <c r="R53" s="23">
        <v>244.0</v>
      </c>
      <c r="S53" s="23">
        <v>4.0</v>
      </c>
      <c r="T53" s="22">
        <v>65.0</v>
      </c>
      <c r="U53" s="22">
        <v>304.0</v>
      </c>
      <c r="V53" s="22">
        <v>300.0</v>
      </c>
      <c r="W53" s="24">
        <v>63.0</v>
      </c>
      <c r="X53" s="24">
        <v>49.0</v>
      </c>
      <c r="Y53" s="24">
        <v>15.0</v>
      </c>
      <c r="Z53" s="22">
        <v>175.0</v>
      </c>
    </row>
    <row r="54" ht="14.25" customHeight="1">
      <c r="A54" s="25">
        <v>43940.0</v>
      </c>
      <c r="B54" s="21">
        <v>383.0</v>
      </c>
      <c r="C54" s="22">
        <v>338.0</v>
      </c>
      <c r="D54" s="22">
        <v>5525.0</v>
      </c>
      <c r="E54" s="21">
        <v>2060.0</v>
      </c>
      <c r="F54" s="22">
        <v>33022.0</v>
      </c>
      <c r="G54" s="22">
        <v>2443.0</v>
      </c>
      <c r="H54" s="22">
        <v>38547.0</v>
      </c>
      <c r="I54" s="24">
        <v>338.0</v>
      </c>
      <c r="J54" s="22">
        <v>306.0</v>
      </c>
      <c r="K54" s="22">
        <v>5207.0</v>
      </c>
      <c r="L54" s="22">
        <v>1743.0</v>
      </c>
      <c r="M54" s="22">
        <v>29025.0</v>
      </c>
      <c r="N54" s="22">
        <v>34232.0</v>
      </c>
      <c r="O54" s="23">
        <v>23.0</v>
      </c>
      <c r="P54" s="23">
        <v>636.0</v>
      </c>
      <c r="Q54" s="23">
        <v>26.0</v>
      </c>
      <c r="R54" s="23">
        <v>270.0</v>
      </c>
      <c r="S54" s="23">
        <v>1.0</v>
      </c>
      <c r="T54" s="22">
        <v>66.0</v>
      </c>
      <c r="U54" s="22">
        <v>300.0</v>
      </c>
      <c r="V54" s="22">
        <v>301.0</v>
      </c>
      <c r="W54" s="24">
        <v>65.0</v>
      </c>
      <c r="X54" s="24">
        <v>55.0</v>
      </c>
      <c r="Y54" s="24">
        <v>11.0</v>
      </c>
      <c r="Z54" s="22">
        <v>186.0</v>
      </c>
    </row>
    <row r="55" ht="14.25" customHeight="1">
      <c r="A55" s="25">
        <v>43941.0</v>
      </c>
      <c r="B55" s="21">
        <v>396.0</v>
      </c>
      <c r="C55" s="22">
        <v>367.0</v>
      </c>
      <c r="D55" s="22">
        <v>5921.0</v>
      </c>
      <c r="E55" s="21">
        <v>1909.0</v>
      </c>
      <c r="F55" s="22">
        <v>34931.0</v>
      </c>
      <c r="G55" s="22">
        <v>2305.0</v>
      </c>
      <c r="H55" s="22">
        <v>40852.0</v>
      </c>
      <c r="I55" s="24">
        <v>377.0</v>
      </c>
      <c r="J55" s="22">
        <v>334.0</v>
      </c>
      <c r="K55" s="22">
        <v>5584.0</v>
      </c>
      <c r="L55" s="22">
        <v>1574.0</v>
      </c>
      <c r="M55" s="22">
        <v>30599.0</v>
      </c>
      <c r="N55" s="22">
        <v>36183.0</v>
      </c>
      <c r="O55" s="23">
        <v>46.0</v>
      </c>
      <c r="P55" s="23">
        <v>682.0</v>
      </c>
      <c r="Q55" s="23">
        <v>29.0</v>
      </c>
      <c r="R55" s="23">
        <v>299.0</v>
      </c>
      <c r="S55" s="23">
        <v>2.0</v>
      </c>
      <c r="T55" s="22">
        <v>68.0</v>
      </c>
      <c r="U55" s="22">
        <v>315.0</v>
      </c>
      <c r="V55" s="22">
        <v>306.0</v>
      </c>
      <c r="W55" s="24">
        <v>75.0</v>
      </c>
      <c r="X55" s="24">
        <v>56.0</v>
      </c>
      <c r="Y55" s="24">
        <v>10.0</v>
      </c>
      <c r="Z55" s="22">
        <v>196.0</v>
      </c>
    </row>
    <row r="56" ht="14.25" customHeight="1">
      <c r="A56" s="25">
        <v>43942.0</v>
      </c>
      <c r="B56" s="21">
        <v>445.0</v>
      </c>
      <c r="C56" s="22">
        <v>408.0</v>
      </c>
      <c r="D56" s="22">
        <v>6366.0</v>
      </c>
      <c r="E56" s="21">
        <v>2117.0</v>
      </c>
      <c r="F56" s="22">
        <v>37048.0</v>
      </c>
      <c r="G56" s="22">
        <v>2562.0</v>
      </c>
      <c r="H56" s="22">
        <v>43414.0</v>
      </c>
      <c r="I56" s="24">
        <v>391.0</v>
      </c>
      <c r="J56" s="22">
        <v>369.0</v>
      </c>
      <c r="K56" s="22">
        <v>5975.0</v>
      </c>
      <c r="L56" s="22">
        <v>1715.0</v>
      </c>
      <c r="M56" s="22">
        <v>32314.0</v>
      </c>
      <c r="N56" s="22">
        <v>38289.0</v>
      </c>
      <c r="O56" s="23">
        <v>45.0</v>
      </c>
      <c r="P56" s="23">
        <v>727.0</v>
      </c>
      <c r="Q56" s="23">
        <v>31.0</v>
      </c>
      <c r="R56" s="23">
        <v>330.0</v>
      </c>
      <c r="S56" s="23">
        <v>5.0</v>
      </c>
      <c r="T56" s="22">
        <v>73.0</v>
      </c>
      <c r="U56" s="22">
        <v>324.0</v>
      </c>
      <c r="V56" s="22">
        <v>313.0</v>
      </c>
      <c r="W56" s="24">
        <v>72.0</v>
      </c>
      <c r="X56" s="24">
        <v>56.0</v>
      </c>
      <c r="Y56" s="24">
        <v>18.0</v>
      </c>
      <c r="Z56" s="22">
        <v>214.0</v>
      </c>
    </row>
    <row r="57" ht="14.25" customHeight="1">
      <c r="A57" s="25">
        <v>43943.0</v>
      </c>
      <c r="B57" s="21">
        <v>421.0</v>
      </c>
      <c r="C57" s="22">
        <v>421.0</v>
      </c>
      <c r="D57" s="22">
        <v>6787.0</v>
      </c>
      <c r="E57" s="21">
        <v>2401.0</v>
      </c>
      <c r="F57" s="22">
        <v>39449.0</v>
      </c>
      <c r="G57" s="22">
        <v>2822.0</v>
      </c>
      <c r="H57" s="22">
        <v>46236.0</v>
      </c>
      <c r="I57" s="24">
        <v>385.0</v>
      </c>
      <c r="J57" s="22">
        <v>384.0</v>
      </c>
      <c r="K57" s="22">
        <v>6360.0</v>
      </c>
      <c r="L57" s="22">
        <v>1916.0</v>
      </c>
      <c r="M57" s="22">
        <v>34230.0</v>
      </c>
      <c r="N57" s="22">
        <v>40590.0</v>
      </c>
      <c r="O57" s="23">
        <v>41.0</v>
      </c>
      <c r="P57" s="23">
        <v>768.0</v>
      </c>
      <c r="Q57" s="23">
        <v>32.0</v>
      </c>
      <c r="R57" s="23">
        <v>362.0</v>
      </c>
      <c r="S57" s="23">
        <v>5.0</v>
      </c>
      <c r="T57" s="22">
        <v>78.0</v>
      </c>
      <c r="U57" s="22">
        <v>328.0</v>
      </c>
      <c r="V57" s="22">
        <v>322.0</v>
      </c>
      <c r="W57" s="24">
        <v>73.0</v>
      </c>
      <c r="X57" s="24">
        <v>58.0</v>
      </c>
      <c r="Y57" s="24">
        <v>18.0</v>
      </c>
      <c r="Z57" s="22">
        <v>232.0</v>
      </c>
    </row>
    <row r="58" ht="14.25" customHeight="1">
      <c r="A58" s="25">
        <v>43944.0</v>
      </c>
      <c r="B58" s="21">
        <v>482.0</v>
      </c>
      <c r="C58" s="22">
        <v>449.0</v>
      </c>
      <c r="D58" s="22">
        <v>7269.0</v>
      </c>
      <c r="E58" s="21">
        <v>2473.0</v>
      </c>
      <c r="F58" s="22">
        <v>41922.0</v>
      </c>
      <c r="G58" s="22">
        <v>2955.0</v>
      </c>
      <c r="H58" s="22">
        <v>49191.0</v>
      </c>
      <c r="I58" s="24">
        <v>420.0</v>
      </c>
      <c r="J58" s="22">
        <v>399.0</v>
      </c>
      <c r="K58" s="22">
        <v>6780.0</v>
      </c>
      <c r="L58" s="22">
        <v>1861.0</v>
      </c>
      <c r="M58" s="22">
        <v>36091.0</v>
      </c>
      <c r="N58" s="22">
        <v>42871.0</v>
      </c>
      <c r="O58" s="23">
        <v>32.0</v>
      </c>
      <c r="P58" s="23">
        <v>800.0</v>
      </c>
      <c r="Q58" s="23">
        <v>28.0</v>
      </c>
      <c r="R58" s="23">
        <v>390.0</v>
      </c>
      <c r="S58" s="23">
        <v>5.0</v>
      </c>
      <c r="T58" s="22">
        <v>83.0</v>
      </c>
      <c r="U58" s="22">
        <v>327.0</v>
      </c>
      <c r="V58" s="22">
        <v>326.0</v>
      </c>
      <c r="W58" s="24">
        <v>76.0</v>
      </c>
      <c r="X58" s="24">
        <v>62.0</v>
      </c>
      <c r="Y58" s="24">
        <v>15.0</v>
      </c>
      <c r="Z58" s="22">
        <v>247.0</v>
      </c>
    </row>
    <row r="59" ht="14.25" customHeight="1">
      <c r="A59" s="25">
        <v>43945.0</v>
      </c>
      <c r="B59" s="21">
        <v>494.0</v>
      </c>
      <c r="C59" s="22">
        <v>466.0</v>
      </c>
      <c r="D59" s="22">
        <v>7763.0</v>
      </c>
      <c r="E59" s="21">
        <v>3294.0</v>
      </c>
      <c r="F59" s="22">
        <v>45216.0</v>
      </c>
      <c r="G59" s="22">
        <v>3788.0</v>
      </c>
      <c r="H59" s="22">
        <v>52979.0</v>
      </c>
      <c r="I59" s="24">
        <v>416.0</v>
      </c>
      <c r="J59" s="22">
        <v>407.0</v>
      </c>
      <c r="K59" s="22">
        <v>7196.0</v>
      </c>
      <c r="L59" s="22">
        <v>2629.0</v>
      </c>
      <c r="M59" s="22">
        <v>38720.0</v>
      </c>
      <c r="N59" s="22">
        <v>45916.0</v>
      </c>
      <c r="O59" s="23">
        <v>35.0</v>
      </c>
      <c r="P59" s="23">
        <v>835.0</v>
      </c>
      <c r="Q59" s="23">
        <v>27.0</v>
      </c>
      <c r="R59" s="23">
        <v>417.0</v>
      </c>
      <c r="S59" s="23">
        <v>4.0</v>
      </c>
      <c r="T59" s="22">
        <v>87.0</v>
      </c>
      <c r="U59" s="22">
        <v>331.0</v>
      </c>
      <c r="V59" s="22">
        <v>329.0</v>
      </c>
      <c r="W59" s="24">
        <v>85.0</v>
      </c>
      <c r="X59" s="24">
        <v>63.0</v>
      </c>
      <c r="Y59" s="24">
        <v>15.0</v>
      </c>
      <c r="Z59" s="22">
        <v>262.0</v>
      </c>
    </row>
    <row r="60" ht="14.25" customHeight="1">
      <c r="A60" s="25">
        <v>43946.0</v>
      </c>
      <c r="B60" s="21">
        <v>395.0</v>
      </c>
      <c r="C60" s="22">
        <v>457.0</v>
      </c>
      <c r="D60" s="22">
        <v>8158.0</v>
      </c>
      <c r="E60" s="21">
        <v>2210.0</v>
      </c>
      <c r="F60" s="22">
        <v>47426.0</v>
      </c>
      <c r="G60" s="22">
        <v>2605.0</v>
      </c>
      <c r="H60" s="22">
        <v>55584.0</v>
      </c>
      <c r="I60" s="24">
        <v>304.0</v>
      </c>
      <c r="J60" s="22">
        <v>380.0</v>
      </c>
      <c r="K60" s="22">
        <v>7500.0</v>
      </c>
      <c r="L60" s="22">
        <v>1774.0</v>
      </c>
      <c r="M60" s="22">
        <v>40494.0</v>
      </c>
      <c r="N60" s="22">
        <v>47994.0</v>
      </c>
      <c r="O60" s="23">
        <v>34.0</v>
      </c>
      <c r="P60" s="23">
        <v>869.0</v>
      </c>
      <c r="Q60" s="23">
        <v>17.0</v>
      </c>
      <c r="R60" s="23">
        <v>434.0</v>
      </c>
      <c r="S60" s="23">
        <v>5.0</v>
      </c>
      <c r="T60" s="22">
        <v>92.0</v>
      </c>
      <c r="U60" s="22">
        <v>343.0</v>
      </c>
      <c r="V60" s="22">
        <v>334.0</v>
      </c>
      <c r="W60" s="24">
        <v>85.0</v>
      </c>
      <c r="X60" s="24">
        <v>62.0</v>
      </c>
      <c r="Y60" s="24">
        <v>14.0</v>
      </c>
      <c r="Z60" s="22">
        <v>276.0</v>
      </c>
    </row>
    <row r="61" ht="14.25" customHeight="1">
      <c r="A61" s="25">
        <v>43947.0</v>
      </c>
      <c r="B61" s="21">
        <v>316.0</v>
      </c>
      <c r="C61" s="22">
        <v>402.0</v>
      </c>
      <c r="D61" s="22">
        <v>8474.0</v>
      </c>
      <c r="E61" s="21">
        <v>2314.0</v>
      </c>
      <c r="F61" s="22">
        <v>49740.0</v>
      </c>
      <c r="G61" s="22">
        <v>2630.0</v>
      </c>
      <c r="H61" s="22">
        <v>58214.0</v>
      </c>
      <c r="I61" s="24">
        <v>275.0</v>
      </c>
      <c r="J61" s="22">
        <v>332.0</v>
      </c>
      <c r="K61" s="22">
        <v>7775.0</v>
      </c>
      <c r="L61" s="22">
        <v>1881.0</v>
      </c>
      <c r="M61" s="22">
        <v>42375.0</v>
      </c>
      <c r="N61" s="22">
        <v>50150.0</v>
      </c>
      <c r="O61" s="23">
        <v>33.0</v>
      </c>
      <c r="P61" s="23">
        <v>902.0</v>
      </c>
      <c r="Q61" s="23">
        <v>15.0</v>
      </c>
      <c r="R61" s="23">
        <v>449.0</v>
      </c>
      <c r="S61" s="23">
        <v>3.0</v>
      </c>
      <c r="T61" s="22">
        <v>95.0</v>
      </c>
      <c r="U61" s="22">
        <v>358.0</v>
      </c>
      <c r="V61" s="22">
        <v>344.0</v>
      </c>
      <c r="W61" s="24">
        <v>86.0</v>
      </c>
      <c r="X61" s="24">
        <v>59.0</v>
      </c>
      <c r="Y61" s="24">
        <v>14.0</v>
      </c>
      <c r="Z61" s="22">
        <v>290.0</v>
      </c>
    </row>
    <row r="62" ht="14.25" customHeight="1">
      <c r="A62" s="25">
        <v>43948.0</v>
      </c>
      <c r="B62" s="21">
        <v>250.0</v>
      </c>
      <c r="C62" s="22">
        <v>320.0</v>
      </c>
      <c r="D62" s="22">
        <v>8724.0</v>
      </c>
      <c r="E62" s="21">
        <v>1625.0</v>
      </c>
      <c r="F62" s="22">
        <v>51365.0</v>
      </c>
      <c r="G62" s="22">
        <v>1875.0</v>
      </c>
      <c r="H62" s="22">
        <v>60089.0</v>
      </c>
      <c r="I62" s="24">
        <v>204.0</v>
      </c>
      <c r="J62" s="22">
        <v>261.0</v>
      </c>
      <c r="K62" s="22">
        <v>7979.0</v>
      </c>
      <c r="L62" s="22">
        <v>1163.0</v>
      </c>
      <c r="M62" s="22">
        <v>43538.0</v>
      </c>
      <c r="N62" s="22">
        <v>51517.0</v>
      </c>
      <c r="O62" s="23">
        <v>29.0</v>
      </c>
      <c r="P62" s="23">
        <v>931.0</v>
      </c>
      <c r="Q62" s="23">
        <v>21.0</v>
      </c>
      <c r="R62" s="23">
        <v>470.0</v>
      </c>
      <c r="S62" s="23">
        <v>4.0</v>
      </c>
      <c r="T62" s="22">
        <v>99.0</v>
      </c>
      <c r="U62" s="22">
        <v>362.0</v>
      </c>
      <c r="V62" s="22">
        <v>354.0</v>
      </c>
      <c r="W62" s="24">
        <v>86.0</v>
      </c>
      <c r="X62" s="24">
        <v>61.0</v>
      </c>
      <c r="Y62" s="24">
        <v>10.0</v>
      </c>
      <c r="Z62" s="22">
        <v>300.0</v>
      </c>
    </row>
    <row r="63" ht="14.25" customHeight="1">
      <c r="A63" s="25">
        <v>43949.0</v>
      </c>
      <c r="B63" s="21">
        <v>411.0</v>
      </c>
      <c r="C63" s="22">
        <v>326.0</v>
      </c>
      <c r="D63" s="22">
        <v>9135.0</v>
      </c>
      <c r="E63" s="21">
        <v>2270.0</v>
      </c>
      <c r="F63" s="22">
        <v>53635.0</v>
      </c>
      <c r="G63" s="22">
        <v>2681.0</v>
      </c>
      <c r="H63" s="22">
        <v>62770.0</v>
      </c>
      <c r="I63" s="24">
        <v>330.0</v>
      </c>
      <c r="J63" s="22">
        <v>270.0</v>
      </c>
      <c r="K63" s="22">
        <v>8309.0</v>
      </c>
      <c r="L63" s="22">
        <v>1765.0</v>
      </c>
      <c r="M63" s="22">
        <v>45303.0</v>
      </c>
      <c r="N63" s="22">
        <v>53612.0</v>
      </c>
      <c r="O63" s="23">
        <v>44.0</v>
      </c>
      <c r="P63" s="23">
        <v>975.0</v>
      </c>
      <c r="Q63" s="23">
        <v>24.0</v>
      </c>
      <c r="R63" s="23">
        <v>494.0</v>
      </c>
      <c r="S63" s="23">
        <v>3.0</v>
      </c>
      <c r="T63" s="22">
        <v>102.0</v>
      </c>
      <c r="U63" s="22">
        <v>379.0</v>
      </c>
      <c r="V63" s="22">
        <v>366.0</v>
      </c>
      <c r="W63" s="24">
        <v>88.0</v>
      </c>
      <c r="X63" s="24">
        <v>59.0</v>
      </c>
      <c r="Y63" s="24">
        <v>22.0</v>
      </c>
      <c r="Z63" s="22">
        <v>322.0</v>
      </c>
    </row>
    <row r="64" ht="14.25" customHeight="1">
      <c r="A64" s="25">
        <v>43950.0</v>
      </c>
      <c r="B64" s="21">
        <v>476.0</v>
      </c>
      <c r="C64" s="22">
        <v>379.0</v>
      </c>
      <c r="D64" s="22">
        <v>9611.0</v>
      </c>
      <c r="E64" s="21">
        <v>3352.0</v>
      </c>
      <c r="F64" s="22">
        <v>56987.0</v>
      </c>
      <c r="G64" s="22">
        <v>3828.0</v>
      </c>
      <c r="H64" s="22">
        <v>66598.0</v>
      </c>
      <c r="I64" s="24">
        <v>373.0</v>
      </c>
      <c r="J64" s="22">
        <v>302.0</v>
      </c>
      <c r="K64" s="22">
        <v>8682.0</v>
      </c>
      <c r="L64" s="22">
        <v>2426.0</v>
      </c>
      <c r="M64" s="22">
        <v>47729.0</v>
      </c>
      <c r="N64" s="22">
        <v>56411.0</v>
      </c>
      <c r="O64" s="23">
        <v>36.0</v>
      </c>
      <c r="P64" s="23">
        <v>1011.0</v>
      </c>
      <c r="Q64" s="23">
        <v>38.0</v>
      </c>
      <c r="R64" s="23">
        <v>532.0</v>
      </c>
      <c r="S64" s="23">
        <v>11.0</v>
      </c>
      <c r="T64" s="22">
        <v>113.0</v>
      </c>
      <c r="U64" s="22">
        <v>366.0</v>
      </c>
      <c r="V64" s="22">
        <v>369.0</v>
      </c>
      <c r="W64" s="24">
        <v>78.0</v>
      </c>
      <c r="X64" s="24">
        <v>53.0</v>
      </c>
      <c r="Y64" s="24">
        <v>18.0</v>
      </c>
      <c r="Z64" s="22">
        <v>340.0</v>
      </c>
    </row>
    <row r="65" ht="14.25" customHeight="1">
      <c r="A65" s="25">
        <v>43951.0</v>
      </c>
      <c r="B65" s="21">
        <v>432.0</v>
      </c>
      <c r="C65" s="22">
        <v>440.0</v>
      </c>
      <c r="D65" s="22">
        <v>10043.0</v>
      </c>
      <c r="E65" s="21">
        <v>2775.0</v>
      </c>
      <c r="F65" s="22">
        <v>59762.0</v>
      </c>
      <c r="G65" s="22">
        <v>3207.0</v>
      </c>
      <c r="H65" s="22">
        <v>69805.0</v>
      </c>
      <c r="I65" s="24">
        <v>353.0</v>
      </c>
      <c r="J65" s="22">
        <v>352.0</v>
      </c>
      <c r="K65" s="22">
        <v>9035.0</v>
      </c>
      <c r="L65" s="22">
        <v>1942.0</v>
      </c>
      <c r="M65" s="22">
        <v>49671.0</v>
      </c>
      <c r="N65" s="22">
        <v>58706.0</v>
      </c>
      <c r="O65" s="23">
        <v>33.0</v>
      </c>
      <c r="P65" s="23">
        <v>1044.0</v>
      </c>
      <c r="Q65" s="23">
        <v>38.0</v>
      </c>
      <c r="R65" s="23">
        <v>570.0</v>
      </c>
      <c r="S65" s="23">
        <v>6.0</v>
      </c>
      <c r="T65" s="22">
        <v>119.0</v>
      </c>
      <c r="U65" s="22">
        <v>355.0</v>
      </c>
      <c r="V65" s="22">
        <v>367.0</v>
      </c>
      <c r="W65" s="24">
        <v>83.0</v>
      </c>
      <c r="X65" s="24">
        <v>57.0</v>
      </c>
      <c r="Y65" s="24">
        <v>24.0</v>
      </c>
      <c r="Z65" s="22">
        <v>364.0</v>
      </c>
    </row>
    <row r="66" ht="14.25" customHeight="1">
      <c r="A66" s="25">
        <v>43952.0</v>
      </c>
      <c r="B66" s="21">
        <v>457.0</v>
      </c>
      <c r="C66" s="22">
        <v>455.0</v>
      </c>
      <c r="D66" s="22">
        <v>10500.0</v>
      </c>
      <c r="E66" s="21">
        <v>3091.0</v>
      </c>
      <c r="F66" s="22">
        <v>62853.0</v>
      </c>
      <c r="G66" s="22">
        <v>3548.0</v>
      </c>
      <c r="H66" s="22">
        <v>73353.0</v>
      </c>
      <c r="I66" s="24">
        <v>320.0</v>
      </c>
      <c r="J66" s="22">
        <v>349.0</v>
      </c>
      <c r="K66" s="22">
        <v>9355.0</v>
      </c>
      <c r="L66" s="22">
        <v>2201.0</v>
      </c>
      <c r="M66" s="22">
        <v>51872.0</v>
      </c>
      <c r="N66" s="22">
        <v>61227.0</v>
      </c>
      <c r="O66" s="23">
        <v>51.0</v>
      </c>
      <c r="P66" s="23">
        <v>1095.0</v>
      </c>
      <c r="Q66" s="23">
        <v>39.0</v>
      </c>
      <c r="R66" s="23">
        <v>609.0</v>
      </c>
      <c r="S66" s="23">
        <v>3.0</v>
      </c>
      <c r="T66" s="22">
        <v>122.0</v>
      </c>
      <c r="U66" s="22">
        <v>364.0</v>
      </c>
      <c r="V66" s="22">
        <v>362.0</v>
      </c>
      <c r="W66" s="24">
        <v>84.0</v>
      </c>
      <c r="X66" s="24">
        <v>58.0</v>
      </c>
      <c r="Y66" s="24">
        <v>14.0</v>
      </c>
      <c r="Z66" s="22">
        <v>378.0</v>
      </c>
    </row>
    <row r="67" ht="14.25" customHeight="1">
      <c r="A67" s="25">
        <v>43953.0</v>
      </c>
      <c r="B67" s="21">
        <v>260.0</v>
      </c>
      <c r="C67" s="22">
        <v>383.0</v>
      </c>
      <c r="D67" s="22">
        <v>10760.0</v>
      </c>
      <c r="E67" s="21">
        <v>1930.0</v>
      </c>
      <c r="F67" s="22">
        <v>64783.0</v>
      </c>
      <c r="G67" s="22">
        <v>2190.0</v>
      </c>
      <c r="H67" s="22">
        <v>75543.0</v>
      </c>
      <c r="I67" s="24">
        <v>189.0</v>
      </c>
      <c r="J67" s="22">
        <v>287.0</v>
      </c>
      <c r="K67" s="22">
        <v>9544.0</v>
      </c>
      <c r="L67" s="22">
        <v>1289.0</v>
      </c>
      <c r="M67" s="22">
        <v>53161.0</v>
      </c>
      <c r="N67" s="22">
        <v>62705.0</v>
      </c>
      <c r="O67" s="23">
        <v>36.0</v>
      </c>
      <c r="P67" s="23">
        <v>1131.0</v>
      </c>
      <c r="Q67" s="23">
        <v>39.0</v>
      </c>
      <c r="R67" s="23">
        <v>648.0</v>
      </c>
      <c r="S67" s="23">
        <v>5.0</v>
      </c>
      <c r="T67" s="22">
        <v>127.0</v>
      </c>
      <c r="U67" s="22">
        <v>356.0</v>
      </c>
      <c r="V67" s="22">
        <v>358.0</v>
      </c>
      <c r="W67" s="24">
        <v>91.0</v>
      </c>
      <c r="X67" s="24">
        <v>62.0</v>
      </c>
      <c r="Y67" s="24">
        <v>24.0</v>
      </c>
      <c r="Z67" s="22">
        <v>402.0</v>
      </c>
    </row>
    <row r="68" ht="14.25" customHeight="1">
      <c r="A68" s="25">
        <v>43954.0</v>
      </c>
      <c r="B68" s="21">
        <v>284.0</v>
      </c>
      <c r="C68" s="22">
        <v>334.0</v>
      </c>
      <c r="D68" s="22">
        <v>11044.0</v>
      </c>
      <c r="E68" s="21">
        <v>2169.0</v>
      </c>
      <c r="F68" s="22">
        <v>66952.0</v>
      </c>
      <c r="G68" s="22">
        <v>2453.0</v>
      </c>
      <c r="H68" s="22">
        <v>77996.0</v>
      </c>
      <c r="I68" s="24">
        <v>182.0</v>
      </c>
      <c r="J68" s="22">
        <v>230.0</v>
      </c>
      <c r="K68" s="22">
        <v>9726.0</v>
      </c>
      <c r="L68" s="22">
        <v>1598.0</v>
      </c>
      <c r="M68" s="22">
        <v>54759.0</v>
      </c>
      <c r="N68" s="22">
        <v>64485.0</v>
      </c>
      <c r="O68" s="23">
        <v>31.0</v>
      </c>
      <c r="P68" s="23">
        <v>1162.0</v>
      </c>
      <c r="Q68" s="23">
        <v>27.0</v>
      </c>
      <c r="R68" s="23">
        <v>675.0</v>
      </c>
      <c r="S68" s="23">
        <v>8.0</v>
      </c>
      <c r="T68" s="22">
        <v>135.0</v>
      </c>
      <c r="U68" s="22">
        <v>352.0</v>
      </c>
      <c r="V68" s="22">
        <v>357.0</v>
      </c>
      <c r="W68" s="24">
        <v>90.0</v>
      </c>
      <c r="X68" s="24">
        <v>61.0</v>
      </c>
      <c r="Y68" s="24">
        <v>21.0</v>
      </c>
      <c r="Z68" s="22">
        <v>423.0</v>
      </c>
    </row>
    <row r="69" ht="14.25" customHeight="1">
      <c r="A69" s="25">
        <v>43955.0</v>
      </c>
      <c r="B69" s="21">
        <v>388.0</v>
      </c>
      <c r="C69" s="22">
        <v>311.0</v>
      </c>
      <c r="D69" s="22">
        <v>11432.0</v>
      </c>
      <c r="E69" s="21">
        <v>2103.0</v>
      </c>
      <c r="F69" s="22">
        <v>69055.0</v>
      </c>
      <c r="G69" s="22">
        <v>2491.0</v>
      </c>
      <c r="H69" s="22">
        <v>80487.0</v>
      </c>
      <c r="I69" s="24">
        <v>293.0</v>
      </c>
      <c r="J69" s="22">
        <v>221.0</v>
      </c>
      <c r="K69" s="22">
        <v>10019.0</v>
      </c>
      <c r="L69" s="22">
        <v>1569.0</v>
      </c>
      <c r="M69" s="22">
        <v>56328.0</v>
      </c>
      <c r="N69" s="22">
        <v>66347.0</v>
      </c>
      <c r="O69" s="23">
        <v>30.0</v>
      </c>
      <c r="P69" s="23">
        <v>1192.0</v>
      </c>
      <c r="Q69" s="23">
        <v>31.0</v>
      </c>
      <c r="R69" s="23">
        <v>706.0</v>
      </c>
      <c r="S69" s="23">
        <v>5.0</v>
      </c>
      <c r="T69" s="22">
        <v>140.0</v>
      </c>
      <c r="U69" s="22">
        <v>346.0</v>
      </c>
      <c r="V69" s="22">
        <v>351.0</v>
      </c>
      <c r="W69" s="24">
        <v>88.0</v>
      </c>
      <c r="X69" s="24">
        <v>57.0</v>
      </c>
      <c r="Y69" s="24">
        <v>18.0</v>
      </c>
      <c r="Z69" s="22">
        <v>441.0</v>
      </c>
    </row>
    <row r="70" ht="14.25" customHeight="1">
      <c r="A70" s="25">
        <v>43956.0</v>
      </c>
      <c r="B70" s="21">
        <v>436.0</v>
      </c>
      <c r="C70" s="22">
        <v>369.0</v>
      </c>
      <c r="D70" s="22">
        <v>11868.0</v>
      </c>
      <c r="E70" s="21">
        <v>2878.0</v>
      </c>
      <c r="F70" s="22">
        <v>71933.0</v>
      </c>
      <c r="G70" s="22">
        <v>3314.0</v>
      </c>
      <c r="H70" s="22">
        <v>83801.0</v>
      </c>
      <c r="I70" s="24">
        <v>308.0</v>
      </c>
      <c r="J70" s="22">
        <v>261.0</v>
      </c>
      <c r="K70" s="22">
        <v>10327.0</v>
      </c>
      <c r="L70" s="22">
        <v>1966.0</v>
      </c>
      <c r="M70" s="22">
        <v>58294.0</v>
      </c>
      <c r="N70" s="22">
        <v>68621.0</v>
      </c>
      <c r="O70" s="23">
        <v>29.0</v>
      </c>
      <c r="P70" s="23">
        <v>1221.0</v>
      </c>
      <c r="Q70" s="23">
        <v>32.0</v>
      </c>
      <c r="R70" s="23">
        <v>738.0</v>
      </c>
      <c r="S70" s="23">
        <v>6.0</v>
      </c>
      <c r="T70" s="22">
        <v>146.0</v>
      </c>
      <c r="U70" s="22">
        <v>337.0</v>
      </c>
      <c r="V70" s="22">
        <v>345.0</v>
      </c>
      <c r="W70" s="24">
        <v>82.0</v>
      </c>
      <c r="X70" s="24">
        <v>54.0</v>
      </c>
      <c r="Y70" s="24">
        <v>16.0</v>
      </c>
      <c r="Z70" s="22">
        <v>457.0</v>
      </c>
    </row>
    <row r="71" ht="14.25" customHeight="1">
      <c r="A71" s="25">
        <v>43957.0</v>
      </c>
      <c r="B71" s="21">
        <v>490.0</v>
      </c>
      <c r="C71" s="22">
        <v>438.0</v>
      </c>
      <c r="D71" s="22">
        <v>12358.0</v>
      </c>
      <c r="E71" s="21">
        <v>2838.0</v>
      </c>
      <c r="F71" s="22">
        <v>74771.0</v>
      </c>
      <c r="G71" s="22">
        <v>3328.0</v>
      </c>
      <c r="H71" s="22">
        <v>87129.0</v>
      </c>
      <c r="I71" s="24">
        <v>342.0</v>
      </c>
      <c r="J71" s="22">
        <v>314.0</v>
      </c>
      <c r="K71" s="22">
        <v>10669.0</v>
      </c>
      <c r="L71" s="22">
        <v>1921.0</v>
      </c>
      <c r="M71" s="22">
        <v>60215.0</v>
      </c>
      <c r="N71" s="22">
        <v>70884.0</v>
      </c>
      <c r="O71" s="23">
        <v>28.0</v>
      </c>
      <c r="P71" s="23">
        <v>1249.0</v>
      </c>
      <c r="Q71" s="23">
        <v>44.0</v>
      </c>
      <c r="R71" s="23">
        <v>782.0</v>
      </c>
      <c r="S71" s="23">
        <v>9.0</v>
      </c>
      <c r="T71" s="22">
        <v>155.0</v>
      </c>
      <c r="U71" s="22">
        <v>312.0</v>
      </c>
      <c r="V71" s="22">
        <v>332.0</v>
      </c>
      <c r="W71" s="24">
        <v>79.0</v>
      </c>
      <c r="X71" s="24">
        <v>54.0</v>
      </c>
      <c r="Y71" s="24">
        <v>21.0</v>
      </c>
      <c r="Z71" s="22">
        <v>478.0</v>
      </c>
    </row>
    <row r="72" ht="14.25" customHeight="1">
      <c r="A72" s="25">
        <v>43958.0</v>
      </c>
      <c r="B72" s="21">
        <v>425.0</v>
      </c>
      <c r="C72" s="22">
        <v>450.0</v>
      </c>
      <c r="D72" s="22">
        <v>12783.0</v>
      </c>
      <c r="E72" s="21">
        <v>2976.0</v>
      </c>
      <c r="F72" s="22">
        <v>77747.0</v>
      </c>
      <c r="G72" s="22">
        <v>3401.0</v>
      </c>
      <c r="H72" s="22">
        <v>90530.0</v>
      </c>
      <c r="I72" s="24">
        <v>274.0</v>
      </c>
      <c r="J72" s="22">
        <v>308.0</v>
      </c>
      <c r="K72" s="22">
        <v>10943.0</v>
      </c>
      <c r="L72" s="22">
        <v>1970.0</v>
      </c>
      <c r="M72" s="22">
        <v>62185.0</v>
      </c>
      <c r="N72" s="22">
        <v>73128.0</v>
      </c>
      <c r="O72" s="23">
        <v>36.0</v>
      </c>
      <c r="P72" s="23">
        <v>1285.0</v>
      </c>
      <c r="Q72" s="23">
        <v>42.0</v>
      </c>
      <c r="R72" s="23">
        <v>824.0</v>
      </c>
      <c r="S72" s="23">
        <v>5.0</v>
      </c>
      <c r="T72" s="22">
        <v>160.0</v>
      </c>
      <c r="U72" s="22">
        <v>301.0</v>
      </c>
      <c r="V72" s="22">
        <v>317.0</v>
      </c>
      <c r="W72" s="24">
        <v>71.0</v>
      </c>
      <c r="X72" s="24">
        <v>52.0</v>
      </c>
      <c r="Y72" s="24">
        <v>21.0</v>
      </c>
      <c r="Z72" s="22">
        <v>499.0</v>
      </c>
    </row>
    <row r="73" ht="14.25" customHeight="1">
      <c r="A73" s="25">
        <v>43959.0</v>
      </c>
      <c r="B73" s="21">
        <v>360.0</v>
      </c>
      <c r="C73" s="22">
        <v>425.0</v>
      </c>
      <c r="D73" s="22">
        <v>13143.0</v>
      </c>
      <c r="E73" s="21">
        <v>2605.0</v>
      </c>
      <c r="F73" s="22">
        <v>80352.0</v>
      </c>
      <c r="G73" s="22">
        <v>2965.0</v>
      </c>
      <c r="H73" s="22">
        <v>93495.0</v>
      </c>
      <c r="I73" s="24">
        <v>233.0</v>
      </c>
      <c r="J73" s="22">
        <v>283.0</v>
      </c>
      <c r="K73" s="22">
        <v>11176.0</v>
      </c>
      <c r="L73" s="22">
        <v>1742.0</v>
      </c>
      <c r="M73" s="22">
        <v>63927.0</v>
      </c>
      <c r="N73" s="22">
        <v>75103.0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470.0</v>
      </c>
      <c r="C74" s="22">
        <v>418.0</v>
      </c>
      <c r="D74" s="22">
        <v>13613.0</v>
      </c>
      <c r="E74" s="21">
        <v>3361.0</v>
      </c>
      <c r="F74" s="22">
        <v>83713.0</v>
      </c>
      <c r="G74" s="22">
        <v>3831.0</v>
      </c>
      <c r="H74" s="22">
        <v>97326.0</v>
      </c>
      <c r="I74" s="24">
        <v>291.0</v>
      </c>
      <c r="J74" s="22">
        <v>266.0</v>
      </c>
      <c r="K74" s="22">
        <v>11467.0</v>
      </c>
      <c r="L74" s="22">
        <v>2264.0</v>
      </c>
      <c r="M74" s="22">
        <v>66191.0</v>
      </c>
      <c r="N74" s="22">
        <v>77658.0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372.0</v>
      </c>
      <c r="D75" s="22">
        <v>13898.0</v>
      </c>
      <c r="E75" s="21">
        <v>2124.0</v>
      </c>
      <c r="F75" s="22">
        <v>85837.0</v>
      </c>
      <c r="G75" s="22">
        <v>2409.0</v>
      </c>
      <c r="H75" s="22">
        <v>99735.0</v>
      </c>
      <c r="I75" s="24">
        <v>188.0</v>
      </c>
      <c r="J75" s="22">
        <v>237.0</v>
      </c>
      <c r="K75" s="22">
        <v>11655.0</v>
      </c>
      <c r="L75" s="22">
        <v>1523.0</v>
      </c>
      <c r="M75" s="22">
        <v>67714.0</v>
      </c>
      <c r="N75" s="22">
        <v>79369.0</v>
      </c>
      <c r="O75" s="23">
        <v>20.0</v>
      </c>
      <c r="P75" s="23">
        <v>1357.0</v>
      </c>
      <c r="Q75" s="23">
        <v>23.0</v>
      </c>
      <c r="R75" s="23">
        <v>897.0</v>
      </c>
      <c r="S75" s="23">
        <v>6.0</v>
      </c>
      <c r="T75" s="22">
        <v>175.0</v>
      </c>
      <c r="U75" s="22">
        <v>285.0</v>
      </c>
      <c r="V75" s="22">
        <v>292.0</v>
      </c>
      <c r="W75" s="24">
        <v>70.0</v>
      </c>
      <c r="X75" s="24">
        <v>49.0</v>
      </c>
      <c r="Y75" s="24">
        <v>13.0</v>
      </c>
      <c r="Z75" s="22">
        <v>549.0</v>
      </c>
    </row>
    <row r="76" ht="14.25" customHeight="1">
      <c r="A76" s="25">
        <v>43962.0</v>
      </c>
      <c r="B76" s="21">
        <v>259.0</v>
      </c>
      <c r="C76" s="22">
        <v>338.0</v>
      </c>
      <c r="D76" s="22">
        <v>14157.0</v>
      </c>
      <c r="E76" s="21">
        <v>1863.0</v>
      </c>
      <c r="F76" s="22">
        <v>87700.0</v>
      </c>
      <c r="G76" s="22">
        <v>2122.0</v>
      </c>
      <c r="H76" s="22">
        <v>101857.0</v>
      </c>
      <c r="I76" s="24">
        <v>178.0</v>
      </c>
      <c r="J76" s="22">
        <v>219.0</v>
      </c>
      <c r="K76" s="22">
        <v>11833.0</v>
      </c>
      <c r="L76" s="22">
        <v>1304.0</v>
      </c>
      <c r="M76" s="22">
        <v>69018.0</v>
      </c>
      <c r="N76" s="22">
        <v>80851.0</v>
      </c>
      <c r="O76" s="23">
        <v>31.0</v>
      </c>
      <c r="P76" s="23">
        <v>1388.0</v>
      </c>
      <c r="Q76" s="23">
        <v>16.0</v>
      </c>
      <c r="R76" s="23">
        <v>913.0</v>
      </c>
      <c r="S76" s="23">
        <v>6.0</v>
      </c>
      <c r="T76" s="22">
        <v>181.0</v>
      </c>
      <c r="U76" s="22">
        <v>294.0</v>
      </c>
      <c r="V76" s="22">
        <v>291.0</v>
      </c>
      <c r="W76" s="24">
        <v>71.0</v>
      </c>
      <c r="X76" s="24">
        <v>49.0</v>
      </c>
      <c r="Y76" s="24">
        <v>15.0</v>
      </c>
      <c r="Z76" s="22">
        <v>564.0</v>
      </c>
    </row>
    <row r="77" ht="14.25" customHeight="1">
      <c r="A77" s="25">
        <v>43963.0</v>
      </c>
      <c r="B77" s="21">
        <v>387.0</v>
      </c>
      <c r="C77" s="22">
        <v>310.0</v>
      </c>
      <c r="D77" s="22">
        <v>14544.0</v>
      </c>
      <c r="E77" s="21">
        <v>2623.0</v>
      </c>
      <c r="F77" s="22">
        <v>90323.0</v>
      </c>
      <c r="G77" s="22">
        <v>3010.0</v>
      </c>
      <c r="H77" s="22">
        <v>104867.0</v>
      </c>
      <c r="I77" s="24">
        <v>218.0</v>
      </c>
      <c r="J77" s="22">
        <v>195.0</v>
      </c>
      <c r="K77" s="22">
        <v>12051.0</v>
      </c>
      <c r="L77" s="22">
        <v>1711.0</v>
      </c>
      <c r="M77" s="22">
        <v>70729.0</v>
      </c>
      <c r="N77" s="22">
        <v>82780.0</v>
      </c>
      <c r="O77" s="23">
        <v>23.0</v>
      </c>
      <c r="P77" s="23">
        <v>1411.0</v>
      </c>
      <c r="Q77" s="23">
        <v>18.0</v>
      </c>
      <c r="R77" s="23">
        <v>931.0</v>
      </c>
      <c r="S77" s="23">
        <v>4.0</v>
      </c>
      <c r="T77" s="22">
        <v>185.0</v>
      </c>
      <c r="U77" s="22">
        <v>295.0</v>
      </c>
      <c r="V77" s="22">
        <v>291.0</v>
      </c>
      <c r="W77" s="24">
        <v>69.0</v>
      </c>
      <c r="X77" s="24">
        <v>48.0</v>
      </c>
      <c r="Y77" s="24">
        <v>22.0</v>
      </c>
      <c r="Z77" s="22">
        <v>586.0</v>
      </c>
    </row>
    <row r="78" ht="14.25" customHeight="1">
      <c r="A78" s="25">
        <v>43964.0</v>
      </c>
      <c r="B78" s="21">
        <v>352.0</v>
      </c>
      <c r="C78" s="22">
        <v>333.0</v>
      </c>
      <c r="D78" s="22">
        <v>14896.0</v>
      </c>
      <c r="E78" s="21">
        <v>3638.0</v>
      </c>
      <c r="F78" s="22">
        <v>93961.0</v>
      </c>
      <c r="G78" s="22">
        <v>3990.0</v>
      </c>
      <c r="H78" s="22">
        <v>108857.0</v>
      </c>
      <c r="I78" s="24">
        <v>199.0</v>
      </c>
      <c r="J78" s="22">
        <v>198.0</v>
      </c>
      <c r="K78" s="22">
        <v>12250.0</v>
      </c>
      <c r="L78" s="22">
        <v>2009.0</v>
      </c>
      <c r="M78" s="22">
        <v>72738.0</v>
      </c>
      <c r="N78" s="22">
        <v>84988.0</v>
      </c>
      <c r="O78" s="23">
        <v>23.0</v>
      </c>
      <c r="P78" s="23">
        <v>1434.0</v>
      </c>
      <c r="Q78" s="23">
        <v>25.0</v>
      </c>
      <c r="R78" s="23">
        <v>956.0</v>
      </c>
      <c r="S78" s="23">
        <v>1.0</v>
      </c>
      <c r="T78" s="22">
        <v>186.0</v>
      </c>
      <c r="U78" s="22">
        <v>292.0</v>
      </c>
      <c r="V78" s="22">
        <v>294.0</v>
      </c>
      <c r="W78" s="24">
        <v>69.0</v>
      </c>
      <c r="X78" s="24">
        <v>49.0</v>
      </c>
      <c r="Y78" s="24">
        <v>13.0</v>
      </c>
      <c r="Z78" s="22">
        <v>599.0</v>
      </c>
    </row>
    <row r="79" ht="14.25" customHeight="1">
      <c r="A79" s="25">
        <v>43965.0</v>
      </c>
      <c r="B79" s="21">
        <v>330.0</v>
      </c>
      <c r="C79" s="22">
        <v>356.0</v>
      </c>
      <c r="D79" s="22">
        <v>15226.0</v>
      </c>
      <c r="E79" s="21">
        <v>3421.0</v>
      </c>
      <c r="F79" s="22">
        <v>97382.0</v>
      </c>
      <c r="G79" s="22">
        <v>3751.0</v>
      </c>
      <c r="H79" s="22">
        <v>112608.0</v>
      </c>
      <c r="I79" s="24">
        <v>232.0</v>
      </c>
      <c r="J79" s="22">
        <v>216.0</v>
      </c>
      <c r="K79" s="22">
        <v>12482.0</v>
      </c>
      <c r="L79" s="22">
        <v>2019.0</v>
      </c>
      <c r="M79" s="22">
        <v>74757.0</v>
      </c>
      <c r="N79" s="22">
        <v>87239.0</v>
      </c>
      <c r="O79" s="23">
        <v>19.0</v>
      </c>
      <c r="P79" s="23">
        <v>1453.0</v>
      </c>
      <c r="Q79" s="23">
        <v>27.0</v>
      </c>
      <c r="R79" s="23">
        <v>983.0</v>
      </c>
      <c r="S79" s="23">
        <v>3.0</v>
      </c>
      <c r="T79" s="22">
        <v>189.0</v>
      </c>
      <c r="U79" s="22">
        <v>281.0</v>
      </c>
      <c r="V79" s="22">
        <v>289.0</v>
      </c>
      <c r="W79" s="24">
        <v>64.0</v>
      </c>
      <c r="X79" s="24">
        <v>45.0</v>
      </c>
      <c r="Y79" s="24">
        <v>15.0</v>
      </c>
      <c r="Z79" s="22">
        <v>614.0</v>
      </c>
    </row>
    <row r="80" ht="14.25" customHeight="1">
      <c r="A80" s="25">
        <v>43966.0</v>
      </c>
      <c r="B80" s="21">
        <v>382.0</v>
      </c>
      <c r="C80" s="22">
        <v>355.0</v>
      </c>
      <c r="D80" s="22">
        <v>15608.0</v>
      </c>
      <c r="E80" s="21">
        <v>3473.0</v>
      </c>
      <c r="F80" s="22">
        <v>100855.0</v>
      </c>
      <c r="G80" s="22">
        <v>3855.0</v>
      </c>
      <c r="H80" s="22">
        <v>116463.0</v>
      </c>
      <c r="I80" s="24">
        <v>237.0</v>
      </c>
      <c r="J80" s="22">
        <v>223.0</v>
      </c>
      <c r="K80" s="22">
        <v>12719.0</v>
      </c>
      <c r="L80" s="22">
        <v>1811.0</v>
      </c>
      <c r="M80" s="22">
        <v>76568.0</v>
      </c>
      <c r="N80" s="22">
        <v>89287.0</v>
      </c>
      <c r="O80" s="23">
        <v>24.0</v>
      </c>
      <c r="P80" s="23">
        <v>1477.0</v>
      </c>
      <c r="Q80" s="23">
        <v>41.0</v>
      </c>
      <c r="R80" s="23">
        <v>1024.0</v>
      </c>
      <c r="S80" s="23">
        <v>5.0</v>
      </c>
      <c r="T80" s="22">
        <v>194.0</v>
      </c>
      <c r="U80" s="22">
        <v>259.0</v>
      </c>
      <c r="V80" s="22">
        <v>277.0</v>
      </c>
      <c r="W80" s="24">
        <v>62.0</v>
      </c>
      <c r="X80" s="24">
        <v>45.0</v>
      </c>
      <c r="Y80" s="24">
        <v>13.0</v>
      </c>
      <c r="Z80" s="22">
        <v>627.0</v>
      </c>
    </row>
    <row r="81" ht="14.25" customHeight="1">
      <c r="A81" s="25">
        <v>43967.0</v>
      </c>
      <c r="B81" s="21">
        <v>454.0</v>
      </c>
      <c r="C81" s="22">
        <v>389.0</v>
      </c>
      <c r="D81" s="22">
        <v>16062.0</v>
      </c>
      <c r="E81" s="21">
        <v>4172.0</v>
      </c>
      <c r="F81" s="22">
        <v>105027.0</v>
      </c>
      <c r="G81" s="22">
        <v>4626.0</v>
      </c>
      <c r="H81" s="22">
        <v>121089.0</v>
      </c>
      <c r="I81" s="24">
        <v>252.0</v>
      </c>
      <c r="J81" s="22">
        <v>240.0</v>
      </c>
      <c r="K81" s="22">
        <v>12971.0</v>
      </c>
      <c r="L81" s="22">
        <v>1964.0</v>
      </c>
      <c r="M81" s="22">
        <v>78532.0</v>
      </c>
      <c r="N81" s="22">
        <v>91503.0</v>
      </c>
      <c r="O81" s="23">
        <v>25.0</v>
      </c>
      <c r="P81" s="23">
        <v>1502.0</v>
      </c>
      <c r="Q81" s="23">
        <v>13.0</v>
      </c>
      <c r="R81" s="23">
        <v>1037.0</v>
      </c>
      <c r="S81" s="23">
        <v>5.0</v>
      </c>
      <c r="T81" s="22">
        <v>199.0</v>
      </c>
      <c r="U81" s="22">
        <v>266.0</v>
      </c>
      <c r="V81" s="22">
        <v>269.0</v>
      </c>
      <c r="W81" s="24">
        <v>61.0</v>
      </c>
      <c r="X81" s="24">
        <v>46.0</v>
      </c>
      <c r="Y81" s="24">
        <v>15.0</v>
      </c>
      <c r="Z81" s="22">
        <v>642.0</v>
      </c>
    </row>
    <row r="82" ht="14.25" customHeight="1">
      <c r="A82" s="25">
        <v>43968.0</v>
      </c>
      <c r="B82" s="21">
        <v>240.0</v>
      </c>
      <c r="C82" s="22">
        <v>359.0</v>
      </c>
      <c r="D82" s="22">
        <v>16302.0</v>
      </c>
      <c r="E82" s="21">
        <v>2775.0</v>
      </c>
      <c r="F82" s="22">
        <v>107802.0</v>
      </c>
      <c r="G82" s="22">
        <v>3015.0</v>
      </c>
      <c r="H82" s="22">
        <v>124104.0</v>
      </c>
      <c r="I82" s="24">
        <v>129.0</v>
      </c>
      <c r="J82" s="22">
        <v>206.0</v>
      </c>
      <c r="K82" s="22">
        <v>13100.0</v>
      </c>
      <c r="L82" s="22">
        <v>1559.0</v>
      </c>
      <c r="M82" s="22">
        <v>80091.0</v>
      </c>
      <c r="N82" s="22">
        <v>93191.0</v>
      </c>
      <c r="O82" s="23">
        <v>17.0</v>
      </c>
      <c r="P82" s="23">
        <v>1519.0</v>
      </c>
      <c r="Q82" s="23">
        <v>8.0</v>
      </c>
      <c r="R82" s="23">
        <v>1045.0</v>
      </c>
      <c r="S82" s="23">
        <v>5.0</v>
      </c>
      <c r="T82" s="22">
        <v>204.0</v>
      </c>
      <c r="U82" s="22">
        <v>270.0</v>
      </c>
      <c r="V82" s="22">
        <v>265.0</v>
      </c>
      <c r="W82" s="24">
        <v>59.0</v>
      </c>
      <c r="X82" s="24">
        <v>45.0</v>
      </c>
      <c r="Y82" s="22">
        <v>10.0</v>
      </c>
      <c r="Z82" s="22">
        <v>652.0</v>
      </c>
    </row>
    <row r="83" ht="14.25" customHeight="1">
      <c r="A83" s="25">
        <v>43969.0</v>
      </c>
      <c r="B83" s="21">
        <v>251.0</v>
      </c>
      <c r="C83" s="22">
        <v>315.0</v>
      </c>
      <c r="D83" s="22">
        <v>16553.0</v>
      </c>
      <c r="E83" s="21">
        <v>2007.0</v>
      </c>
      <c r="F83" s="22">
        <v>109809.0</v>
      </c>
      <c r="G83" s="22">
        <v>2258.0</v>
      </c>
      <c r="H83" s="22">
        <v>126362.0</v>
      </c>
      <c r="I83" s="24">
        <v>140.0</v>
      </c>
      <c r="J83" s="22">
        <v>174.0</v>
      </c>
      <c r="K83" s="22">
        <v>13240.0</v>
      </c>
      <c r="L83" s="22">
        <v>1371.0</v>
      </c>
      <c r="M83" s="22">
        <v>81462.0</v>
      </c>
      <c r="N83" s="22">
        <v>94702.0</v>
      </c>
      <c r="O83" s="23">
        <v>19.0</v>
      </c>
      <c r="P83" s="23">
        <v>1538.0</v>
      </c>
      <c r="Q83" s="23">
        <v>15.0</v>
      </c>
      <c r="R83" s="23">
        <v>1060.0</v>
      </c>
      <c r="S83" s="23">
        <v>5.0</v>
      </c>
      <c r="T83" s="22">
        <v>209.0</v>
      </c>
      <c r="U83" s="22">
        <v>269.0</v>
      </c>
      <c r="V83" s="22">
        <v>268.0</v>
      </c>
      <c r="W83" s="24">
        <v>57.0</v>
      </c>
      <c r="X83" s="24">
        <v>40.0</v>
      </c>
      <c r="Y83" s="22">
        <v>18.0</v>
      </c>
      <c r="Z83" s="22">
        <v>670.0</v>
      </c>
    </row>
    <row r="84" ht="14.25" customHeight="1">
      <c r="A84" s="25">
        <v>43970.0</v>
      </c>
      <c r="B84" s="21">
        <v>416.0</v>
      </c>
      <c r="C84" s="22">
        <v>302.0</v>
      </c>
      <c r="D84" s="22">
        <v>16969.0</v>
      </c>
      <c r="E84" s="21">
        <v>3178.0</v>
      </c>
      <c r="F84" s="22">
        <v>112987.0</v>
      </c>
      <c r="G84" s="22">
        <v>3594.0</v>
      </c>
      <c r="H84" s="22">
        <v>129956.0</v>
      </c>
      <c r="I84" s="21">
        <v>214.0</v>
      </c>
      <c r="J84" s="22">
        <v>161.0</v>
      </c>
      <c r="K84" s="22">
        <v>13454.0</v>
      </c>
      <c r="L84" s="22">
        <v>1932.0</v>
      </c>
      <c r="M84" s="22">
        <v>83394.0</v>
      </c>
      <c r="N84" s="22">
        <v>96848.0</v>
      </c>
      <c r="O84" s="23">
        <v>23.0</v>
      </c>
      <c r="P84" s="23">
        <v>1561.0</v>
      </c>
      <c r="Q84" s="23">
        <v>32.0</v>
      </c>
      <c r="R84" s="23">
        <v>1092.0</v>
      </c>
      <c r="S84" s="23">
        <v>5.0</v>
      </c>
      <c r="T84" s="22">
        <v>214.0</v>
      </c>
      <c r="U84" s="22">
        <v>255.0</v>
      </c>
      <c r="V84" s="22">
        <v>265.0</v>
      </c>
      <c r="W84" s="24">
        <v>56.0</v>
      </c>
      <c r="X84" s="24">
        <v>38.0</v>
      </c>
      <c r="Y84" s="22">
        <v>11.0</v>
      </c>
      <c r="Z84" s="22">
        <v>681.0</v>
      </c>
    </row>
    <row r="85" ht="14.25" customHeight="1">
      <c r="A85" s="25">
        <v>43971.0</v>
      </c>
      <c r="B85" s="21">
        <v>328.0</v>
      </c>
      <c r="C85" s="22">
        <v>332.0</v>
      </c>
      <c r="D85" s="22">
        <v>17297.0</v>
      </c>
      <c r="E85" s="21">
        <v>2777.0</v>
      </c>
      <c r="F85" s="22">
        <v>115764.0</v>
      </c>
      <c r="G85" s="22">
        <v>3105.0</v>
      </c>
      <c r="H85" s="22">
        <v>133061.0</v>
      </c>
      <c r="I85" s="22">
        <v>188.0</v>
      </c>
      <c r="J85" s="22">
        <v>181.0</v>
      </c>
      <c r="K85" s="22">
        <v>13642.0</v>
      </c>
      <c r="L85" s="22">
        <v>1517.0</v>
      </c>
      <c r="M85" s="22">
        <v>84911.0</v>
      </c>
      <c r="N85" s="22">
        <v>98553.0</v>
      </c>
      <c r="O85" s="23">
        <v>19.0</v>
      </c>
      <c r="P85" s="23">
        <v>1580.0</v>
      </c>
      <c r="Q85" s="23">
        <v>23.0</v>
      </c>
      <c r="R85" s="23">
        <v>1115.0</v>
      </c>
      <c r="S85" s="23">
        <v>7.0</v>
      </c>
      <c r="T85" s="22">
        <v>221.0</v>
      </c>
      <c r="U85" s="22">
        <v>244.0</v>
      </c>
      <c r="V85" s="22">
        <v>256.0</v>
      </c>
      <c r="W85" s="24">
        <v>52.0</v>
      </c>
      <c r="X85" s="24">
        <v>33.0</v>
      </c>
      <c r="Y85" s="26">
        <v>22.0</v>
      </c>
      <c r="Z85" s="22">
        <v>703.0</v>
      </c>
    </row>
    <row r="86" ht="14.25" customHeight="1">
      <c r="A86" s="25">
        <v>43972.0</v>
      </c>
      <c r="B86" s="21">
        <v>374.0</v>
      </c>
      <c r="C86" s="22">
        <v>373.0</v>
      </c>
      <c r="D86" s="22">
        <v>17671.0</v>
      </c>
      <c r="E86" s="21">
        <v>3764.0</v>
      </c>
      <c r="F86" s="22">
        <v>119528.0</v>
      </c>
      <c r="G86" s="22">
        <v>4138.0</v>
      </c>
      <c r="H86" s="22">
        <v>137199.0</v>
      </c>
      <c r="I86" s="22">
        <v>170.0</v>
      </c>
      <c r="J86" s="22">
        <v>191.0</v>
      </c>
      <c r="K86" s="22">
        <v>13812.0</v>
      </c>
      <c r="L86" s="22">
        <v>1941.0</v>
      </c>
      <c r="M86" s="22">
        <v>86852.0</v>
      </c>
      <c r="N86" s="22">
        <v>100664.0</v>
      </c>
      <c r="O86" s="23">
        <v>26.0</v>
      </c>
      <c r="P86" s="23">
        <v>1606.0</v>
      </c>
      <c r="Q86" s="23">
        <v>15.0</v>
      </c>
      <c r="R86" s="23">
        <v>1130.0</v>
      </c>
      <c r="S86" s="23">
        <v>3.0</v>
      </c>
      <c r="T86" s="22">
        <v>224.0</v>
      </c>
      <c r="U86" s="22">
        <v>252.0</v>
      </c>
      <c r="V86" s="22">
        <v>250.0</v>
      </c>
      <c r="W86" s="24">
        <v>53.0</v>
      </c>
      <c r="X86" s="24">
        <v>29.0</v>
      </c>
      <c r="Y86" s="22">
        <v>20.0</v>
      </c>
      <c r="Z86" s="22">
        <v>723.0</v>
      </c>
    </row>
    <row r="87" ht="14.25" customHeight="1">
      <c r="A87" s="25">
        <v>43973.0</v>
      </c>
      <c r="B87" s="21">
        <v>353.0</v>
      </c>
      <c r="C87" s="22">
        <v>352.0</v>
      </c>
      <c r="D87" s="22">
        <v>18024.0</v>
      </c>
      <c r="E87" s="21">
        <v>3174.0</v>
      </c>
      <c r="F87" s="22">
        <v>122702.0</v>
      </c>
      <c r="G87" s="22">
        <v>3527.0</v>
      </c>
      <c r="H87" s="22">
        <v>140726.0</v>
      </c>
      <c r="I87" s="22">
        <v>204.0</v>
      </c>
      <c r="J87" s="22">
        <v>187.0</v>
      </c>
      <c r="K87" s="22">
        <v>14016.0</v>
      </c>
      <c r="L87" s="22">
        <v>1612.0</v>
      </c>
      <c r="M87" s="22">
        <v>88464.0</v>
      </c>
      <c r="N87" s="22">
        <v>102480.0</v>
      </c>
      <c r="O87" s="23">
        <v>20.0</v>
      </c>
      <c r="P87" s="23">
        <v>1626.0</v>
      </c>
      <c r="Q87" s="23">
        <v>29.0</v>
      </c>
      <c r="R87" s="23">
        <v>1159.0</v>
      </c>
      <c r="S87" s="23">
        <v>5.0</v>
      </c>
      <c r="T87" s="22">
        <v>229.0</v>
      </c>
      <c r="U87" s="22">
        <v>238.0</v>
      </c>
      <c r="V87" s="22">
        <v>245.0</v>
      </c>
      <c r="W87" s="24">
        <v>52.0</v>
      </c>
      <c r="X87" s="24">
        <v>29.0</v>
      </c>
      <c r="Y87" s="22">
        <v>10.0</v>
      </c>
      <c r="Z87" s="22">
        <v>733.0</v>
      </c>
    </row>
    <row r="88" ht="14.25" customHeight="1">
      <c r="A88" s="25">
        <v>43974.0</v>
      </c>
      <c r="B88" s="21">
        <v>254.0</v>
      </c>
      <c r="C88" s="22">
        <v>327.0</v>
      </c>
      <c r="D88" s="22">
        <v>18278.0</v>
      </c>
      <c r="E88" s="21">
        <v>2749.0</v>
      </c>
      <c r="F88" s="22">
        <v>125451.0</v>
      </c>
      <c r="G88" s="22">
        <v>3003.0</v>
      </c>
      <c r="H88" s="22">
        <v>143729.0</v>
      </c>
      <c r="I88" s="22">
        <v>108.0</v>
      </c>
      <c r="J88" s="22">
        <v>161.0</v>
      </c>
      <c r="K88" s="22">
        <v>14124.0</v>
      </c>
      <c r="L88" s="22">
        <v>1273.0</v>
      </c>
      <c r="M88" s="22">
        <v>89737.0</v>
      </c>
      <c r="N88" s="22">
        <v>103861.0</v>
      </c>
      <c r="O88" s="23">
        <v>19.0</v>
      </c>
      <c r="P88" s="23">
        <v>1645.0</v>
      </c>
      <c r="Q88" s="23">
        <v>11.0</v>
      </c>
      <c r="R88" s="23">
        <v>1170.0</v>
      </c>
      <c r="S88" s="23">
        <v>3.0</v>
      </c>
      <c r="T88" s="22">
        <v>232.0</v>
      </c>
      <c r="U88" s="22">
        <v>243.0</v>
      </c>
      <c r="V88" s="22">
        <v>244.0</v>
      </c>
      <c r="W88" s="24">
        <v>52.0</v>
      </c>
      <c r="X88" s="24">
        <v>32.0</v>
      </c>
      <c r="Y88" s="22">
        <v>13.0</v>
      </c>
      <c r="Z88" s="22">
        <v>746.0</v>
      </c>
    </row>
    <row r="89" ht="14.25" customHeight="1">
      <c r="A89" s="25">
        <v>43975.0</v>
      </c>
      <c r="B89" s="21">
        <v>165.0</v>
      </c>
      <c r="C89" s="22">
        <v>257.0</v>
      </c>
      <c r="D89" s="22">
        <v>18443.0</v>
      </c>
      <c r="E89" s="21">
        <v>1373.0</v>
      </c>
      <c r="F89" s="22">
        <v>126824.0</v>
      </c>
      <c r="G89" s="22">
        <v>1538.0</v>
      </c>
      <c r="H89" s="22">
        <v>145267.0</v>
      </c>
      <c r="I89" s="22">
        <v>82.0</v>
      </c>
      <c r="J89" s="22">
        <v>131.0</v>
      </c>
      <c r="K89" s="22">
        <v>14206.0</v>
      </c>
      <c r="L89" s="22">
        <v>773.0</v>
      </c>
      <c r="M89" s="22">
        <v>90510.0</v>
      </c>
      <c r="N89" s="22">
        <v>104716.0</v>
      </c>
      <c r="O89" s="23">
        <v>12.0</v>
      </c>
      <c r="P89" s="23">
        <v>1657.0</v>
      </c>
      <c r="Q89" s="23">
        <v>14.0</v>
      </c>
      <c r="R89" s="23">
        <v>1184.0</v>
      </c>
      <c r="S89" s="23">
        <v>2.0</v>
      </c>
      <c r="T89" s="22">
        <v>234.0</v>
      </c>
      <c r="U89" s="22">
        <v>239.0</v>
      </c>
      <c r="V89" s="22">
        <v>240.0</v>
      </c>
      <c r="W89" s="24">
        <v>53.0</v>
      </c>
      <c r="X89" s="24">
        <v>36.0</v>
      </c>
      <c r="Y89" s="22">
        <v>8.0</v>
      </c>
      <c r="Z89" s="22">
        <v>754.0</v>
      </c>
    </row>
    <row r="90" ht="14.25" customHeight="1">
      <c r="A90" s="25">
        <v>43976.0</v>
      </c>
      <c r="B90" s="21">
        <v>151.0</v>
      </c>
      <c r="C90" s="22">
        <v>190.0</v>
      </c>
      <c r="D90" s="22">
        <v>18594.0</v>
      </c>
      <c r="E90" s="21">
        <v>1389.0</v>
      </c>
      <c r="F90" s="22">
        <v>128213.0</v>
      </c>
      <c r="G90" s="22">
        <v>1540.0</v>
      </c>
      <c r="H90" s="22">
        <v>146807.0</v>
      </c>
      <c r="I90" s="22">
        <v>72.0</v>
      </c>
      <c r="J90" s="22">
        <v>87.0</v>
      </c>
      <c r="K90" s="22">
        <v>14278.0</v>
      </c>
      <c r="L90" s="22">
        <v>762.0</v>
      </c>
      <c r="M90" s="22">
        <v>91272.0</v>
      </c>
      <c r="N90" s="22">
        <v>105550.0</v>
      </c>
      <c r="O90" s="23">
        <v>13.0</v>
      </c>
      <c r="P90" s="23">
        <v>1670.0</v>
      </c>
      <c r="Q90" s="23">
        <v>14.0</v>
      </c>
      <c r="R90" s="23">
        <v>1198.0</v>
      </c>
      <c r="S90" s="23">
        <v>0.0</v>
      </c>
      <c r="T90" s="22">
        <v>234.0</v>
      </c>
      <c r="U90" s="22">
        <v>238.0</v>
      </c>
      <c r="V90" s="22">
        <v>240.0</v>
      </c>
      <c r="W90" s="24">
        <v>53.0</v>
      </c>
      <c r="X90" s="24">
        <v>34.0</v>
      </c>
      <c r="Y90" s="22">
        <v>10.0</v>
      </c>
      <c r="Z90" s="22">
        <v>764.0</v>
      </c>
    </row>
    <row r="91" ht="14.25" customHeight="1">
      <c r="A91" s="25">
        <v>43977.0</v>
      </c>
      <c r="B91" s="21">
        <v>286.0</v>
      </c>
      <c r="C91" s="22">
        <v>201.0</v>
      </c>
      <c r="D91" s="22">
        <v>18880.0</v>
      </c>
      <c r="E91" s="21">
        <v>2625.0</v>
      </c>
      <c r="F91" s="22">
        <v>130838.0</v>
      </c>
      <c r="G91" s="22">
        <v>2911.0</v>
      </c>
      <c r="H91" s="22">
        <v>149718.0</v>
      </c>
      <c r="I91" s="22">
        <v>163.0</v>
      </c>
      <c r="J91" s="22">
        <v>106.0</v>
      </c>
      <c r="K91" s="22">
        <v>14441.0</v>
      </c>
      <c r="L91" s="22">
        <v>1781.0</v>
      </c>
      <c r="M91" s="22">
        <v>93053.0</v>
      </c>
      <c r="N91" s="22">
        <v>107494.0</v>
      </c>
      <c r="O91" s="23">
        <v>24.0</v>
      </c>
      <c r="P91" s="23">
        <v>1694.0</v>
      </c>
      <c r="Q91" s="23">
        <v>22.0</v>
      </c>
      <c r="R91" s="23">
        <v>1220.0</v>
      </c>
      <c r="S91" s="23">
        <v>5.0</v>
      </c>
      <c r="T91" s="22">
        <v>239.0</v>
      </c>
      <c r="U91" s="22">
        <v>235.0</v>
      </c>
      <c r="V91" s="22">
        <v>237.0</v>
      </c>
      <c r="W91" s="24">
        <v>48.0</v>
      </c>
      <c r="X91" s="24">
        <v>33.0</v>
      </c>
      <c r="Y91" s="22">
        <v>15.0</v>
      </c>
      <c r="Z91" s="22">
        <v>779.0</v>
      </c>
    </row>
    <row r="92" ht="14.25" customHeight="1">
      <c r="A92" s="25">
        <v>43978.0</v>
      </c>
      <c r="B92" s="21">
        <v>276.0</v>
      </c>
      <c r="C92" s="22">
        <v>238.0</v>
      </c>
      <c r="D92" s="22">
        <v>19156.0</v>
      </c>
      <c r="E92" s="21">
        <v>2126.0</v>
      </c>
      <c r="F92" s="22">
        <v>132964.0</v>
      </c>
      <c r="G92" s="22">
        <v>2402.0</v>
      </c>
      <c r="H92" s="22">
        <v>152120.0</v>
      </c>
      <c r="I92" s="22">
        <v>134.0</v>
      </c>
      <c r="J92" s="22">
        <v>123.0</v>
      </c>
      <c r="K92" s="22">
        <v>14575.0</v>
      </c>
      <c r="L92" s="22">
        <v>1135.0</v>
      </c>
      <c r="M92" s="22">
        <v>94188.0</v>
      </c>
      <c r="N92" s="22">
        <v>108763.0</v>
      </c>
      <c r="O92" s="23">
        <v>20.0</v>
      </c>
      <c r="P92" s="23">
        <v>1714.0</v>
      </c>
      <c r="Q92" s="23">
        <v>18.0</v>
      </c>
      <c r="R92" s="23">
        <v>1238.0</v>
      </c>
      <c r="S92" s="23">
        <v>3.0</v>
      </c>
      <c r="T92" s="22">
        <v>242.0</v>
      </c>
      <c r="U92" s="22">
        <v>234.0</v>
      </c>
      <c r="V92" s="22">
        <v>236.0</v>
      </c>
      <c r="W92" s="24">
        <v>50.0</v>
      </c>
      <c r="X92" s="24">
        <v>33.0</v>
      </c>
      <c r="Y92" s="22">
        <v>10.0</v>
      </c>
      <c r="Z92" s="22">
        <v>789.0</v>
      </c>
    </row>
    <row r="93" ht="14.25" customHeight="1">
      <c r="A93" s="25">
        <v>43979.0</v>
      </c>
      <c r="B93" s="21">
        <v>349.0</v>
      </c>
      <c r="C93" s="22">
        <v>304.0</v>
      </c>
      <c r="D93" s="22">
        <v>19505.0</v>
      </c>
      <c r="E93" s="22">
        <v>3372.0</v>
      </c>
      <c r="F93" s="22">
        <v>136336.0</v>
      </c>
      <c r="G93" s="22">
        <v>3721.0</v>
      </c>
      <c r="H93" s="22">
        <v>155841.0</v>
      </c>
      <c r="I93" s="22">
        <v>134.0</v>
      </c>
      <c r="J93" s="22">
        <v>144.0</v>
      </c>
      <c r="K93" s="22">
        <v>14709.0</v>
      </c>
      <c r="L93" s="22">
        <v>1120.0</v>
      </c>
      <c r="M93" s="22">
        <v>95308.0</v>
      </c>
      <c r="N93" s="22">
        <v>110017.0</v>
      </c>
      <c r="O93" s="23">
        <v>17.0</v>
      </c>
      <c r="P93" s="23">
        <v>1731.0</v>
      </c>
      <c r="Q93" s="23">
        <v>29.0</v>
      </c>
      <c r="R93" s="23">
        <v>1267.0</v>
      </c>
      <c r="S93" s="23">
        <v>4.0</v>
      </c>
      <c r="T93" s="22">
        <v>246.0</v>
      </c>
      <c r="U93" s="22">
        <v>218.0</v>
      </c>
      <c r="V93" s="22">
        <v>229.0</v>
      </c>
      <c r="W93" s="24">
        <v>47.0</v>
      </c>
      <c r="X93" s="24">
        <v>32.0</v>
      </c>
      <c r="Y93" s="22">
        <v>8.0</v>
      </c>
      <c r="Z93" s="22">
        <v>797.0</v>
      </c>
    </row>
    <row r="94" ht="14.25" customHeight="1">
      <c r="A94" s="25">
        <v>43980.0</v>
      </c>
      <c r="B94" s="22">
        <v>417.0</v>
      </c>
      <c r="C94" s="22">
        <v>347.0</v>
      </c>
      <c r="D94" s="22">
        <v>19922.0</v>
      </c>
      <c r="E94" s="22">
        <v>3973.0</v>
      </c>
      <c r="F94" s="22">
        <v>140309.0</v>
      </c>
      <c r="G94" s="22">
        <v>4390.0</v>
      </c>
      <c r="H94" s="22">
        <v>160231.0</v>
      </c>
      <c r="I94" s="22">
        <v>177.0</v>
      </c>
      <c r="J94" s="22">
        <v>148.0</v>
      </c>
      <c r="K94" s="22">
        <v>14886.0</v>
      </c>
      <c r="L94" s="22">
        <v>1572.0</v>
      </c>
      <c r="M94" s="22">
        <v>96880.0</v>
      </c>
      <c r="N94" s="22">
        <v>111766.0</v>
      </c>
      <c r="O94" s="23">
        <v>19.0</v>
      </c>
      <c r="P94" s="23">
        <v>1750.0</v>
      </c>
      <c r="Q94" s="23">
        <v>27.0</v>
      </c>
      <c r="R94" s="23">
        <v>1294.0</v>
      </c>
      <c r="S94" s="23">
        <v>6.0</v>
      </c>
      <c r="T94" s="22">
        <v>252.0</v>
      </c>
      <c r="U94" s="22">
        <v>204.0</v>
      </c>
      <c r="V94" s="22">
        <v>219.0</v>
      </c>
      <c r="W94" s="24">
        <v>43.0</v>
      </c>
      <c r="X94" s="24">
        <v>31.0</v>
      </c>
      <c r="Y94" s="22">
        <v>12.0</v>
      </c>
      <c r="Z94" s="22">
        <v>809.0</v>
      </c>
    </row>
    <row r="95" ht="14.25" customHeight="1">
      <c r="A95" s="25">
        <v>43981.0</v>
      </c>
      <c r="B95" s="22">
        <v>229.0</v>
      </c>
      <c r="C95" s="22">
        <v>332.0</v>
      </c>
      <c r="D95" s="22">
        <v>20151.0</v>
      </c>
      <c r="E95" s="22">
        <v>3974.0</v>
      </c>
      <c r="F95" s="22">
        <v>144283.0</v>
      </c>
      <c r="G95" s="22">
        <v>4203.0</v>
      </c>
      <c r="H95" s="22">
        <v>164434.0</v>
      </c>
      <c r="I95" s="22">
        <v>109.0</v>
      </c>
      <c r="J95" s="22">
        <v>140.0</v>
      </c>
      <c r="K95" s="22">
        <v>14995.0</v>
      </c>
      <c r="L95" s="22">
        <v>1820.0</v>
      </c>
      <c r="M95" s="22">
        <v>98700.0</v>
      </c>
      <c r="N95" s="22">
        <v>113695.0</v>
      </c>
      <c r="O95" s="23">
        <v>15.0</v>
      </c>
      <c r="P95" s="23">
        <v>1765.0</v>
      </c>
      <c r="Q95" s="23">
        <v>19.0</v>
      </c>
      <c r="R95" s="23">
        <v>1313.0</v>
      </c>
      <c r="S95" s="23">
        <v>4.0</v>
      </c>
      <c r="T95" s="22">
        <v>256.0</v>
      </c>
      <c r="U95" s="22">
        <v>196.0</v>
      </c>
      <c r="V95" s="22">
        <v>206.0</v>
      </c>
      <c r="W95" s="24">
        <v>40.0</v>
      </c>
      <c r="X95" s="24">
        <v>29.0</v>
      </c>
      <c r="Y95" s="22">
        <v>12.0</v>
      </c>
      <c r="Z95" s="22">
        <v>821.0</v>
      </c>
    </row>
    <row r="96" ht="14.25" customHeight="1">
      <c r="A96" s="25">
        <v>43982.0</v>
      </c>
      <c r="B96" s="22">
        <v>163.0</v>
      </c>
      <c r="C96" s="22">
        <v>270.0</v>
      </c>
      <c r="D96" s="22">
        <v>20314.0</v>
      </c>
      <c r="E96" s="22">
        <v>1759.0</v>
      </c>
      <c r="F96" s="22">
        <v>146042.0</v>
      </c>
      <c r="G96" s="22">
        <v>1922.0</v>
      </c>
      <c r="H96" s="22">
        <v>166356.0</v>
      </c>
      <c r="I96" s="22">
        <v>78.0</v>
      </c>
      <c r="J96" s="22">
        <v>121.0</v>
      </c>
      <c r="K96" s="22">
        <v>15073.0</v>
      </c>
      <c r="L96" s="22">
        <v>857.0</v>
      </c>
      <c r="M96" s="22">
        <v>99557.0</v>
      </c>
      <c r="N96" s="22">
        <v>114630.0</v>
      </c>
      <c r="O96" s="23">
        <v>11.0</v>
      </c>
      <c r="P96" s="23">
        <v>1776.0</v>
      </c>
      <c r="Q96" s="23">
        <v>10.0</v>
      </c>
      <c r="R96" s="23">
        <v>1323.0</v>
      </c>
      <c r="S96" s="23">
        <v>0.0</v>
      </c>
      <c r="T96" s="22">
        <v>256.0</v>
      </c>
      <c r="U96" s="22">
        <v>197.0</v>
      </c>
      <c r="V96" s="22">
        <v>199.0</v>
      </c>
      <c r="W96" s="24">
        <v>43.0</v>
      </c>
      <c r="X96" s="24">
        <v>26.0</v>
      </c>
      <c r="Y96" s="22">
        <v>3.0</v>
      </c>
      <c r="Z96" s="22">
        <v>824.0</v>
      </c>
    </row>
    <row r="97" ht="14.25" customHeight="1">
      <c r="A97" s="25">
        <v>43983.0</v>
      </c>
      <c r="B97" s="22">
        <v>215.0</v>
      </c>
      <c r="C97" s="22">
        <v>202.0</v>
      </c>
      <c r="D97" s="22">
        <v>20529.0</v>
      </c>
      <c r="E97" s="22">
        <v>2824.0</v>
      </c>
      <c r="F97" s="22">
        <v>148866.0</v>
      </c>
      <c r="G97" s="22">
        <v>3039.0</v>
      </c>
      <c r="H97" s="22">
        <v>169395.0</v>
      </c>
      <c r="I97" s="22">
        <v>99.0</v>
      </c>
      <c r="J97" s="22">
        <v>95.0</v>
      </c>
      <c r="K97" s="22">
        <v>15172.0</v>
      </c>
      <c r="L97" s="22">
        <v>1386.0</v>
      </c>
      <c r="M97" s="22">
        <v>100943.0</v>
      </c>
      <c r="N97" s="22">
        <v>116115.0</v>
      </c>
      <c r="O97" s="26">
        <v>8.0</v>
      </c>
      <c r="P97" s="26">
        <v>1784.0</v>
      </c>
      <c r="Q97" s="26">
        <v>14.0</v>
      </c>
      <c r="R97" s="26">
        <v>1337.0</v>
      </c>
      <c r="S97" s="26">
        <v>1.0</v>
      </c>
      <c r="T97" s="26">
        <v>257.0</v>
      </c>
      <c r="U97" s="26">
        <v>190.0</v>
      </c>
      <c r="V97" s="22">
        <v>194.0</v>
      </c>
      <c r="W97" s="24">
        <v>44.0</v>
      </c>
      <c r="X97" s="24">
        <v>29.0</v>
      </c>
      <c r="Y97" s="22">
        <v>5.0</v>
      </c>
      <c r="Z97" s="22">
        <v>829.0</v>
      </c>
    </row>
    <row r="98" ht="14.25" customHeight="1">
      <c r="A98" s="25">
        <v>43984.0</v>
      </c>
      <c r="B98" s="22">
        <v>273.0</v>
      </c>
      <c r="C98" s="22">
        <v>217.0</v>
      </c>
      <c r="D98" s="22">
        <v>20802.0</v>
      </c>
      <c r="E98" s="22">
        <v>3077.0</v>
      </c>
      <c r="F98" s="22">
        <v>151943.0</v>
      </c>
      <c r="G98" s="22">
        <v>3350.0</v>
      </c>
      <c r="H98" s="22">
        <v>172745.0</v>
      </c>
      <c r="I98" s="22">
        <v>107.0</v>
      </c>
      <c r="J98" s="22">
        <v>95.0</v>
      </c>
      <c r="K98" s="22">
        <v>15279.0</v>
      </c>
      <c r="L98" s="22">
        <v>1451.0</v>
      </c>
      <c r="M98" s="22">
        <v>102394.0</v>
      </c>
      <c r="N98" s="22">
        <v>117673.0</v>
      </c>
      <c r="O98" s="26">
        <v>8.0</v>
      </c>
      <c r="P98" s="26">
        <v>1792.0</v>
      </c>
      <c r="Q98" s="26">
        <v>9.0</v>
      </c>
      <c r="R98" s="26">
        <v>1346.0</v>
      </c>
      <c r="S98" s="26">
        <v>3.0</v>
      </c>
      <c r="T98" s="26">
        <v>260.0</v>
      </c>
      <c r="U98" s="26">
        <v>186.0</v>
      </c>
      <c r="V98" s="22">
        <v>191.0</v>
      </c>
      <c r="W98" s="24">
        <v>37.0</v>
      </c>
      <c r="X98" s="24">
        <v>25.0</v>
      </c>
      <c r="Y98" s="22">
        <v>10.0</v>
      </c>
      <c r="Z98" s="22">
        <v>839.0</v>
      </c>
    </row>
    <row r="99" ht="14.25" customHeight="1">
      <c r="A99" s="25">
        <v>43985.0</v>
      </c>
      <c r="B99" s="22">
        <v>260.0</v>
      </c>
      <c r="C99" s="22">
        <v>249.0</v>
      </c>
      <c r="D99" s="22">
        <v>21062.0</v>
      </c>
      <c r="E99" s="22">
        <v>3516.0</v>
      </c>
      <c r="F99" s="22">
        <v>155459.0</v>
      </c>
      <c r="G99" s="22">
        <v>3776.0</v>
      </c>
      <c r="H99" s="22">
        <v>176521.0</v>
      </c>
      <c r="I99" s="22">
        <v>105.0</v>
      </c>
      <c r="J99" s="22">
        <v>104.0</v>
      </c>
      <c r="K99" s="22">
        <v>15384.0</v>
      </c>
      <c r="L99" s="22">
        <v>1665.0</v>
      </c>
      <c r="M99" s="22">
        <v>104059.0</v>
      </c>
      <c r="N99" s="22">
        <v>119443.0</v>
      </c>
      <c r="O99" s="26">
        <v>14.0</v>
      </c>
      <c r="P99" s="26">
        <v>1806.0</v>
      </c>
      <c r="Q99" s="26">
        <v>18.0</v>
      </c>
      <c r="R99" s="26">
        <v>1364.0</v>
      </c>
      <c r="S99" s="26">
        <v>6.0</v>
      </c>
      <c r="T99" s="26">
        <v>266.0</v>
      </c>
      <c r="U99" s="26">
        <v>176.0</v>
      </c>
      <c r="V99" s="26">
        <v>184.0</v>
      </c>
      <c r="W99" s="26">
        <v>34.0</v>
      </c>
      <c r="X99" s="26">
        <v>25.0</v>
      </c>
      <c r="Y99" s="22">
        <v>11.0</v>
      </c>
      <c r="Z99" s="22">
        <v>850.0</v>
      </c>
    </row>
    <row r="100" ht="14.25" customHeight="1">
      <c r="A100" s="25">
        <v>43986.0</v>
      </c>
      <c r="B100" s="22">
        <v>281.0</v>
      </c>
      <c r="C100" s="22">
        <v>271.0</v>
      </c>
      <c r="D100" s="22">
        <v>21343.0</v>
      </c>
      <c r="E100" s="22">
        <v>4542.0</v>
      </c>
      <c r="F100" s="22">
        <v>160001.0</v>
      </c>
      <c r="G100" s="22">
        <v>4823.0</v>
      </c>
      <c r="H100" s="22">
        <v>181344.0</v>
      </c>
      <c r="I100" s="22">
        <v>111.0</v>
      </c>
      <c r="J100" s="22">
        <v>108.0</v>
      </c>
      <c r="K100" s="22">
        <v>15495.0</v>
      </c>
      <c r="L100" s="22">
        <v>2041.0</v>
      </c>
      <c r="M100" s="22">
        <v>106100.0</v>
      </c>
      <c r="N100" s="22">
        <v>121595.0</v>
      </c>
      <c r="O100" s="26">
        <v>7.0</v>
      </c>
      <c r="P100" s="26">
        <v>1813.0</v>
      </c>
      <c r="Q100" s="26">
        <v>25.0</v>
      </c>
      <c r="R100" s="26">
        <v>1389.0</v>
      </c>
      <c r="S100" s="26">
        <v>3.0</v>
      </c>
      <c r="T100" s="26">
        <v>269.0</v>
      </c>
      <c r="U100" s="26">
        <v>155.0</v>
      </c>
      <c r="V100" s="26">
        <v>172.0</v>
      </c>
      <c r="W100" s="26">
        <v>31.0</v>
      </c>
      <c r="X100" s="26">
        <v>24.0</v>
      </c>
      <c r="Y100" s="22">
        <v>11.0</v>
      </c>
      <c r="Z100" s="22">
        <v>861.0</v>
      </c>
    </row>
    <row r="101" ht="14.25" customHeight="1">
      <c r="A101" s="25">
        <v>43987.0</v>
      </c>
      <c r="B101" s="22">
        <v>216.0</v>
      </c>
      <c r="C101" s="22">
        <v>252.0</v>
      </c>
      <c r="D101" s="22">
        <v>21559.0</v>
      </c>
      <c r="E101" s="22">
        <v>3596.0</v>
      </c>
      <c r="F101" s="22">
        <v>163597.0</v>
      </c>
      <c r="G101" s="22">
        <v>3812.0</v>
      </c>
      <c r="H101" s="22">
        <v>185156.0</v>
      </c>
      <c r="I101" s="22">
        <v>106.0</v>
      </c>
      <c r="J101" s="22">
        <v>107.0</v>
      </c>
      <c r="K101" s="22">
        <v>15601.0</v>
      </c>
      <c r="L101" s="22">
        <v>1578.0</v>
      </c>
      <c r="M101" s="22">
        <v>107678.0</v>
      </c>
      <c r="N101" s="22">
        <v>123279.0</v>
      </c>
      <c r="O101" s="26">
        <v>15.0</v>
      </c>
      <c r="P101" s="26">
        <v>1828.0</v>
      </c>
      <c r="Q101" s="26">
        <v>13.0</v>
      </c>
      <c r="R101" s="26">
        <v>1402.0</v>
      </c>
      <c r="S101" s="26">
        <v>6.0</v>
      </c>
      <c r="T101" s="26">
        <v>275.0</v>
      </c>
      <c r="U101" s="26">
        <v>151.0</v>
      </c>
      <c r="V101" s="26">
        <v>161.0</v>
      </c>
      <c r="W101" s="26">
        <v>27.0</v>
      </c>
      <c r="X101" s="26">
        <v>21.0</v>
      </c>
      <c r="Y101" s="22">
        <v>11.0</v>
      </c>
      <c r="Z101" s="22">
        <v>872.0</v>
      </c>
    </row>
    <row r="102" ht="14.25" customHeight="1">
      <c r="A102" s="25">
        <v>43988.0</v>
      </c>
      <c r="B102" s="22">
        <v>203.0</v>
      </c>
      <c r="C102" s="22">
        <v>233.0</v>
      </c>
      <c r="D102" s="22">
        <v>21762.0</v>
      </c>
      <c r="E102" s="22">
        <v>2630.0</v>
      </c>
      <c r="F102" s="22">
        <v>166227.0</v>
      </c>
      <c r="G102" s="22">
        <v>2833.0</v>
      </c>
      <c r="H102" s="22">
        <v>187989.0</v>
      </c>
      <c r="I102" s="22">
        <v>69.0</v>
      </c>
      <c r="J102" s="22">
        <v>95.0</v>
      </c>
      <c r="K102" s="22">
        <v>15670.0</v>
      </c>
      <c r="L102" s="22">
        <v>1136.0</v>
      </c>
      <c r="M102" s="22">
        <v>108814.0</v>
      </c>
      <c r="N102" s="22">
        <v>124484.0</v>
      </c>
      <c r="O102" s="26">
        <v>10.0</v>
      </c>
      <c r="P102" s="26">
        <v>1838.0</v>
      </c>
      <c r="Q102" s="26">
        <v>7.0</v>
      </c>
      <c r="R102" s="26">
        <v>1409.0</v>
      </c>
      <c r="S102" s="26">
        <v>2.0</v>
      </c>
      <c r="T102" s="26">
        <v>277.0</v>
      </c>
      <c r="U102" s="26">
        <v>152.0</v>
      </c>
      <c r="V102" s="26">
        <v>153.0</v>
      </c>
      <c r="W102" s="26">
        <v>29.0</v>
      </c>
      <c r="X102" s="26">
        <v>19.0</v>
      </c>
      <c r="Y102" s="22">
        <v>6.0</v>
      </c>
      <c r="Z102" s="22">
        <v>878.0</v>
      </c>
    </row>
    <row r="103" ht="14.25" customHeight="1">
      <c r="A103" s="25">
        <v>43989.0</v>
      </c>
      <c r="B103" s="22">
        <v>84.0</v>
      </c>
      <c r="C103" s="22">
        <v>168.0</v>
      </c>
      <c r="D103" s="22">
        <v>21846.0</v>
      </c>
      <c r="E103" s="22">
        <v>1632.0</v>
      </c>
      <c r="F103" s="22">
        <v>167859.0</v>
      </c>
      <c r="G103" s="22">
        <v>1716.0</v>
      </c>
      <c r="H103" s="22">
        <v>189705.0</v>
      </c>
      <c r="I103" s="22">
        <v>50.0</v>
      </c>
      <c r="J103" s="22">
        <v>75.0</v>
      </c>
      <c r="K103" s="22">
        <v>15720.0</v>
      </c>
      <c r="L103" s="22">
        <v>782.0</v>
      </c>
      <c r="M103" s="22">
        <v>109596.0</v>
      </c>
      <c r="N103" s="22">
        <v>125316.0</v>
      </c>
      <c r="O103" s="26">
        <v>11.0</v>
      </c>
      <c r="P103" s="26">
        <v>1849.0</v>
      </c>
      <c r="Q103" s="26">
        <v>7.0</v>
      </c>
      <c r="R103" s="26">
        <v>1416.0</v>
      </c>
      <c r="S103" s="26">
        <v>1.0</v>
      </c>
      <c r="T103" s="26">
        <v>278.0</v>
      </c>
      <c r="U103" s="26">
        <v>155.0</v>
      </c>
      <c r="V103" s="26">
        <v>153.0</v>
      </c>
      <c r="W103" s="26">
        <v>25.0</v>
      </c>
      <c r="X103" s="26">
        <v>17.0</v>
      </c>
      <c r="Y103" s="22">
        <v>4.0</v>
      </c>
      <c r="Z103" s="22">
        <v>882.0</v>
      </c>
    </row>
    <row r="104" ht="14.25" customHeight="1">
      <c r="A104" s="27">
        <v>43990.0</v>
      </c>
      <c r="B104" s="28">
        <v>120.0</v>
      </c>
      <c r="C104" s="28">
        <v>136.0</v>
      </c>
      <c r="D104" s="28">
        <v>21966.0</v>
      </c>
      <c r="E104" s="28">
        <v>1854.0</v>
      </c>
      <c r="F104" s="29">
        <v>169713.0</v>
      </c>
      <c r="G104" s="29">
        <v>1974.0</v>
      </c>
      <c r="H104" s="29">
        <v>191679.0</v>
      </c>
      <c r="I104" s="28">
        <v>44.0</v>
      </c>
      <c r="J104" s="28">
        <v>54.0</v>
      </c>
      <c r="K104" s="28">
        <v>15764.0</v>
      </c>
      <c r="L104" s="28">
        <v>962.0</v>
      </c>
      <c r="M104" s="28">
        <v>110558.0</v>
      </c>
      <c r="N104" s="28">
        <v>126322.0</v>
      </c>
      <c r="O104" s="28">
        <v>15.0</v>
      </c>
      <c r="P104" s="30">
        <v>1864.0</v>
      </c>
      <c r="Q104" s="30">
        <v>12.0</v>
      </c>
      <c r="R104" s="30">
        <v>1428.0</v>
      </c>
      <c r="S104" s="30">
        <v>2.0</v>
      </c>
      <c r="T104" s="30">
        <v>280.0</v>
      </c>
      <c r="U104" s="30">
        <v>156.0</v>
      </c>
      <c r="V104" s="30">
        <v>154.0</v>
      </c>
      <c r="W104" s="30">
        <v>27.0</v>
      </c>
      <c r="X104" s="30">
        <v>18.0</v>
      </c>
      <c r="Y104" s="30">
        <v>4.0</v>
      </c>
      <c r="Z104" s="28">
        <v>886.0</v>
      </c>
    </row>
    <row r="105" ht="14.25" customHeight="1">
      <c r="A105" s="27">
        <v>43991.0</v>
      </c>
      <c r="B105" s="28">
        <v>223.0</v>
      </c>
      <c r="C105" s="28">
        <v>142.0</v>
      </c>
      <c r="D105" s="28">
        <v>22189.0</v>
      </c>
      <c r="E105" s="28">
        <v>2685.0</v>
      </c>
      <c r="F105" s="29">
        <v>172398.0</v>
      </c>
      <c r="G105" s="29">
        <v>2908.0</v>
      </c>
      <c r="H105" s="29">
        <v>194587.0</v>
      </c>
      <c r="I105" s="28">
        <v>67.0</v>
      </c>
      <c r="J105" s="28">
        <v>54.0</v>
      </c>
      <c r="K105" s="28">
        <v>15831.0</v>
      </c>
      <c r="L105" s="28">
        <v>1260.0</v>
      </c>
      <c r="M105" s="28">
        <v>111818.0</v>
      </c>
      <c r="N105" s="28">
        <v>127649.0</v>
      </c>
      <c r="O105" s="28">
        <v>10.0</v>
      </c>
      <c r="P105" s="30">
        <v>1874.0</v>
      </c>
      <c r="Q105" s="30">
        <v>18.0</v>
      </c>
      <c r="R105" s="30">
        <v>1446.0</v>
      </c>
      <c r="S105" s="30">
        <v>0.0</v>
      </c>
      <c r="T105" s="30">
        <v>280.0</v>
      </c>
      <c r="U105" s="30">
        <v>148.0</v>
      </c>
      <c r="V105" s="30">
        <v>153.0</v>
      </c>
      <c r="W105" s="30">
        <v>28.0</v>
      </c>
      <c r="X105" s="30">
        <v>21.0</v>
      </c>
      <c r="Y105" s="30">
        <v>1.0</v>
      </c>
      <c r="Z105" s="28">
        <v>887.0</v>
      </c>
    </row>
    <row r="106" ht="14.25" customHeight="1">
      <c r="A106" s="27">
        <v>43992.0</v>
      </c>
      <c r="B106" s="28">
        <v>211.0</v>
      </c>
      <c r="C106" s="28">
        <v>185.0</v>
      </c>
      <c r="D106" s="28">
        <v>22400.0</v>
      </c>
      <c r="E106" s="28">
        <v>3005.0</v>
      </c>
      <c r="F106" s="29">
        <v>175403.0</v>
      </c>
      <c r="G106" s="29">
        <v>3216.0</v>
      </c>
      <c r="H106" s="29">
        <v>197803.0</v>
      </c>
      <c r="I106" s="28">
        <v>105.0</v>
      </c>
      <c r="J106" s="28">
        <v>72.0</v>
      </c>
      <c r="K106" s="28">
        <v>15936.0</v>
      </c>
      <c r="L106" s="28">
        <v>1468.0</v>
      </c>
      <c r="M106" s="28">
        <v>113286.0</v>
      </c>
      <c r="N106" s="28">
        <v>129222.0</v>
      </c>
      <c r="O106" s="28">
        <v>13.0</v>
      </c>
      <c r="P106" s="30">
        <v>1887.0</v>
      </c>
      <c r="Q106" s="30">
        <v>12.0</v>
      </c>
      <c r="R106" s="30">
        <v>1458.0</v>
      </c>
      <c r="S106" s="30">
        <v>2.0</v>
      </c>
      <c r="T106" s="30">
        <v>282.0</v>
      </c>
      <c r="U106" s="30">
        <v>147.0</v>
      </c>
      <c r="V106" s="30">
        <v>150.0</v>
      </c>
      <c r="W106" s="30">
        <v>24.0</v>
      </c>
      <c r="X106" s="30">
        <v>17.0</v>
      </c>
      <c r="Y106" s="30">
        <v>4.0</v>
      </c>
      <c r="Z106" s="28">
        <v>891.0</v>
      </c>
    </row>
    <row r="107" ht="14.25" customHeight="1">
      <c r="A107" s="27">
        <v>43993.0</v>
      </c>
      <c r="B107" s="28">
        <v>195.0</v>
      </c>
      <c r="C107" s="28">
        <v>210.0</v>
      </c>
      <c r="D107" s="28">
        <v>22595.0</v>
      </c>
      <c r="E107" s="28">
        <v>3578.0</v>
      </c>
      <c r="F107" s="29">
        <v>178981.0</v>
      </c>
      <c r="G107" s="29">
        <v>3773.0</v>
      </c>
      <c r="H107" s="29">
        <v>201576.0</v>
      </c>
      <c r="I107" s="28">
        <v>88.0</v>
      </c>
      <c r="J107" s="28">
        <v>87.0</v>
      </c>
      <c r="K107" s="28">
        <v>16024.0</v>
      </c>
      <c r="L107" s="28">
        <v>1537.0</v>
      </c>
      <c r="M107" s="28">
        <v>114823.0</v>
      </c>
      <c r="N107" s="28">
        <v>130847.0</v>
      </c>
      <c r="O107" s="28">
        <v>7.0</v>
      </c>
      <c r="P107" s="30">
        <v>1894.0</v>
      </c>
      <c r="Q107" s="30">
        <v>15.0</v>
      </c>
      <c r="R107" s="30">
        <v>1473.0</v>
      </c>
      <c r="S107" s="30">
        <v>1.0</v>
      </c>
      <c r="T107" s="30">
        <v>283.0</v>
      </c>
      <c r="U107" s="30">
        <v>138.0</v>
      </c>
      <c r="V107" s="30">
        <v>144.0</v>
      </c>
      <c r="W107" s="30">
        <v>25.0</v>
      </c>
      <c r="X107" s="30">
        <v>16.0</v>
      </c>
      <c r="Y107" s="30">
        <v>6.0</v>
      </c>
      <c r="Z107" s="28">
        <v>897.0</v>
      </c>
    </row>
    <row r="108" ht="14.25" customHeight="1">
      <c r="A108" s="27">
        <v>43994.0</v>
      </c>
      <c r="B108" s="28">
        <v>209.0</v>
      </c>
      <c r="C108" s="28">
        <v>205.0</v>
      </c>
      <c r="D108" s="28">
        <v>22804.0</v>
      </c>
      <c r="E108" s="28">
        <v>4618.0</v>
      </c>
      <c r="F108" s="29">
        <v>183599.0</v>
      </c>
      <c r="G108" s="29">
        <v>4827.0</v>
      </c>
      <c r="H108" s="29">
        <v>206403.0</v>
      </c>
      <c r="I108" s="28">
        <v>82.0</v>
      </c>
      <c r="J108" s="28">
        <v>92.0</v>
      </c>
      <c r="K108" s="28">
        <v>16106.0</v>
      </c>
      <c r="L108" s="28">
        <v>2187.0</v>
      </c>
      <c r="M108" s="28">
        <v>117010.0</v>
      </c>
      <c r="N108" s="28">
        <v>133116.0</v>
      </c>
      <c r="O108" s="28">
        <v>9.0</v>
      </c>
      <c r="P108" s="30">
        <v>1903.0</v>
      </c>
      <c r="Q108" s="30">
        <v>15.0</v>
      </c>
      <c r="R108" s="30">
        <v>1488.0</v>
      </c>
      <c r="S108" s="30">
        <v>1.0</v>
      </c>
      <c r="T108" s="30">
        <v>284.0</v>
      </c>
      <c r="U108" s="30">
        <v>131.0</v>
      </c>
      <c r="V108" s="30">
        <v>139.0</v>
      </c>
      <c r="W108" s="30">
        <v>24.0</v>
      </c>
      <c r="X108" s="30">
        <v>16.0</v>
      </c>
      <c r="Y108" s="30">
        <v>2.0</v>
      </c>
      <c r="Z108" s="28">
        <v>899.0</v>
      </c>
    </row>
    <row r="109" ht="14.25" customHeight="1">
      <c r="A109" s="27">
        <v>43995.0</v>
      </c>
      <c r="B109" s="28">
        <v>114.0</v>
      </c>
      <c r="C109" s="28">
        <v>173.0</v>
      </c>
      <c r="D109" s="28">
        <v>22918.0</v>
      </c>
      <c r="E109" s="28">
        <v>3048.0</v>
      </c>
      <c r="F109" s="29">
        <v>186647.0</v>
      </c>
      <c r="G109" s="29">
        <v>3162.0</v>
      </c>
      <c r="H109" s="29">
        <v>209565.0</v>
      </c>
      <c r="I109" s="28">
        <v>50.0</v>
      </c>
      <c r="J109" s="28">
        <v>73.0</v>
      </c>
      <c r="K109" s="28">
        <v>16156.0</v>
      </c>
      <c r="L109" s="28">
        <v>1373.0</v>
      </c>
      <c r="M109" s="28">
        <v>118383.0</v>
      </c>
      <c r="N109" s="28">
        <v>134539.0</v>
      </c>
      <c r="O109" s="28">
        <v>6.0</v>
      </c>
      <c r="P109" s="30">
        <v>1909.0</v>
      </c>
      <c r="Q109" s="30">
        <v>4.0</v>
      </c>
      <c r="R109" s="30">
        <v>1492.0</v>
      </c>
      <c r="S109" s="30">
        <v>0.0</v>
      </c>
      <c r="T109" s="30">
        <v>284.0</v>
      </c>
      <c r="U109" s="30">
        <v>133.0</v>
      </c>
      <c r="V109" s="30">
        <v>134.0</v>
      </c>
      <c r="W109" s="30">
        <v>20.0</v>
      </c>
      <c r="X109" s="30">
        <v>15.0</v>
      </c>
      <c r="Y109" s="30">
        <v>3.0</v>
      </c>
      <c r="Z109" s="28">
        <v>902.0</v>
      </c>
    </row>
    <row r="110" ht="14.25" customHeight="1">
      <c r="A110" s="27">
        <v>43996.0</v>
      </c>
      <c r="B110" s="28">
        <v>83.0</v>
      </c>
      <c r="C110" s="28">
        <v>135.0</v>
      </c>
      <c r="D110" s="28">
        <v>23001.0</v>
      </c>
      <c r="E110" s="28">
        <v>2053.0</v>
      </c>
      <c r="F110" s="29">
        <v>188700.0</v>
      </c>
      <c r="G110" s="29">
        <v>2136.0</v>
      </c>
      <c r="H110" s="29">
        <v>211701.0</v>
      </c>
      <c r="I110" s="28">
        <v>33.0</v>
      </c>
      <c r="J110" s="28">
        <v>55.0</v>
      </c>
      <c r="K110" s="28">
        <v>16189.0</v>
      </c>
      <c r="L110" s="28">
        <v>969.0</v>
      </c>
      <c r="M110" s="28">
        <v>119352.0</v>
      </c>
      <c r="N110" s="28">
        <v>135541.0</v>
      </c>
      <c r="O110" s="28">
        <v>7.0</v>
      </c>
      <c r="P110" s="30">
        <v>1916.0</v>
      </c>
      <c r="Q110" s="30">
        <v>8.0</v>
      </c>
      <c r="R110" s="30">
        <v>1500.0</v>
      </c>
      <c r="S110" s="30">
        <v>1.0</v>
      </c>
      <c r="T110" s="30">
        <v>285.0</v>
      </c>
      <c r="U110" s="30">
        <v>131.0</v>
      </c>
      <c r="V110" s="30">
        <v>132.0</v>
      </c>
      <c r="W110" s="30">
        <v>20.0</v>
      </c>
      <c r="X110" s="30">
        <v>14.0</v>
      </c>
      <c r="Y110" s="30">
        <v>3.0</v>
      </c>
      <c r="Z110" s="28">
        <v>905.0</v>
      </c>
    </row>
    <row r="111" ht="14.25" customHeight="1">
      <c r="A111" s="27">
        <v>43997.0</v>
      </c>
      <c r="B111" s="28">
        <v>189.0</v>
      </c>
      <c r="C111" s="28">
        <v>129.0</v>
      </c>
      <c r="D111" s="28">
        <v>23190.0</v>
      </c>
      <c r="E111" s="28">
        <v>3117.0</v>
      </c>
      <c r="F111" s="29">
        <v>191817.0</v>
      </c>
      <c r="G111" s="29">
        <v>3306.0</v>
      </c>
      <c r="H111" s="29">
        <v>215007.0</v>
      </c>
      <c r="I111" s="28">
        <v>78.0</v>
      </c>
      <c r="J111" s="28">
        <v>54.0</v>
      </c>
      <c r="K111" s="28">
        <v>16267.0</v>
      </c>
      <c r="L111" s="28">
        <v>1793.0</v>
      </c>
      <c r="M111" s="28">
        <v>121145.0</v>
      </c>
      <c r="N111" s="28">
        <v>137412.0</v>
      </c>
      <c r="O111" s="28">
        <v>14.0</v>
      </c>
      <c r="P111" s="30">
        <v>1930.0</v>
      </c>
      <c r="Q111" s="30">
        <v>14.0</v>
      </c>
      <c r="R111" s="30">
        <v>1514.0</v>
      </c>
      <c r="S111" s="30">
        <v>0.0</v>
      </c>
      <c r="T111" s="30">
        <v>285.0</v>
      </c>
      <c r="U111" s="30">
        <v>131.0</v>
      </c>
      <c r="V111" s="30">
        <v>132.0</v>
      </c>
      <c r="W111" s="30">
        <v>20.0</v>
      </c>
      <c r="X111" s="30">
        <v>16.0</v>
      </c>
      <c r="Y111" s="30">
        <v>5.0</v>
      </c>
      <c r="Z111" s="28">
        <v>910.0</v>
      </c>
    </row>
    <row r="112" ht="14.25" customHeight="1">
      <c r="A112" s="27">
        <v>43998.0</v>
      </c>
      <c r="B112" s="28">
        <v>112.0</v>
      </c>
      <c r="C112" s="28">
        <v>128.0</v>
      </c>
      <c r="D112" s="28">
        <v>23302.0</v>
      </c>
      <c r="E112" s="28">
        <v>3041.0</v>
      </c>
      <c r="F112" s="29">
        <v>194858.0</v>
      </c>
      <c r="G112" s="29">
        <v>3153.0</v>
      </c>
      <c r="H112" s="29">
        <v>218160.0</v>
      </c>
      <c r="I112" s="28">
        <v>52.0</v>
      </c>
      <c r="J112" s="28">
        <v>54.0</v>
      </c>
      <c r="K112" s="28">
        <v>16319.0</v>
      </c>
      <c r="L112" s="28">
        <v>1579.0</v>
      </c>
      <c r="M112" s="28">
        <v>122724.0</v>
      </c>
      <c r="N112" s="28">
        <v>139043.0</v>
      </c>
      <c r="O112" s="28">
        <v>10.0</v>
      </c>
      <c r="P112" s="30">
        <v>1940.0</v>
      </c>
      <c r="Q112" s="30">
        <v>9.0</v>
      </c>
      <c r="R112" s="30">
        <v>1523.0</v>
      </c>
      <c r="S112" s="30">
        <v>1.0</v>
      </c>
      <c r="T112" s="30">
        <v>286.0</v>
      </c>
      <c r="U112" s="30">
        <v>131.0</v>
      </c>
      <c r="V112" s="30">
        <v>131.0</v>
      </c>
      <c r="W112" s="30">
        <v>22.0</v>
      </c>
      <c r="X112" s="30">
        <v>16.0</v>
      </c>
      <c r="Y112" s="30">
        <v>8.0</v>
      </c>
      <c r="Z112" s="28">
        <v>918.0</v>
      </c>
    </row>
    <row r="113" ht="14.25" customHeight="1">
      <c r="A113" s="27">
        <v>43999.0</v>
      </c>
      <c r="B113" s="28">
        <v>128.0</v>
      </c>
      <c r="C113" s="28">
        <v>143.0</v>
      </c>
      <c r="D113" s="28">
        <v>23430.0</v>
      </c>
      <c r="E113" s="28">
        <v>2848.0</v>
      </c>
      <c r="F113" s="29">
        <v>197706.0</v>
      </c>
      <c r="G113" s="29">
        <v>2976.0</v>
      </c>
      <c r="H113" s="29">
        <v>221136.0</v>
      </c>
      <c r="I113" s="28">
        <v>53.0</v>
      </c>
      <c r="J113" s="28">
        <v>61.0</v>
      </c>
      <c r="K113" s="28">
        <v>16372.0</v>
      </c>
      <c r="L113" s="28">
        <v>1320.0</v>
      </c>
      <c r="M113" s="28">
        <v>124044.0</v>
      </c>
      <c r="N113" s="28">
        <v>140416.0</v>
      </c>
      <c r="O113" s="28">
        <v>15.0</v>
      </c>
      <c r="P113" s="30">
        <v>1955.0</v>
      </c>
      <c r="Q113" s="30">
        <v>20.0</v>
      </c>
      <c r="R113" s="30">
        <v>1543.0</v>
      </c>
      <c r="S113" s="30">
        <v>4.0</v>
      </c>
      <c r="T113" s="30">
        <v>290.0</v>
      </c>
      <c r="U113" s="30">
        <v>122.0</v>
      </c>
      <c r="V113" s="30">
        <v>128.0</v>
      </c>
      <c r="W113" s="30">
        <v>18.0</v>
      </c>
      <c r="X113" s="30">
        <v>14.0</v>
      </c>
      <c r="Y113" s="30">
        <v>6.0</v>
      </c>
      <c r="Z113" s="28">
        <v>924.0</v>
      </c>
    </row>
    <row r="114" ht="14.25" customHeight="1">
      <c r="A114" s="27">
        <v>44000.0</v>
      </c>
      <c r="B114" s="28">
        <v>149.0</v>
      </c>
      <c r="C114" s="28">
        <v>130.0</v>
      </c>
      <c r="D114" s="28">
        <v>23579.0</v>
      </c>
      <c r="E114" s="28">
        <v>3059.0</v>
      </c>
      <c r="F114" s="29">
        <v>200765.0</v>
      </c>
      <c r="G114" s="29">
        <v>3208.0</v>
      </c>
      <c r="H114" s="29">
        <v>224344.0</v>
      </c>
      <c r="I114" s="28">
        <v>70.0</v>
      </c>
      <c r="J114" s="28">
        <v>58.0</v>
      </c>
      <c r="K114" s="28">
        <v>16442.0</v>
      </c>
      <c r="L114" s="28">
        <v>1319.0</v>
      </c>
      <c r="M114" s="28">
        <v>125363.0</v>
      </c>
      <c r="N114" s="28">
        <v>141805.0</v>
      </c>
      <c r="O114" s="28">
        <v>9.0</v>
      </c>
      <c r="P114" s="30">
        <v>1964.0</v>
      </c>
      <c r="Q114" s="30">
        <v>13.0</v>
      </c>
      <c r="R114" s="30">
        <v>1556.0</v>
      </c>
      <c r="S114" s="30">
        <v>1.0</v>
      </c>
      <c r="T114" s="30">
        <v>291.0</v>
      </c>
      <c r="U114" s="30">
        <v>117.0</v>
      </c>
      <c r="V114" s="30">
        <v>123.0</v>
      </c>
      <c r="W114" s="30">
        <v>19.0</v>
      </c>
      <c r="X114" s="30">
        <v>16.0</v>
      </c>
      <c r="Y114" s="30">
        <v>7.0</v>
      </c>
      <c r="Z114" s="28">
        <v>931.0</v>
      </c>
    </row>
    <row r="115" ht="14.25" customHeight="1">
      <c r="A115" s="27">
        <v>44001.0</v>
      </c>
      <c r="B115" s="28">
        <v>142.0</v>
      </c>
      <c r="C115" s="28">
        <v>140.0</v>
      </c>
      <c r="D115" s="28">
        <v>23721.0</v>
      </c>
      <c r="E115" s="28">
        <v>3776.0</v>
      </c>
      <c r="F115" s="29">
        <v>204541.0</v>
      </c>
      <c r="G115" s="29">
        <v>3918.0</v>
      </c>
      <c r="H115" s="29">
        <v>228262.0</v>
      </c>
      <c r="I115" s="28">
        <v>59.0</v>
      </c>
      <c r="J115" s="28">
        <v>61.0</v>
      </c>
      <c r="K115" s="28">
        <v>16501.0</v>
      </c>
      <c r="L115" s="28">
        <v>1372.0</v>
      </c>
      <c r="M115" s="28">
        <v>126735.0</v>
      </c>
      <c r="N115" s="28">
        <v>143236.0</v>
      </c>
      <c r="O115" s="28">
        <v>12.0</v>
      </c>
      <c r="P115" s="30">
        <v>1976.0</v>
      </c>
      <c r="Q115" s="30">
        <v>11.0</v>
      </c>
      <c r="R115" s="30">
        <v>1567.0</v>
      </c>
      <c r="S115" s="30">
        <v>1.0</v>
      </c>
      <c r="T115" s="30">
        <v>292.0</v>
      </c>
      <c r="U115" s="30">
        <v>117.0</v>
      </c>
      <c r="V115" s="30">
        <v>119.0</v>
      </c>
      <c r="W115" s="30">
        <v>20.0</v>
      </c>
      <c r="X115" s="30">
        <v>17.0</v>
      </c>
      <c r="Y115" s="30">
        <v>3.0</v>
      </c>
      <c r="Z115" s="28">
        <v>934.0</v>
      </c>
    </row>
    <row r="116" ht="14.25" customHeight="1">
      <c r="A116" s="27">
        <v>44002.0</v>
      </c>
      <c r="B116" s="28">
        <v>84.0</v>
      </c>
      <c r="C116" s="28">
        <v>125.0</v>
      </c>
      <c r="D116" s="28">
        <v>23805.0</v>
      </c>
      <c r="E116" s="28">
        <v>1898.0</v>
      </c>
      <c r="F116" s="29">
        <v>206439.0</v>
      </c>
      <c r="G116" s="29">
        <v>1982.0</v>
      </c>
      <c r="H116" s="29">
        <v>230244.0</v>
      </c>
      <c r="I116" s="28">
        <v>36.0</v>
      </c>
      <c r="J116" s="28">
        <v>55.0</v>
      </c>
      <c r="K116" s="28">
        <v>16537.0</v>
      </c>
      <c r="L116" s="28">
        <v>814.0</v>
      </c>
      <c r="M116" s="28">
        <v>127549.0</v>
      </c>
      <c r="N116" s="28">
        <v>144086.0</v>
      </c>
      <c r="O116" s="28">
        <v>9.0</v>
      </c>
      <c r="P116" s="30">
        <v>1985.0</v>
      </c>
      <c r="Q116" s="30">
        <v>12.0</v>
      </c>
      <c r="R116" s="30">
        <v>1579.0</v>
      </c>
      <c r="S116" s="30">
        <v>0.0</v>
      </c>
      <c r="T116" s="30">
        <v>292.0</v>
      </c>
      <c r="U116" s="30">
        <v>114.0</v>
      </c>
      <c r="V116" s="30">
        <v>116.0</v>
      </c>
      <c r="W116" s="30">
        <v>20.0</v>
      </c>
      <c r="X116" s="30">
        <v>18.0</v>
      </c>
      <c r="Y116" s="30">
        <v>4.0</v>
      </c>
      <c r="Z116" s="28">
        <v>938.0</v>
      </c>
    </row>
    <row r="117" ht="14.25" customHeight="1">
      <c r="A117" s="27">
        <v>44003.0</v>
      </c>
      <c r="B117" s="28">
        <v>37.0</v>
      </c>
      <c r="C117" s="28">
        <v>88.0</v>
      </c>
      <c r="D117" s="28">
        <v>23842.0</v>
      </c>
      <c r="E117" s="28">
        <v>1071.0</v>
      </c>
      <c r="F117" s="29">
        <v>207510.0</v>
      </c>
      <c r="G117" s="29">
        <v>1108.0</v>
      </c>
      <c r="H117" s="29">
        <v>231352.0</v>
      </c>
      <c r="I117" s="28">
        <v>28.0</v>
      </c>
      <c r="J117" s="28">
        <v>41.0</v>
      </c>
      <c r="K117" s="28">
        <v>16565.0</v>
      </c>
      <c r="L117" s="28">
        <v>692.0</v>
      </c>
      <c r="M117" s="28">
        <v>128241.0</v>
      </c>
      <c r="N117" s="28">
        <v>144806.0</v>
      </c>
      <c r="O117" s="28">
        <v>8.0</v>
      </c>
      <c r="P117" s="30">
        <v>1993.0</v>
      </c>
      <c r="Q117" s="30">
        <v>5.0</v>
      </c>
      <c r="R117" s="30">
        <v>1584.0</v>
      </c>
      <c r="S117" s="30">
        <v>0.0</v>
      </c>
      <c r="T117" s="30">
        <v>292.0</v>
      </c>
      <c r="U117" s="30">
        <v>117.0</v>
      </c>
      <c r="V117" s="30">
        <v>116.0</v>
      </c>
      <c r="W117" s="30">
        <v>20.0</v>
      </c>
      <c r="X117" s="30">
        <v>18.0</v>
      </c>
      <c r="Y117" s="30">
        <v>2.0</v>
      </c>
      <c r="Z117" s="28">
        <v>940.0</v>
      </c>
    </row>
    <row r="118" ht="14.25" customHeight="1">
      <c r="A118" s="27">
        <v>44004.0</v>
      </c>
      <c r="B118" s="28">
        <v>138.0</v>
      </c>
      <c r="C118" s="28">
        <v>86.0</v>
      </c>
      <c r="D118" s="28">
        <v>23980.0</v>
      </c>
      <c r="E118" s="28">
        <v>3739.0</v>
      </c>
      <c r="F118" s="29">
        <v>211249.0</v>
      </c>
      <c r="G118" s="29">
        <v>3877.0</v>
      </c>
      <c r="H118" s="29">
        <v>235229.0</v>
      </c>
      <c r="I118" s="28">
        <v>69.0</v>
      </c>
      <c r="J118" s="28">
        <v>44.0</v>
      </c>
      <c r="K118" s="28">
        <v>16634.0</v>
      </c>
      <c r="L118" s="28">
        <v>1710.0</v>
      </c>
      <c r="M118" s="28">
        <v>129951.0</v>
      </c>
      <c r="N118" s="28">
        <v>146585.0</v>
      </c>
      <c r="O118" s="28">
        <v>12.0</v>
      </c>
      <c r="P118" s="30">
        <v>2005.0</v>
      </c>
      <c r="Q118" s="30">
        <v>16.0</v>
      </c>
      <c r="R118" s="30">
        <v>1600.0</v>
      </c>
      <c r="S118" s="30">
        <v>0.0</v>
      </c>
      <c r="T118" s="30">
        <v>292.0</v>
      </c>
      <c r="U118" s="30">
        <v>113.0</v>
      </c>
      <c r="V118" s="30">
        <v>115.0</v>
      </c>
      <c r="W118" s="30">
        <v>19.0</v>
      </c>
      <c r="X118" s="30">
        <v>18.0</v>
      </c>
      <c r="Y118" s="30">
        <v>1.0</v>
      </c>
      <c r="Z118" s="28">
        <v>941.0</v>
      </c>
    </row>
    <row r="119" ht="14.25" customHeight="1">
      <c r="A119" s="27">
        <v>44005.0</v>
      </c>
      <c r="B119" s="28">
        <v>164.0</v>
      </c>
      <c r="C119" s="28">
        <v>113.0</v>
      </c>
      <c r="D119" s="28">
        <v>24144.0</v>
      </c>
      <c r="E119" s="28">
        <v>3864.0</v>
      </c>
      <c r="F119" s="29">
        <v>215113.0</v>
      </c>
      <c r="G119" s="29">
        <v>4028.0</v>
      </c>
      <c r="H119" s="29">
        <v>239257.0</v>
      </c>
      <c r="I119" s="28">
        <v>83.0</v>
      </c>
      <c r="J119" s="28">
        <v>60.0</v>
      </c>
      <c r="K119" s="28">
        <v>16717.0</v>
      </c>
      <c r="L119" s="28">
        <v>1785.0</v>
      </c>
      <c r="M119" s="28">
        <v>131736.0</v>
      </c>
      <c r="N119" s="28">
        <v>148453.0</v>
      </c>
      <c r="O119" s="28">
        <v>3.0</v>
      </c>
      <c r="P119" s="30">
        <v>2008.0</v>
      </c>
      <c r="Q119" s="30">
        <v>13.0</v>
      </c>
      <c r="R119" s="30">
        <v>1613.0</v>
      </c>
      <c r="S119" s="30">
        <v>3.0</v>
      </c>
      <c r="T119" s="30">
        <v>295.0</v>
      </c>
      <c r="U119" s="30">
        <v>100.0</v>
      </c>
      <c r="V119" s="30">
        <v>110.0</v>
      </c>
      <c r="W119" s="30">
        <v>18.0</v>
      </c>
      <c r="X119" s="30">
        <v>18.0</v>
      </c>
      <c r="Y119" s="30">
        <v>7.0</v>
      </c>
      <c r="Z119" s="28">
        <v>948.0</v>
      </c>
    </row>
    <row r="120" ht="14.25" customHeight="1">
      <c r="A120" s="27">
        <v>44006.0</v>
      </c>
      <c r="B120" s="28">
        <v>120.0</v>
      </c>
      <c r="C120" s="28">
        <v>141.0</v>
      </c>
      <c r="D120" s="28">
        <v>24264.0</v>
      </c>
      <c r="E120" s="28">
        <v>3521.0</v>
      </c>
      <c r="F120" s="29">
        <v>218634.0</v>
      </c>
      <c r="G120" s="29">
        <v>3641.0</v>
      </c>
      <c r="H120" s="29">
        <v>242898.0</v>
      </c>
      <c r="I120" s="28">
        <v>46.0</v>
      </c>
      <c r="J120" s="28">
        <v>66.0</v>
      </c>
      <c r="K120" s="28">
        <v>16763.0</v>
      </c>
      <c r="L120" s="28">
        <v>1687.0</v>
      </c>
      <c r="M120" s="28">
        <v>133423.0</v>
      </c>
      <c r="N120" s="28">
        <v>150186.0</v>
      </c>
      <c r="O120" s="28">
        <v>9.0</v>
      </c>
      <c r="P120" s="30">
        <v>2017.0</v>
      </c>
      <c r="Q120" s="30">
        <v>10.0</v>
      </c>
      <c r="R120" s="30">
        <v>1623.0</v>
      </c>
      <c r="S120" s="30">
        <v>1.0</v>
      </c>
      <c r="T120" s="30">
        <v>296.0</v>
      </c>
      <c r="U120" s="30">
        <v>98.0</v>
      </c>
      <c r="V120" s="30">
        <v>104.0</v>
      </c>
      <c r="W120" s="30">
        <v>18.0</v>
      </c>
      <c r="X120" s="30">
        <v>18.0</v>
      </c>
      <c r="Y120" s="30">
        <v>5.0</v>
      </c>
      <c r="Z120" s="28">
        <v>953.0</v>
      </c>
    </row>
    <row r="121" ht="14.25" customHeight="1">
      <c r="A121" s="27">
        <v>44007.0</v>
      </c>
      <c r="B121" s="28">
        <v>103.0</v>
      </c>
      <c r="C121" s="28">
        <v>129.0</v>
      </c>
      <c r="D121" s="28">
        <v>24367.0</v>
      </c>
      <c r="E121" s="28">
        <v>2909.0</v>
      </c>
      <c r="F121" s="29">
        <v>221543.0</v>
      </c>
      <c r="G121" s="29">
        <v>3012.0</v>
      </c>
      <c r="H121" s="29">
        <v>245910.0</v>
      </c>
      <c r="I121" s="28">
        <v>54.0</v>
      </c>
      <c r="J121" s="28">
        <v>61.0</v>
      </c>
      <c r="K121" s="28">
        <v>16817.0</v>
      </c>
      <c r="L121" s="28">
        <v>1516.0</v>
      </c>
      <c r="M121" s="28">
        <v>134939.0</v>
      </c>
      <c r="N121" s="28">
        <v>151756.0</v>
      </c>
      <c r="O121" s="28">
        <v>6.0</v>
      </c>
      <c r="P121" s="30">
        <v>2023.0</v>
      </c>
      <c r="Q121" s="30">
        <v>14.0</v>
      </c>
      <c r="R121" s="30">
        <v>1637.0</v>
      </c>
      <c r="S121" s="30">
        <v>1.0</v>
      </c>
      <c r="T121" s="30">
        <v>297.0</v>
      </c>
      <c r="U121" s="30">
        <v>89.0</v>
      </c>
      <c r="V121" s="30">
        <v>96.0</v>
      </c>
      <c r="W121" s="30">
        <v>17.0</v>
      </c>
      <c r="X121" s="30">
        <v>17.0</v>
      </c>
      <c r="Y121" s="30">
        <v>1.0</v>
      </c>
      <c r="Z121" s="28">
        <v>954.0</v>
      </c>
    </row>
    <row r="122" ht="14.25" customHeight="1">
      <c r="A122" s="27">
        <v>44008.0</v>
      </c>
      <c r="B122" s="28">
        <v>94.0</v>
      </c>
      <c r="C122" s="28">
        <v>106.0</v>
      </c>
      <c r="D122" s="28">
        <v>24461.0</v>
      </c>
      <c r="E122" s="28">
        <v>2506.0</v>
      </c>
      <c r="F122" s="29">
        <v>224049.0</v>
      </c>
      <c r="G122" s="29">
        <v>2600.0</v>
      </c>
      <c r="H122" s="29">
        <v>248510.0</v>
      </c>
      <c r="I122" s="28">
        <v>63.0</v>
      </c>
      <c r="J122" s="28">
        <v>54.0</v>
      </c>
      <c r="K122" s="28">
        <v>16880.0</v>
      </c>
      <c r="L122" s="28">
        <v>1332.0</v>
      </c>
      <c r="M122" s="28">
        <v>136271.0</v>
      </c>
      <c r="N122" s="28">
        <v>153151.0</v>
      </c>
      <c r="O122" s="28">
        <v>2.0</v>
      </c>
      <c r="P122" s="30">
        <v>2025.0</v>
      </c>
      <c r="Q122" s="30">
        <v>10.0</v>
      </c>
      <c r="R122" s="30">
        <v>1647.0</v>
      </c>
      <c r="S122" s="30">
        <v>0.0</v>
      </c>
      <c r="T122" s="30">
        <v>297.0</v>
      </c>
      <c r="U122" s="30">
        <v>81.0</v>
      </c>
      <c r="V122" s="30">
        <v>89.0</v>
      </c>
      <c r="W122" s="30">
        <v>18.0</v>
      </c>
      <c r="X122" s="30">
        <v>18.0</v>
      </c>
      <c r="Y122" s="30">
        <v>1.0</v>
      </c>
      <c r="Z122" s="28">
        <v>955.0</v>
      </c>
    </row>
    <row r="123" ht="14.25" customHeight="1">
      <c r="A123" s="27">
        <v>44009.0</v>
      </c>
      <c r="B123" s="28">
        <v>84.0</v>
      </c>
      <c r="C123" s="28">
        <v>94.0</v>
      </c>
      <c r="D123" s="28">
        <v>24545.0</v>
      </c>
      <c r="E123" s="28">
        <v>3231.0</v>
      </c>
      <c r="F123" s="29">
        <v>227280.0</v>
      </c>
      <c r="G123" s="29">
        <v>3315.0</v>
      </c>
      <c r="H123" s="29">
        <v>251825.0</v>
      </c>
      <c r="I123" s="28">
        <v>37.0</v>
      </c>
      <c r="J123" s="28">
        <v>51.0</v>
      </c>
      <c r="K123" s="28">
        <v>16917.0</v>
      </c>
      <c r="L123" s="28">
        <v>1221.0</v>
      </c>
      <c r="M123" s="28">
        <v>137492.0</v>
      </c>
      <c r="N123" s="28">
        <v>154409.0</v>
      </c>
      <c r="O123" s="28">
        <v>5.0</v>
      </c>
      <c r="P123" s="30">
        <v>2030.0</v>
      </c>
      <c r="Q123" s="30">
        <v>3.0</v>
      </c>
      <c r="R123" s="30">
        <v>1650.0</v>
      </c>
      <c r="S123" s="30">
        <v>1.0</v>
      </c>
      <c r="T123" s="30">
        <v>298.0</v>
      </c>
      <c r="U123" s="30">
        <v>82.0</v>
      </c>
      <c r="V123" s="30">
        <v>84.0</v>
      </c>
      <c r="W123" s="30">
        <v>17.0</v>
      </c>
      <c r="X123" s="30">
        <v>17.0</v>
      </c>
      <c r="Y123" s="30">
        <v>5.0</v>
      </c>
      <c r="Z123" s="28">
        <v>960.0</v>
      </c>
    </row>
    <row r="124" ht="14.25" customHeight="1">
      <c r="A124" s="27">
        <v>44010.0</v>
      </c>
      <c r="B124" s="28">
        <v>40.0</v>
      </c>
      <c r="C124" s="28">
        <v>73.0</v>
      </c>
      <c r="D124" s="28">
        <v>24585.0</v>
      </c>
      <c r="E124" s="28">
        <v>1474.0</v>
      </c>
      <c r="F124" s="29">
        <v>228754.0</v>
      </c>
      <c r="G124" s="29">
        <v>1514.0</v>
      </c>
      <c r="H124" s="29">
        <v>253339.0</v>
      </c>
      <c r="I124" s="28">
        <v>19.0</v>
      </c>
      <c r="J124" s="28">
        <v>40.0</v>
      </c>
      <c r="K124" s="28">
        <v>16936.0</v>
      </c>
      <c r="L124" s="28">
        <v>596.0</v>
      </c>
      <c r="M124" s="28">
        <v>138088.0</v>
      </c>
      <c r="N124" s="28">
        <v>155024.0</v>
      </c>
      <c r="O124" s="28">
        <v>4.0</v>
      </c>
      <c r="P124" s="30">
        <v>2034.0</v>
      </c>
      <c r="Q124" s="30">
        <v>4.0</v>
      </c>
      <c r="R124" s="30">
        <v>1654.0</v>
      </c>
      <c r="S124" s="30">
        <v>4.0</v>
      </c>
      <c r="T124" s="30">
        <v>302.0</v>
      </c>
      <c r="U124" s="30">
        <v>78.0</v>
      </c>
      <c r="V124" s="30">
        <v>80.0</v>
      </c>
      <c r="W124" s="30">
        <v>15.0</v>
      </c>
      <c r="X124" s="30">
        <v>14.0</v>
      </c>
      <c r="Y124" s="30">
        <v>6.0</v>
      </c>
      <c r="Z124" s="28">
        <v>966.0</v>
      </c>
    </row>
    <row r="125" ht="14.25" customHeight="1">
      <c r="A125" s="27">
        <v>44011.0</v>
      </c>
      <c r="B125" s="28">
        <v>85.0</v>
      </c>
      <c r="C125" s="28">
        <v>70.0</v>
      </c>
      <c r="D125" s="28">
        <v>24670.0</v>
      </c>
      <c r="E125" s="28">
        <v>3706.0</v>
      </c>
      <c r="F125" s="29">
        <v>232460.0</v>
      </c>
      <c r="G125" s="29">
        <v>3791.0</v>
      </c>
      <c r="H125" s="29">
        <v>257130.0</v>
      </c>
      <c r="I125" s="28">
        <v>39.0</v>
      </c>
      <c r="J125" s="28">
        <v>32.0</v>
      </c>
      <c r="K125" s="28">
        <v>16975.0</v>
      </c>
      <c r="L125" s="28">
        <v>1355.0</v>
      </c>
      <c r="M125" s="28">
        <v>139443.0</v>
      </c>
      <c r="N125" s="28">
        <v>156418.0</v>
      </c>
      <c r="O125" s="28">
        <v>4.0</v>
      </c>
      <c r="P125" s="30">
        <v>2038.0</v>
      </c>
      <c r="Q125" s="30">
        <v>5.0</v>
      </c>
      <c r="R125" s="30">
        <v>1659.0</v>
      </c>
      <c r="S125" s="30">
        <v>0.0</v>
      </c>
      <c r="T125" s="30">
        <v>302.0</v>
      </c>
      <c r="U125" s="30">
        <v>77.0</v>
      </c>
      <c r="V125" s="30">
        <v>79.0</v>
      </c>
      <c r="W125" s="30">
        <v>14.0</v>
      </c>
      <c r="X125" s="30">
        <v>14.0</v>
      </c>
      <c r="Y125" s="30">
        <v>1.0</v>
      </c>
      <c r="Z125" s="28">
        <v>967.0</v>
      </c>
    </row>
    <row r="126" ht="14.25" customHeight="1">
      <c r="A126" s="27">
        <v>44012.0</v>
      </c>
      <c r="B126" s="28">
        <v>59.0</v>
      </c>
      <c r="C126" s="28">
        <v>61.0</v>
      </c>
      <c r="D126" s="28">
        <v>24729.0</v>
      </c>
      <c r="E126" s="28">
        <v>1966.0</v>
      </c>
      <c r="F126" s="29">
        <v>234426.0</v>
      </c>
      <c r="G126" s="29">
        <v>2025.0</v>
      </c>
      <c r="H126" s="29">
        <v>259155.0</v>
      </c>
      <c r="I126" s="28">
        <v>33.0</v>
      </c>
      <c r="J126" s="28">
        <v>30.0</v>
      </c>
      <c r="K126" s="28">
        <v>17008.0</v>
      </c>
      <c r="L126" s="28">
        <v>996.0</v>
      </c>
      <c r="M126" s="28">
        <v>140439.0</v>
      </c>
      <c r="N126" s="28">
        <v>157447.0</v>
      </c>
      <c r="O126" s="28">
        <v>1.0</v>
      </c>
      <c r="P126" s="30">
        <v>2039.0</v>
      </c>
      <c r="Q126" s="30">
        <v>5.0</v>
      </c>
      <c r="R126" s="30">
        <v>1664.0</v>
      </c>
      <c r="S126" s="30">
        <v>1.0</v>
      </c>
      <c r="T126" s="30">
        <v>303.0</v>
      </c>
      <c r="U126" s="30">
        <v>72.0</v>
      </c>
      <c r="V126" s="30">
        <v>76.0</v>
      </c>
      <c r="W126" s="30">
        <v>12.0</v>
      </c>
      <c r="X126" s="30">
        <v>11.0</v>
      </c>
      <c r="Y126" s="30">
        <v>4.0</v>
      </c>
      <c r="Z126" s="28">
        <v>971.0</v>
      </c>
    </row>
    <row r="127" ht="14.25" customHeight="1">
      <c r="A127" s="27">
        <v>44013.0</v>
      </c>
      <c r="B127" s="28">
        <v>145.0</v>
      </c>
      <c r="C127" s="28">
        <v>96.0</v>
      </c>
      <c r="D127" s="28">
        <v>24874.0</v>
      </c>
      <c r="E127" s="28">
        <v>4113.0</v>
      </c>
      <c r="F127" s="29">
        <v>238539.0</v>
      </c>
      <c r="G127" s="29">
        <v>4258.0</v>
      </c>
      <c r="H127" s="29">
        <v>263413.0</v>
      </c>
      <c r="I127" s="28">
        <v>80.0</v>
      </c>
      <c r="J127" s="28">
        <v>51.0</v>
      </c>
      <c r="K127" s="28">
        <v>17088.0</v>
      </c>
      <c r="L127" s="28">
        <v>1938.0</v>
      </c>
      <c r="M127" s="28">
        <v>142377.0</v>
      </c>
      <c r="N127" s="28">
        <v>159465.0</v>
      </c>
      <c r="O127" s="28">
        <v>7.0</v>
      </c>
      <c r="P127" s="30">
        <v>2046.0</v>
      </c>
      <c r="Q127" s="30">
        <v>9.0</v>
      </c>
      <c r="R127" s="30">
        <v>1673.0</v>
      </c>
      <c r="S127" s="30">
        <v>0.0</v>
      </c>
      <c r="T127" s="30">
        <v>303.0</v>
      </c>
      <c r="U127" s="30">
        <v>70.0</v>
      </c>
      <c r="V127" s="30">
        <v>73.0</v>
      </c>
      <c r="W127" s="30">
        <v>11.0</v>
      </c>
      <c r="X127" s="30">
        <v>11.0</v>
      </c>
      <c r="Y127" s="30">
        <v>1.0</v>
      </c>
      <c r="Z127" s="28">
        <v>972.0</v>
      </c>
    </row>
    <row r="128" ht="14.25" customHeight="1">
      <c r="A128" s="27">
        <v>44014.0</v>
      </c>
      <c r="B128" s="28">
        <v>103.0</v>
      </c>
      <c r="C128" s="28">
        <v>102.0</v>
      </c>
      <c r="D128" s="28">
        <v>24977.0</v>
      </c>
      <c r="E128" s="28">
        <v>2812.0</v>
      </c>
      <c r="F128" s="29">
        <v>241351.0</v>
      </c>
      <c r="G128" s="29">
        <v>2915.0</v>
      </c>
      <c r="H128" s="29">
        <v>266328.0</v>
      </c>
      <c r="I128" s="28">
        <v>57.0</v>
      </c>
      <c r="J128" s="28">
        <v>57.0</v>
      </c>
      <c r="K128" s="28">
        <v>17145.0</v>
      </c>
      <c r="L128" s="28">
        <v>1089.0</v>
      </c>
      <c r="M128" s="28">
        <v>143466.0</v>
      </c>
      <c r="N128" s="28">
        <v>160611.0</v>
      </c>
      <c r="O128" s="28">
        <v>5.0</v>
      </c>
      <c r="P128" s="30">
        <v>2051.0</v>
      </c>
      <c r="Q128" s="30">
        <v>5.0</v>
      </c>
      <c r="R128" s="30">
        <v>1678.0</v>
      </c>
      <c r="S128" s="30">
        <v>1.0</v>
      </c>
      <c r="T128" s="30">
        <v>304.0</v>
      </c>
      <c r="U128" s="30">
        <v>69.0</v>
      </c>
      <c r="V128" s="30">
        <v>70.0</v>
      </c>
      <c r="W128" s="30">
        <v>10.0</v>
      </c>
      <c r="X128" s="30">
        <v>10.0</v>
      </c>
      <c r="Y128" s="30">
        <v>2.0</v>
      </c>
      <c r="Z128" s="28">
        <v>974.0</v>
      </c>
    </row>
    <row r="129" ht="14.25" customHeight="1">
      <c r="A129" s="27">
        <v>44015.0</v>
      </c>
      <c r="B129" s="28">
        <v>50.0</v>
      </c>
      <c r="C129" s="28">
        <v>99.0</v>
      </c>
      <c r="D129" s="28">
        <v>25027.0</v>
      </c>
      <c r="E129" s="28">
        <v>2081.0</v>
      </c>
      <c r="F129" s="29">
        <v>243432.0</v>
      </c>
      <c r="G129" s="29">
        <v>2131.0</v>
      </c>
      <c r="H129" s="29">
        <v>268459.0</v>
      </c>
      <c r="I129" s="28">
        <v>26.0</v>
      </c>
      <c r="J129" s="28">
        <v>54.0</v>
      </c>
      <c r="K129" s="28">
        <v>17171.0</v>
      </c>
      <c r="L129" s="28">
        <v>779.0</v>
      </c>
      <c r="M129" s="28">
        <v>144245.0</v>
      </c>
      <c r="N129" s="28">
        <v>161416.0</v>
      </c>
      <c r="O129" s="28">
        <v>9.0</v>
      </c>
      <c r="P129" s="30">
        <v>2060.0</v>
      </c>
      <c r="Q129" s="30">
        <v>6.0</v>
      </c>
      <c r="R129" s="30">
        <v>1684.0</v>
      </c>
      <c r="S129" s="30">
        <v>0.0</v>
      </c>
      <c r="T129" s="30">
        <v>304.0</v>
      </c>
      <c r="U129" s="30">
        <v>72.0</v>
      </c>
      <c r="V129" s="30">
        <v>70.0</v>
      </c>
      <c r="W129" s="30">
        <v>9.0</v>
      </c>
      <c r="X129" s="30">
        <v>9.0</v>
      </c>
      <c r="Y129" s="30">
        <v>3.0</v>
      </c>
      <c r="Z129" s="28">
        <v>977.0</v>
      </c>
    </row>
    <row r="130" ht="14.25" customHeight="1">
      <c r="A130" s="27">
        <v>44016.0</v>
      </c>
      <c r="B130" s="28">
        <v>58.0</v>
      </c>
      <c r="C130" s="28">
        <v>70.0</v>
      </c>
      <c r="D130" s="28">
        <v>25085.0</v>
      </c>
      <c r="E130" s="28">
        <v>2353.0</v>
      </c>
      <c r="F130" s="29">
        <v>245785.0</v>
      </c>
      <c r="G130" s="29">
        <v>2411.0</v>
      </c>
      <c r="H130" s="29">
        <v>270870.0</v>
      </c>
      <c r="I130" s="28">
        <v>34.0</v>
      </c>
      <c r="J130" s="28">
        <v>39.0</v>
      </c>
      <c r="K130" s="28">
        <v>17205.0</v>
      </c>
      <c r="L130" s="28">
        <v>1011.0</v>
      </c>
      <c r="M130" s="28">
        <v>145256.0</v>
      </c>
      <c r="N130" s="28">
        <v>162461.0</v>
      </c>
      <c r="O130" s="28">
        <v>2.0</v>
      </c>
      <c r="P130" s="30">
        <v>2062.0</v>
      </c>
      <c r="Q130" s="30">
        <v>4.0</v>
      </c>
      <c r="R130" s="30">
        <v>1688.0</v>
      </c>
      <c r="S130" s="30">
        <v>1.0</v>
      </c>
      <c r="T130" s="30">
        <v>305.0</v>
      </c>
      <c r="U130" s="30">
        <v>69.0</v>
      </c>
      <c r="V130" s="30">
        <v>70.0</v>
      </c>
      <c r="W130" s="30">
        <v>10.0</v>
      </c>
      <c r="X130" s="30">
        <v>9.0</v>
      </c>
      <c r="Y130" s="30">
        <v>2.0</v>
      </c>
      <c r="Z130" s="28">
        <v>979.0</v>
      </c>
    </row>
    <row r="131" ht="14.25" customHeight="1">
      <c r="A131" s="27">
        <v>44017.0</v>
      </c>
      <c r="B131" s="28">
        <v>51.0</v>
      </c>
      <c r="C131" s="28">
        <v>53.0</v>
      </c>
      <c r="D131" s="28">
        <v>25136.0</v>
      </c>
      <c r="E131" s="28">
        <v>2939.0</v>
      </c>
      <c r="F131" s="29">
        <v>248724.0</v>
      </c>
      <c r="G131" s="29">
        <v>2990.0</v>
      </c>
      <c r="H131" s="29">
        <v>273860.0</v>
      </c>
      <c r="I131" s="28">
        <v>26.0</v>
      </c>
      <c r="J131" s="28">
        <v>29.0</v>
      </c>
      <c r="K131" s="28">
        <v>17231.0</v>
      </c>
      <c r="L131" s="28">
        <v>1448.0</v>
      </c>
      <c r="M131" s="28">
        <v>146704.0</v>
      </c>
      <c r="N131" s="28">
        <v>163935.0</v>
      </c>
      <c r="O131" s="28">
        <v>1.0</v>
      </c>
      <c r="P131" s="30">
        <v>2063.0</v>
      </c>
      <c r="Q131" s="30">
        <v>2.0</v>
      </c>
      <c r="R131" s="30">
        <v>1690.0</v>
      </c>
      <c r="S131" s="30">
        <v>1.0</v>
      </c>
      <c r="T131" s="30">
        <v>306.0</v>
      </c>
      <c r="U131" s="30">
        <v>67.0</v>
      </c>
      <c r="V131" s="30">
        <v>69.0</v>
      </c>
      <c r="W131" s="30">
        <v>8.0</v>
      </c>
      <c r="X131" s="30">
        <v>8.0</v>
      </c>
      <c r="Y131" s="30">
        <v>2.0</v>
      </c>
      <c r="Z131" s="28">
        <v>981.0</v>
      </c>
    </row>
    <row r="132" ht="14.25" customHeight="1">
      <c r="A132" s="27">
        <v>44018.0</v>
      </c>
      <c r="B132" s="28">
        <v>102.0</v>
      </c>
      <c r="C132" s="28">
        <v>70.0</v>
      </c>
      <c r="D132" s="28">
        <v>25238.0</v>
      </c>
      <c r="E132" s="28">
        <v>2821.0</v>
      </c>
      <c r="F132" s="29">
        <v>251545.0</v>
      </c>
      <c r="G132" s="29">
        <v>2923.0</v>
      </c>
      <c r="H132" s="29">
        <v>276783.0</v>
      </c>
      <c r="I132" s="28">
        <v>58.0</v>
      </c>
      <c r="J132" s="28">
        <v>39.0</v>
      </c>
      <c r="K132" s="28">
        <v>17289.0</v>
      </c>
      <c r="L132" s="28">
        <v>1553.0</v>
      </c>
      <c r="M132" s="28">
        <v>148257.0</v>
      </c>
      <c r="N132" s="28">
        <v>165546.0</v>
      </c>
      <c r="O132" s="28">
        <v>6.0</v>
      </c>
      <c r="P132" s="30">
        <v>2069.0</v>
      </c>
      <c r="Q132" s="30">
        <v>6.0</v>
      </c>
      <c r="R132" s="30">
        <v>1696.0</v>
      </c>
      <c r="S132" s="30">
        <v>0.0</v>
      </c>
      <c r="T132" s="30">
        <v>306.0</v>
      </c>
      <c r="U132" s="30">
        <v>67.0</v>
      </c>
      <c r="V132" s="30">
        <v>68.0</v>
      </c>
      <c r="W132" s="30">
        <v>9.0</v>
      </c>
      <c r="X132" s="30">
        <v>9.0</v>
      </c>
      <c r="Y132" s="30">
        <v>4.0</v>
      </c>
      <c r="Z132" s="28">
        <v>985.0</v>
      </c>
    </row>
    <row r="133" ht="14.25" customHeight="1">
      <c r="A133" s="27">
        <v>44019.0</v>
      </c>
      <c r="B133" s="28">
        <v>82.0</v>
      </c>
      <c r="C133" s="28">
        <v>78.0</v>
      </c>
      <c r="D133" s="28">
        <v>25320.0</v>
      </c>
      <c r="E133" s="28">
        <v>3470.0</v>
      </c>
      <c r="F133" s="29">
        <v>255015.0</v>
      </c>
      <c r="G133" s="29">
        <v>3552.0</v>
      </c>
      <c r="H133" s="29">
        <v>280335.0</v>
      </c>
      <c r="I133" s="28">
        <v>48.0</v>
      </c>
      <c r="J133" s="28">
        <v>44.0</v>
      </c>
      <c r="K133" s="28">
        <v>17337.0</v>
      </c>
      <c r="L133" s="28">
        <v>1536.0</v>
      </c>
      <c r="M133" s="28">
        <v>149793.0</v>
      </c>
      <c r="N133" s="28">
        <v>167130.0</v>
      </c>
      <c r="O133" s="28">
        <v>5.0</v>
      </c>
      <c r="P133" s="30">
        <v>2074.0</v>
      </c>
      <c r="Q133" s="30">
        <v>7.0</v>
      </c>
      <c r="R133" s="30">
        <v>1703.0</v>
      </c>
      <c r="S133" s="30">
        <v>0.0</v>
      </c>
      <c r="T133" s="30">
        <v>306.0</v>
      </c>
      <c r="U133" s="30">
        <v>65.0</v>
      </c>
      <c r="V133" s="30">
        <v>66.0</v>
      </c>
      <c r="W133" s="30">
        <v>8.0</v>
      </c>
      <c r="X133" s="30">
        <v>8.0</v>
      </c>
      <c r="Y133" s="30">
        <v>2.0</v>
      </c>
      <c r="Z133" s="28">
        <v>987.0</v>
      </c>
    </row>
    <row r="134" ht="14.25" customHeight="1">
      <c r="A134" s="27">
        <v>44020.0</v>
      </c>
      <c r="B134" s="28">
        <v>105.0</v>
      </c>
      <c r="C134" s="28">
        <v>96.0</v>
      </c>
      <c r="D134" s="28">
        <v>25425.0</v>
      </c>
      <c r="E134" s="28">
        <v>3417.0</v>
      </c>
      <c r="F134" s="29">
        <v>258432.0</v>
      </c>
      <c r="G134" s="29">
        <v>3522.0</v>
      </c>
      <c r="H134" s="29">
        <v>283857.0</v>
      </c>
      <c r="I134" s="28">
        <v>65.0</v>
      </c>
      <c r="J134" s="28">
        <v>57.0</v>
      </c>
      <c r="K134" s="28">
        <v>17402.0</v>
      </c>
      <c r="L134" s="28">
        <v>1426.0</v>
      </c>
      <c r="M134" s="28">
        <v>151219.0</v>
      </c>
      <c r="N134" s="28">
        <v>168621.0</v>
      </c>
      <c r="O134" s="28">
        <v>4.0</v>
      </c>
      <c r="P134" s="30">
        <v>2078.0</v>
      </c>
      <c r="Q134" s="30">
        <v>2.0</v>
      </c>
      <c r="R134" s="30">
        <v>1705.0</v>
      </c>
      <c r="S134" s="30">
        <v>0.0</v>
      </c>
      <c r="T134" s="30">
        <v>306.0</v>
      </c>
      <c r="U134" s="30">
        <v>67.0</v>
      </c>
      <c r="V134" s="30">
        <v>66.0</v>
      </c>
      <c r="W134" s="30">
        <v>9.0</v>
      </c>
      <c r="X134" s="30">
        <v>8.0</v>
      </c>
      <c r="Y134" s="30">
        <v>0.0</v>
      </c>
      <c r="Z134" s="28">
        <v>987.0</v>
      </c>
    </row>
    <row r="135" ht="14.25" customHeight="1">
      <c r="A135" s="27">
        <v>44021.0</v>
      </c>
      <c r="B135" s="28">
        <v>96.0</v>
      </c>
      <c r="C135" s="28">
        <v>94.0</v>
      </c>
      <c r="D135" s="28">
        <v>25521.0</v>
      </c>
      <c r="E135" s="28">
        <v>3730.0</v>
      </c>
      <c r="F135" s="29">
        <v>262162.0</v>
      </c>
      <c r="G135" s="29">
        <v>3826.0</v>
      </c>
      <c r="H135" s="29">
        <v>287683.0</v>
      </c>
      <c r="I135" s="28">
        <v>51.0</v>
      </c>
      <c r="J135" s="28">
        <v>55.0</v>
      </c>
      <c r="K135" s="28">
        <v>17453.0</v>
      </c>
      <c r="L135" s="28">
        <v>1631.0</v>
      </c>
      <c r="M135" s="28">
        <v>152850.0</v>
      </c>
      <c r="N135" s="28">
        <v>170303.0</v>
      </c>
      <c r="O135" s="28">
        <v>9.0</v>
      </c>
      <c r="P135" s="30">
        <v>2087.0</v>
      </c>
      <c r="Q135" s="30">
        <v>3.0</v>
      </c>
      <c r="R135" s="30">
        <v>1708.0</v>
      </c>
      <c r="S135" s="30">
        <v>0.0</v>
      </c>
      <c r="T135" s="30">
        <v>306.0</v>
      </c>
      <c r="U135" s="30">
        <v>73.0</v>
      </c>
      <c r="V135" s="30">
        <v>68.0</v>
      </c>
      <c r="W135" s="30">
        <v>9.0</v>
      </c>
      <c r="X135" s="30">
        <v>8.0</v>
      </c>
      <c r="Y135" s="30">
        <v>0.0</v>
      </c>
      <c r="Z135" s="28">
        <v>987.0</v>
      </c>
    </row>
    <row r="136" ht="14.25" customHeight="1">
      <c r="A136" s="27">
        <v>44022.0</v>
      </c>
      <c r="B136" s="28">
        <v>131.0</v>
      </c>
      <c r="C136" s="28">
        <v>111.0</v>
      </c>
      <c r="D136" s="28">
        <v>25652.0</v>
      </c>
      <c r="E136" s="28">
        <v>4454.0</v>
      </c>
      <c r="F136" s="29">
        <v>266616.0</v>
      </c>
      <c r="G136" s="29">
        <v>4585.0</v>
      </c>
      <c r="H136" s="29">
        <v>292268.0</v>
      </c>
      <c r="I136" s="28">
        <v>80.0</v>
      </c>
      <c r="J136" s="28">
        <v>65.0</v>
      </c>
      <c r="K136" s="28">
        <v>17533.0</v>
      </c>
      <c r="L136" s="28">
        <v>2083.0</v>
      </c>
      <c r="M136" s="28">
        <v>154933.0</v>
      </c>
      <c r="N136" s="28">
        <v>172466.0</v>
      </c>
      <c r="O136" s="28">
        <v>6.0</v>
      </c>
      <c r="P136" s="30">
        <v>2093.0</v>
      </c>
      <c r="Q136" s="30">
        <v>3.0</v>
      </c>
      <c r="R136" s="30">
        <v>1711.0</v>
      </c>
      <c r="S136" s="30">
        <v>2.0</v>
      </c>
      <c r="T136" s="30">
        <v>308.0</v>
      </c>
      <c r="U136" s="30">
        <v>74.0</v>
      </c>
      <c r="V136" s="30">
        <v>71.0</v>
      </c>
      <c r="W136" s="30">
        <v>7.0</v>
      </c>
      <c r="X136" s="30">
        <v>7.0</v>
      </c>
      <c r="Y136" s="30">
        <v>3.0</v>
      </c>
      <c r="Z136" s="28">
        <v>990.0</v>
      </c>
    </row>
    <row r="137" ht="14.25" customHeight="1">
      <c r="A137" s="27">
        <v>44023.0</v>
      </c>
      <c r="B137" s="28">
        <v>64.0</v>
      </c>
      <c r="C137" s="28">
        <v>97.0</v>
      </c>
      <c r="D137" s="28">
        <v>25716.0</v>
      </c>
      <c r="E137" s="28">
        <v>2944.0</v>
      </c>
      <c r="F137" s="29">
        <v>269560.0</v>
      </c>
      <c r="G137" s="29">
        <v>3008.0</v>
      </c>
      <c r="H137" s="29">
        <v>295276.0</v>
      </c>
      <c r="I137" s="28">
        <v>34.0</v>
      </c>
      <c r="J137" s="28">
        <v>55.0</v>
      </c>
      <c r="K137" s="28">
        <v>17567.0</v>
      </c>
      <c r="L137" s="28">
        <v>1319.0</v>
      </c>
      <c r="M137" s="28">
        <v>156252.0</v>
      </c>
      <c r="N137" s="28">
        <v>173819.0</v>
      </c>
      <c r="O137" s="28">
        <v>6.0</v>
      </c>
      <c r="P137" s="30">
        <v>2099.0</v>
      </c>
      <c r="Q137" s="30">
        <v>3.0</v>
      </c>
      <c r="R137" s="30">
        <v>1714.0</v>
      </c>
      <c r="S137" s="30">
        <v>1.0</v>
      </c>
      <c r="T137" s="30">
        <v>309.0</v>
      </c>
      <c r="U137" s="30">
        <v>76.0</v>
      </c>
      <c r="V137" s="30">
        <v>74.0</v>
      </c>
      <c r="W137" s="30">
        <v>6.0</v>
      </c>
      <c r="X137" s="30">
        <v>6.0</v>
      </c>
      <c r="Y137" s="30">
        <v>3.0</v>
      </c>
      <c r="Z137" s="28">
        <v>993.0</v>
      </c>
    </row>
    <row r="138" ht="14.25" customHeight="1">
      <c r="A138" s="27">
        <v>44024.0</v>
      </c>
      <c r="B138" s="28">
        <v>47.0</v>
      </c>
      <c r="C138" s="28">
        <v>81.0</v>
      </c>
      <c r="D138" s="28">
        <v>25763.0</v>
      </c>
      <c r="E138" s="28">
        <v>1846.0</v>
      </c>
      <c r="F138" s="29">
        <v>271406.0</v>
      </c>
      <c r="G138" s="29">
        <v>1893.0</v>
      </c>
      <c r="H138" s="29">
        <v>297169.0</v>
      </c>
      <c r="I138" s="28">
        <v>34.0</v>
      </c>
      <c r="J138" s="28">
        <v>49.0</v>
      </c>
      <c r="K138" s="28">
        <v>17601.0</v>
      </c>
      <c r="L138" s="28">
        <v>943.0</v>
      </c>
      <c r="M138" s="28">
        <v>157195.0</v>
      </c>
      <c r="N138" s="28">
        <v>174796.0</v>
      </c>
      <c r="O138" s="28">
        <v>1.0</v>
      </c>
      <c r="P138" s="30">
        <v>2100.0</v>
      </c>
      <c r="Q138" s="30">
        <v>3.0</v>
      </c>
      <c r="R138" s="30">
        <v>1717.0</v>
      </c>
      <c r="S138" s="30">
        <v>1.0</v>
      </c>
      <c r="T138" s="30">
        <v>310.0</v>
      </c>
      <c r="U138" s="30">
        <v>73.0</v>
      </c>
      <c r="V138" s="30">
        <v>74.0</v>
      </c>
      <c r="W138" s="30">
        <v>6.0</v>
      </c>
      <c r="X138" s="30">
        <v>5.0</v>
      </c>
      <c r="Y138" s="30">
        <v>3.0</v>
      </c>
      <c r="Z138" s="28">
        <v>996.0</v>
      </c>
    </row>
    <row r="139" ht="14.25" customHeight="1">
      <c r="A139" s="27">
        <v>44025.0</v>
      </c>
      <c r="B139" s="28">
        <v>84.0</v>
      </c>
      <c r="C139" s="28">
        <v>65.0</v>
      </c>
      <c r="D139" s="28">
        <v>25847.0</v>
      </c>
      <c r="E139" s="28">
        <v>3170.0</v>
      </c>
      <c r="F139" s="29">
        <v>274576.0</v>
      </c>
      <c r="G139" s="29">
        <v>3254.0</v>
      </c>
      <c r="H139" s="29">
        <v>300423.0</v>
      </c>
      <c r="I139" s="28">
        <v>61.0</v>
      </c>
      <c r="J139" s="28">
        <v>43.0</v>
      </c>
      <c r="K139" s="28">
        <v>17662.0</v>
      </c>
      <c r="L139" s="28">
        <v>1475.0</v>
      </c>
      <c r="M139" s="28">
        <v>158670.0</v>
      </c>
      <c r="N139" s="28">
        <v>176332.0</v>
      </c>
      <c r="O139" s="28">
        <v>8.0</v>
      </c>
      <c r="P139" s="30">
        <v>2108.0</v>
      </c>
      <c r="Q139" s="30">
        <v>10.0</v>
      </c>
      <c r="R139" s="30">
        <v>1727.0</v>
      </c>
      <c r="S139" s="30">
        <v>0.0</v>
      </c>
      <c r="T139" s="30">
        <v>310.0</v>
      </c>
      <c r="U139" s="30">
        <v>71.0</v>
      </c>
      <c r="V139" s="30">
        <v>73.0</v>
      </c>
      <c r="W139" s="30">
        <v>6.0</v>
      </c>
      <c r="X139" s="30">
        <v>5.0</v>
      </c>
      <c r="Y139" s="30">
        <v>1.0</v>
      </c>
      <c r="Z139" s="28">
        <v>997.0</v>
      </c>
    </row>
    <row r="140" ht="14.25" customHeight="1">
      <c r="A140" s="27">
        <v>44026.0</v>
      </c>
      <c r="B140" s="28">
        <v>74.0</v>
      </c>
      <c r="C140" s="28">
        <v>68.0</v>
      </c>
      <c r="D140" s="28">
        <v>25921.0</v>
      </c>
      <c r="E140" s="28">
        <v>3301.0</v>
      </c>
      <c r="F140" s="29">
        <v>277877.0</v>
      </c>
      <c r="G140" s="29">
        <v>3375.0</v>
      </c>
      <c r="H140" s="29">
        <v>303798.0</v>
      </c>
      <c r="I140" s="28">
        <v>49.0</v>
      </c>
      <c r="J140" s="28">
        <v>48.0</v>
      </c>
      <c r="K140" s="28">
        <v>17711.0</v>
      </c>
      <c r="L140" s="28">
        <v>1375.0</v>
      </c>
      <c r="M140" s="28">
        <v>160045.0</v>
      </c>
      <c r="N140" s="28">
        <v>177756.0</v>
      </c>
      <c r="O140" s="28">
        <v>7.0</v>
      </c>
      <c r="P140" s="30">
        <v>2115.0</v>
      </c>
      <c r="Q140" s="30">
        <v>4.0</v>
      </c>
      <c r="R140" s="30">
        <v>1731.0</v>
      </c>
      <c r="S140" s="30">
        <v>0.0</v>
      </c>
      <c r="T140" s="30">
        <v>310.0</v>
      </c>
      <c r="U140" s="30">
        <v>74.0</v>
      </c>
      <c r="V140" s="30">
        <v>73.0</v>
      </c>
      <c r="W140" s="30">
        <v>5.0</v>
      </c>
      <c r="X140" s="30">
        <v>5.0</v>
      </c>
      <c r="Y140" s="30">
        <v>1.0</v>
      </c>
      <c r="Z140" s="28">
        <v>998.0</v>
      </c>
    </row>
    <row r="141" ht="14.25" customHeight="1">
      <c r="A141" s="27">
        <v>44027.0</v>
      </c>
      <c r="B141" s="28">
        <v>130.0</v>
      </c>
      <c r="C141" s="28">
        <v>96.0</v>
      </c>
      <c r="D141" s="28">
        <v>26051.0</v>
      </c>
      <c r="E141" s="28">
        <v>4185.0</v>
      </c>
      <c r="F141" s="29">
        <v>282062.0</v>
      </c>
      <c r="G141" s="29">
        <v>4315.0</v>
      </c>
      <c r="H141" s="29">
        <v>308113.0</v>
      </c>
      <c r="I141" s="28">
        <v>100.0</v>
      </c>
      <c r="J141" s="28">
        <v>70.0</v>
      </c>
      <c r="K141" s="28">
        <v>17811.0</v>
      </c>
      <c r="L141" s="28">
        <v>1753.0</v>
      </c>
      <c r="M141" s="28">
        <v>161798.0</v>
      </c>
      <c r="N141" s="28">
        <v>179609.0</v>
      </c>
      <c r="O141" s="28">
        <v>5.0</v>
      </c>
      <c r="P141" s="30">
        <v>2120.0</v>
      </c>
      <c r="Q141" s="30">
        <v>7.0</v>
      </c>
      <c r="R141" s="30">
        <v>1738.0</v>
      </c>
      <c r="S141" s="30">
        <v>0.0</v>
      </c>
      <c r="T141" s="30">
        <v>310.0</v>
      </c>
      <c r="U141" s="30">
        <v>72.0</v>
      </c>
      <c r="V141" s="30">
        <v>72.0</v>
      </c>
      <c r="W141" s="30">
        <v>5.0</v>
      </c>
      <c r="X141" s="30">
        <v>4.0</v>
      </c>
      <c r="Y141" s="30">
        <v>0.0</v>
      </c>
      <c r="Z141" s="28">
        <v>998.0</v>
      </c>
    </row>
    <row r="142" ht="14.25" customHeight="1">
      <c r="A142" s="27">
        <v>44028.0</v>
      </c>
      <c r="B142" s="28">
        <v>102.0</v>
      </c>
      <c r="C142" s="28">
        <v>102.0</v>
      </c>
      <c r="D142" s="28">
        <v>26153.0</v>
      </c>
      <c r="E142" s="28">
        <v>3749.0</v>
      </c>
      <c r="F142" s="29">
        <v>285811.0</v>
      </c>
      <c r="G142" s="29">
        <v>3851.0</v>
      </c>
      <c r="H142" s="29">
        <v>311964.0</v>
      </c>
      <c r="I142" s="28">
        <v>78.0</v>
      </c>
      <c r="J142" s="28">
        <v>76.0</v>
      </c>
      <c r="K142" s="28">
        <v>17889.0</v>
      </c>
      <c r="L142" s="28">
        <v>1620.0</v>
      </c>
      <c r="M142" s="28">
        <v>163418.0</v>
      </c>
      <c r="N142" s="28">
        <v>181307.0</v>
      </c>
      <c r="O142" s="28">
        <v>6.0</v>
      </c>
      <c r="P142" s="30">
        <v>2126.0</v>
      </c>
      <c r="Q142" s="30">
        <v>9.0</v>
      </c>
      <c r="R142" s="30">
        <v>1747.0</v>
      </c>
      <c r="S142" s="30">
        <v>0.0</v>
      </c>
      <c r="T142" s="30">
        <v>310.0</v>
      </c>
      <c r="U142" s="30">
        <v>69.0</v>
      </c>
      <c r="V142" s="30">
        <v>72.0</v>
      </c>
      <c r="W142" s="30">
        <v>6.0</v>
      </c>
      <c r="X142" s="30">
        <v>5.0</v>
      </c>
      <c r="Y142" s="30">
        <v>1.0</v>
      </c>
      <c r="Z142" s="28">
        <v>999.0</v>
      </c>
    </row>
    <row r="143" ht="14.25" customHeight="1">
      <c r="A143" s="27">
        <v>44029.0</v>
      </c>
      <c r="B143" s="28">
        <v>158.0</v>
      </c>
      <c r="C143" s="28">
        <v>130.0</v>
      </c>
      <c r="D143" s="28">
        <v>26311.0</v>
      </c>
      <c r="E143" s="28">
        <v>4248.0</v>
      </c>
      <c r="F143" s="29">
        <v>290059.0</v>
      </c>
      <c r="G143" s="29">
        <v>4406.0</v>
      </c>
      <c r="H143" s="29">
        <v>316370.0</v>
      </c>
      <c r="I143" s="28">
        <v>81.0</v>
      </c>
      <c r="J143" s="28">
        <v>86.0</v>
      </c>
      <c r="K143" s="28">
        <v>17970.0</v>
      </c>
      <c r="L143" s="28">
        <v>1850.0</v>
      </c>
      <c r="M143" s="28">
        <v>165268.0</v>
      </c>
      <c r="N143" s="28">
        <v>183238.0</v>
      </c>
      <c r="O143" s="28">
        <v>14.0</v>
      </c>
      <c r="P143" s="30">
        <v>2140.0</v>
      </c>
      <c r="Q143" s="30">
        <v>3.0</v>
      </c>
      <c r="R143" s="30">
        <v>1750.0</v>
      </c>
      <c r="S143" s="30">
        <v>1.0</v>
      </c>
      <c r="T143" s="30">
        <v>311.0</v>
      </c>
      <c r="U143" s="30">
        <v>79.0</v>
      </c>
      <c r="V143" s="30">
        <v>73.0</v>
      </c>
      <c r="W143" s="30">
        <v>5.0</v>
      </c>
      <c r="X143" s="30">
        <v>5.0</v>
      </c>
      <c r="Y143" s="30">
        <v>2.0</v>
      </c>
      <c r="Z143" s="28">
        <v>1001.0</v>
      </c>
    </row>
    <row r="144" ht="14.25" customHeight="1">
      <c r="A144" s="27">
        <v>44030.0</v>
      </c>
      <c r="B144" s="28">
        <v>85.0</v>
      </c>
      <c r="C144" s="28">
        <v>115.0</v>
      </c>
      <c r="D144" s="28">
        <v>26396.0</v>
      </c>
      <c r="E144" s="28">
        <v>3277.0</v>
      </c>
      <c r="F144" s="29">
        <v>293336.0</v>
      </c>
      <c r="G144" s="29">
        <v>3362.0</v>
      </c>
      <c r="H144" s="29">
        <v>319732.0</v>
      </c>
      <c r="I144" s="28">
        <v>69.0</v>
      </c>
      <c r="J144" s="28">
        <v>76.0</v>
      </c>
      <c r="K144" s="28">
        <v>18039.0</v>
      </c>
      <c r="L144" s="28">
        <v>1402.0</v>
      </c>
      <c r="M144" s="28">
        <v>166670.0</v>
      </c>
      <c r="N144" s="28">
        <v>184709.0</v>
      </c>
      <c r="O144" s="28">
        <v>5.0</v>
      </c>
      <c r="P144" s="30">
        <v>2145.0</v>
      </c>
      <c r="Q144" s="30">
        <v>9.0</v>
      </c>
      <c r="R144" s="30">
        <v>1759.0</v>
      </c>
      <c r="S144" s="30">
        <v>1.0</v>
      </c>
      <c r="T144" s="30">
        <v>312.0</v>
      </c>
      <c r="U144" s="30">
        <v>74.0</v>
      </c>
      <c r="V144" s="30">
        <v>74.0</v>
      </c>
      <c r="W144" s="30">
        <v>5.0</v>
      </c>
      <c r="X144" s="30">
        <v>4.0</v>
      </c>
      <c r="Y144" s="30">
        <v>4.0</v>
      </c>
      <c r="Z144" s="28">
        <v>1005.0</v>
      </c>
    </row>
    <row r="145" ht="14.25" customHeight="1">
      <c r="A145" s="27">
        <v>44031.0</v>
      </c>
      <c r="B145" s="28">
        <v>83.0</v>
      </c>
      <c r="C145" s="28">
        <v>109.0</v>
      </c>
      <c r="D145" s="28">
        <v>26479.0</v>
      </c>
      <c r="E145" s="28">
        <v>2709.0</v>
      </c>
      <c r="F145" s="29">
        <v>296045.0</v>
      </c>
      <c r="G145" s="29">
        <v>2792.0</v>
      </c>
      <c r="H145" s="29">
        <v>322524.0</v>
      </c>
      <c r="I145" s="28">
        <v>59.0</v>
      </c>
      <c r="J145" s="28">
        <v>70.0</v>
      </c>
      <c r="K145" s="28">
        <v>18098.0</v>
      </c>
      <c r="L145" s="28">
        <v>1151.0</v>
      </c>
      <c r="M145" s="28">
        <v>167821.0</v>
      </c>
      <c r="N145" s="28">
        <v>185919.0</v>
      </c>
      <c r="O145" s="28">
        <v>7.0</v>
      </c>
      <c r="P145" s="30">
        <v>2152.0</v>
      </c>
      <c r="Q145" s="30">
        <v>3.0</v>
      </c>
      <c r="R145" s="30">
        <v>1762.0</v>
      </c>
      <c r="S145" s="30">
        <v>0.0</v>
      </c>
      <c r="T145" s="30">
        <v>312.0</v>
      </c>
      <c r="U145" s="30">
        <v>78.0</v>
      </c>
      <c r="V145" s="30">
        <v>77.0</v>
      </c>
      <c r="W145" s="30">
        <v>6.0</v>
      </c>
      <c r="X145" s="30">
        <v>4.0</v>
      </c>
      <c r="Y145" s="30">
        <v>2.0</v>
      </c>
      <c r="Z145" s="28">
        <v>1007.0</v>
      </c>
    </row>
    <row r="146" ht="14.25" customHeight="1">
      <c r="A146" s="27">
        <v>44032.0</v>
      </c>
      <c r="B146" s="28">
        <v>71.0</v>
      </c>
      <c r="C146" s="28">
        <v>80.0</v>
      </c>
      <c r="D146" s="28">
        <v>26550.0</v>
      </c>
      <c r="E146" s="28">
        <v>2668.0</v>
      </c>
      <c r="F146" s="29">
        <v>298713.0</v>
      </c>
      <c r="G146" s="29">
        <v>2739.0</v>
      </c>
      <c r="H146" s="29">
        <v>325263.0</v>
      </c>
      <c r="I146" s="28">
        <v>69.0</v>
      </c>
      <c r="J146" s="28">
        <v>66.0</v>
      </c>
      <c r="K146" s="28">
        <v>18167.0</v>
      </c>
      <c r="L146" s="28">
        <v>1467.0</v>
      </c>
      <c r="M146" s="28">
        <v>169288.0</v>
      </c>
      <c r="N146" s="28">
        <v>187455.0</v>
      </c>
      <c r="O146" s="28">
        <v>9.0</v>
      </c>
      <c r="P146" s="30">
        <v>2161.0</v>
      </c>
      <c r="Q146" s="30">
        <v>7.0</v>
      </c>
      <c r="R146" s="30">
        <v>1769.0</v>
      </c>
      <c r="S146" s="30">
        <v>0.0</v>
      </c>
      <c r="T146" s="30">
        <v>312.0</v>
      </c>
      <c r="U146" s="30">
        <v>80.0</v>
      </c>
      <c r="V146" s="30">
        <v>77.0</v>
      </c>
      <c r="W146" s="30">
        <v>7.0</v>
      </c>
      <c r="X146" s="30">
        <v>5.0</v>
      </c>
      <c r="Y146" s="30">
        <v>2.0</v>
      </c>
      <c r="Z146" s="28">
        <v>1009.0</v>
      </c>
    </row>
    <row r="147" ht="14.25" customHeight="1">
      <c r="A147" s="27">
        <v>44033.0</v>
      </c>
      <c r="B147" s="28">
        <v>131.0</v>
      </c>
      <c r="C147" s="28">
        <v>95.0</v>
      </c>
      <c r="D147" s="28">
        <v>26681.0</v>
      </c>
      <c r="E147" s="28">
        <v>4317.0</v>
      </c>
      <c r="F147" s="29">
        <v>303030.0</v>
      </c>
      <c r="G147" s="29">
        <v>4448.0</v>
      </c>
      <c r="H147" s="29">
        <v>329711.0</v>
      </c>
      <c r="I147" s="28">
        <v>109.0</v>
      </c>
      <c r="J147" s="28">
        <v>79.0</v>
      </c>
      <c r="K147" s="28">
        <v>18276.0</v>
      </c>
      <c r="L147" s="28">
        <v>1924.0</v>
      </c>
      <c r="M147" s="28">
        <v>171212.0</v>
      </c>
      <c r="N147" s="28">
        <v>189488.0</v>
      </c>
      <c r="O147" s="28">
        <v>9.0</v>
      </c>
      <c r="P147" s="30">
        <v>2170.0</v>
      </c>
      <c r="Q147" s="30">
        <v>11.0</v>
      </c>
      <c r="R147" s="30">
        <v>1780.0</v>
      </c>
      <c r="S147" s="30">
        <v>0.0</v>
      </c>
      <c r="T147" s="30">
        <v>312.0</v>
      </c>
      <c r="U147" s="30">
        <v>78.0</v>
      </c>
      <c r="V147" s="30">
        <v>79.0</v>
      </c>
      <c r="W147" s="30">
        <v>9.0</v>
      </c>
      <c r="X147" s="30">
        <v>6.0</v>
      </c>
      <c r="Y147" s="30">
        <v>1.0</v>
      </c>
      <c r="Z147" s="28">
        <v>1010.0</v>
      </c>
    </row>
    <row r="148" ht="14.25" customHeight="1">
      <c r="A148" s="27">
        <v>44034.0</v>
      </c>
      <c r="B148" s="28">
        <v>130.0</v>
      </c>
      <c r="C148" s="28">
        <v>111.0</v>
      </c>
      <c r="D148" s="28">
        <v>26811.0</v>
      </c>
      <c r="E148" s="28">
        <v>3939.0</v>
      </c>
      <c r="F148" s="29">
        <v>306969.0</v>
      </c>
      <c r="G148" s="29">
        <v>4069.0</v>
      </c>
      <c r="H148" s="29">
        <v>333780.0</v>
      </c>
      <c r="I148" s="28">
        <v>87.0</v>
      </c>
      <c r="J148" s="28">
        <v>88.0</v>
      </c>
      <c r="K148" s="28">
        <v>18363.0</v>
      </c>
      <c r="L148" s="28">
        <v>1684.0</v>
      </c>
      <c r="M148" s="28">
        <v>172896.0</v>
      </c>
      <c r="N148" s="28">
        <v>191259.0</v>
      </c>
      <c r="O148" s="28">
        <v>11.0</v>
      </c>
      <c r="P148" s="30">
        <v>2181.0</v>
      </c>
      <c r="Q148" s="30">
        <v>11.0</v>
      </c>
      <c r="R148" s="30">
        <v>1791.0</v>
      </c>
      <c r="S148" s="30">
        <v>1.0</v>
      </c>
      <c r="T148" s="30">
        <v>313.0</v>
      </c>
      <c r="U148" s="30">
        <v>77.0</v>
      </c>
      <c r="V148" s="30">
        <v>78.0</v>
      </c>
      <c r="W148" s="30">
        <v>7.0</v>
      </c>
      <c r="X148" s="30">
        <v>6.0</v>
      </c>
      <c r="Y148" s="30">
        <v>1.0</v>
      </c>
      <c r="Z148" s="28">
        <v>1011.0</v>
      </c>
    </row>
    <row r="149" ht="14.25" customHeight="1">
      <c r="A149" s="27">
        <v>44035.0</v>
      </c>
      <c r="B149" s="28">
        <v>142.0</v>
      </c>
      <c r="C149" s="28">
        <v>134.0</v>
      </c>
      <c r="D149" s="28">
        <v>26953.0</v>
      </c>
      <c r="E149" s="28">
        <v>4393.0</v>
      </c>
      <c r="F149" s="29">
        <v>311362.0</v>
      </c>
      <c r="G149" s="29">
        <v>4535.0</v>
      </c>
      <c r="H149" s="29">
        <v>338315.0</v>
      </c>
      <c r="I149" s="28">
        <v>116.0</v>
      </c>
      <c r="J149" s="28">
        <v>104.0</v>
      </c>
      <c r="K149" s="28">
        <v>18479.0</v>
      </c>
      <c r="L149" s="28">
        <v>1972.0</v>
      </c>
      <c r="M149" s="28">
        <v>174868.0</v>
      </c>
      <c r="N149" s="28">
        <v>193347.0</v>
      </c>
      <c r="O149" s="28">
        <v>8.0</v>
      </c>
      <c r="P149" s="30">
        <v>2189.0</v>
      </c>
      <c r="Q149" s="30">
        <v>6.0</v>
      </c>
      <c r="R149" s="30">
        <v>1797.0</v>
      </c>
      <c r="S149" s="30">
        <v>0.0</v>
      </c>
      <c r="T149" s="30">
        <v>313.0</v>
      </c>
      <c r="U149" s="30">
        <v>79.0</v>
      </c>
      <c r="V149" s="30">
        <v>78.0</v>
      </c>
      <c r="W149" s="30">
        <v>8.0</v>
      </c>
      <c r="X149" s="30">
        <v>7.0</v>
      </c>
      <c r="Y149" s="30">
        <v>0.0</v>
      </c>
      <c r="Z149" s="28">
        <v>1011.0</v>
      </c>
    </row>
    <row r="150" ht="14.25" customHeight="1">
      <c r="A150" s="27">
        <v>44036.0</v>
      </c>
      <c r="B150" s="28">
        <v>175.0</v>
      </c>
      <c r="C150" s="28">
        <v>149.0</v>
      </c>
      <c r="D150" s="28">
        <v>27128.0</v>
      </c>
      <c r="E150" s="28">
        <v>5979.0</v>
      </c>
      <c r="F150" s="29">
        <v>317341.0</v>
      </c>
      <c r="G150" s="29">
        <v>6154.0</v>
      </c>
      <c r="H150" s="29">
        <v>344469.0</v>
      </c>
      <c r="I150" s="28">
        <v>123.0</v>
      </c>
      <c r="J150" s="28">
        <v>109.0</v>
      </c>
      <c r="K150" s="28">
        <v>18602.0</v>
      </c>
      <c r="L150" s="28">
        <v>2326.0</v>
      </c>
      <c r="M150" s="28">
        <v>177194.0</v>
      </c>
      <c r="N150" s="28">
        <v>195796.0</v>
      </c>
      <c r="O150" s="28">
        <v>14.0</v>
      </c>
      <c r="P150" s="30">
        <v>2203.0</v>
      </c>
      <c r="Q150" s="30">
        <v>14.0</v>
      </c>
      <c r="R150" s="30">
        <v>1811.0</v>
      </c>
      <c r="S150" s="30">
        <v>0.0</v>
      </c>
      <c r="T150" s="30">
        <v>313.0</v>
      </c>
      <c r="U150" s="30">
        <v>79.0</v>
      </c>
      <c r="V150" s="30">
        <v>78.0</v>
      </c>
      <c r="W150" s="30">
        <v>9.0</v>
      </c>
      <c r="X150" s="30">
        <v>7.0</v>
      </c>
      <c r="Y150" s="30">
        <v>0.0</v>
      </c>
      <c r="Z150" s="28">
        <v>1011.0</v>
      </c>
    </row>
    <row r="151" ht="14.25" customHeight="1">
      <c r="A151" s="27">
        <v>44037.0</v>
      </c>
      <c r="B151" s="28">
        <v>136.0</v>
      </c>
      <c r="C151" s="28">
        <v>151.0</v>
      </c>
      <c r="D151" s="28">
        <v>27264.0</v>
      </c>
      <c r="E151" s="28">
        <v>4417.0</v>
      </c>
      <c r="F151" s="29">
        <v>321758.0</v>
      </c>
      <c r="G151" s="29">
        <v>4553.0</v>
      </c>
      <c r="H151" s="29">
        <v>349022.0</v>
      </c>
      <c r="I151" s="28">
        <v>107.0</v>
      </c>
      <c r="J151" s="28">
        <v>115.0</v>
      </c>
      <c r="K151" s="28">
        <v>18709.0</v>
      </c>
      <c r="L151" s="28">
        <v>2101.0</v>
      </c>
      <c r="M151" s="28">
        <v>179295.0</v>
      </c>
      <c r="N151" s="28">
        <v>198004.0</v>
      </c>
      <c r="O151" s="28">
        <v>7.0</v>
      </c>
      <c r="P151" s="30">
        <v>2210.0</v>
      </c>
      <c r="Q151" s="30">
        <v>7.0</v>
      </c>
      <c r="R151" s="30">
        <v>1818.0</v>
      </c>
      <c r="S151" s="30">
        <v>0.0</v>
      </c>
      <c r="T151" s="30">
        <v>313.0</v>
      </c>
      <c r="U151" s="30">
        <v>79.0</v>
      </c>
      <c r="V151" s="30">
        <v>79.0</v>
      </c>
      <c r="W151" s="30">
        <v>10.0</v>
      </c>
      <c r="X151" s="30">
        <v>8.0</v>
      </c>
      <c r="Y151" s="30">
        <v>2.0</v>
      </c>
      <c r="Z151" s="28">
        <v>1013.0</v>
      </c>
    </row>
    <row r="152" ht="14.25" customHeight="1">
      <c r="A152" s="27">
        <v>44038.0</v>
      </c>
      <c r="B152" s="28">
        <v>63.0</v>
      </c>
      <c r="C152" s="28">
        <v>125.0</v>
      </c>
      <c r="D152" s="28">
        <v>27327.0</v>
      </c>
      <c r="E152" s="28">
        <v>3046.0</v>
      </c>
      <c r="F152" s="29">
        <v>324804.0</v>
      </c>
      <c r="G152" s="29">
        <v>3109.0</v>
      </c>
      <c r="H152" s="29">
        <v>352131.0</v>
      </c>
      <c r="I152" s="28">
        <v>54.0</v>
      </c>
      <c r="J152" s="28">
        <v>95.0</v>
      </c>
      <c r="K152" s="28">
        <v>18763.0</v>
      </c>
      <c r="L152" s="28">
        <v>1340.0</v>
      </c>
      <c r="M152" s="28">
        <v>180635.0</v>
      </c>
      <c r="N152" s="28">
        <v>199398.0</v>
      </c>
      <c r="O152" s="28">
        <v>8.0</v>
      </c>
      <c r="P152" s="30">
        <v>2218.0</v>
      </c>
      <c r="Q152" s="30">
        <v>9.0</v>
      </c>
      <c r="R152" s="30">
        <v>1827.0</v>
      </c>
      <c r="S152" s="30">
        <v>0.0</v>
      </c>
      <c r="T152" s="30">
        <v>313.0</v>
      </c>
      <c r="U152" s="30">
        <v>78.0</v>
      </c>
      <c r="V152" s="30">
        <v>79.0</v>
      </c>
      <c r="W152" s="30">
        <v>11.0</v>
      </c>
      <c r="X152" s="30">
        <v>7.0</v>
      </c>
      <c r="Y152" s="30">
        <v>1.0</v>
      </c>
      <c r="Z152" s="28">
        <v>1014.0</v>
      </c>
    </row>
    <row r="153" ht="14.25" customHeight="1">
      <c r="A153" s="27">
        <v>44039.0</v>
      </c>
      <c r="B153" s="28">
        <v>186.0</v>
      </c>
      <c r="C153" s="28">
        <v>128.0</v>
      </c>
      <c r="D153" s="28">
        <v>27513.0</v>
      </c>
      <c r="E153" s="28">
        <v>4195.0</v>
      </c>
      <c r="F153" s="29">
        <v>328999.0</v>
      </c>
      <c r="G153" s="29">
        <v>4381.0</v>
      </c>
      <c r="H153" s="29">
        <v>356512.0</v>
      </c>
      <c r="I153" s="28">
        <v>141.0</v>
      </c>
      <c r="J153" s="28">
        <v>101.0</v>
      </c>
      <c r="K153" s="28">
        <v>18904.0</v>
      </c>
      <c r="L153" s="28">
        <v>2334.0</v>
      </c>
      <c r="M153" s="28">
        <v>182969.0</v>
      </c>
      <c r="N153" s="28">
        <v>201873.0</v>
      </c>
      <c r="O153" s="28">
        <v>12.0</v>
      </c>
      <c r="P153" s="30">
        <v>2230.0</v>
      </c>
      <c r="Q153" s="30">
        <v>7.0</v>
      </c>
      <c r="R153" s="30">
        <v>1834.0</v>
      </c>
      <c r="S153" s="30">
        <v>0.0</v>
      </c>
      <c r="T153" s="30">
        <v>313.0</v>
      </c>
      <c r="U153" s="30">
        <v>83.0</v>
      </c>
      <c r="V153" s="30">
        <v>80.0</v>
      </c>
      <c r="W153" s="30">
        <v>13.0</v>
      </c>
      <c r="X153" s="30">
        <v>8.0</v>
      </c>
      <c r="Y153" s="30">
        <v>1.0</v>
      </c>
      <c r="Z153" s="28">
        <v>1015.0</v>
      </c>
    </row>
    <row r="154" ht="14.25" customHeight="1">
      <c r="A154" s="27">
        <v>44040.0</v>
      </c>
      <c r="B154" s="28">
        <v>105.0</v>
      </c>
      <c r="C154" s="28">
        <v>118.0</v>
      </c>
      <c r="D154" s="28">
        <v>27618.0</v>
      </c>
      <c r="E154" s="28">
        <v>3866.0</v>
      </c>
      <c r="F154" s="29">
        <v>332865.0</v>
      </c>
      <c r="G154" s="29">
        <v>3971.0</v>
      </c>
      <c r="H154" s="29">
        <v>360483.0</v>
      </c>
      <c r="I154" s="28">
        <v>94.0</v>
      </c>
      <c r="J154" s="28">
        <v>96.0</v>
      </c>
      <c r="K154" s="28">
        <v>18998.0</v>
      </c>
      <c r="L154" s="28">
        <v>1635.0</v>
      </c>
      <c r="M154" s="28">
        <v>184604.0</v>
      </c>
      <c r="N154" s="28">
        <v>203602.0</v>
      </c>
      <c r="O154" s="28">
        <v>5.0</v>
      </c>
      <c r="P154" s="30">
        <v>2235.0</v>
      </c>
      <c r="Q154" s="30">
        <v>5.0</v>
      </c>
      <c r="R154" s="30">
        <v>1839.0</v>
      </c>
      <c r="S154" s="30">
        <v>0.0</v>
      </c>
      <c r="T154" s="30">
        <v>313.0</v>
      </c>
      <c r="U154" s="30">
        <v>83.0</v>
      </c>
      <c r="V154" s="30">
        <v>81.0</v>
      </c>
      <c r="W154" s="30">
        <v>14.0</v>
      </c>
      <c r="X154" s="30">
        <v>7.0</v>
      </c>
      <c r="Y154" s="30">
        <v>1.0</v>
      </c>
      <c r="Z154" s="28">
        <v>1016.0</v>
      </c>
    </row>
    <row r="155" ht="14.25" customHeight="1">
      <c r="A155" s="27">
        <v>44041.0</v>
      </c>
      <c r="B155" s="28">
        <v>191.0</v>
      </c>
      <c r="C155" s="28">
        <v>161.0</v>
      </c>
      <c r="D155" s="28">
        <v>27809.0</v>
      </c>
      <c r="E155" s="28">
        <v>5236.0</v>
      </c>
      <c r="F155" s="29">
        <v>338101.0</v>
      </c>
      <c r="G155" s="29">
        <v>5427.0</v>
      </c>
      <c r="H155" s="29">
        <v>365910.0</v>
      </c>
      <c r="I155" s="28">
        <v>157.0</v>
      </c>
      <c r="J155" s="28">
        <v>131.0</v>
      </c>
      <c r="K155" s="28">
        <v>19155.0</v>
      </c>
      <c r="L155" s="28">
        <v>2325.0</v>
      </c>
      <c r="M155" s="28">
        <v>186929.0</v>
      </c>
      <c r="N155" s="28">
        <v>206084.0</v>
      </c>
      <c r="O155" s="28">
        <v>11.0</v>
      </c>
      <c r="P155" s="30">
        <v>2246.0</v>
      </c>
      <c r="Q155" s="30">
        <v>12.0</v>
      </c>
      <c r="R155" s="30">
        <v>1851.0</v>
      </c>
      <c r="S155" s="30">
        <v>0.0</v>
      </c>
      <c r="T155" s="30">
        <v>313.0</v>
      </c>
      <c r="U155" s="30">
        <v>82.0</v>
      </c>
      <c r="V155" s="30">
        <v>83.0</v>
      </c>
      <c r="W155" s="30">
        <v>15.0</v>
      </c>
      <c r="X155" s="30">
        <v>7.0</v>
      </c>
      <c r="Y155" s="30">
        <v>0.0</v>
      </c>
      <c r="Z155" s="28">
        <v>1016.0</v>
      </c>
    </row>
    <row r="156" ht="14.25" customHeight="1">
      <c r="A156" s="27">
        <v>44042.0</v>
      </c>
      <c r="B156" s="28">
        <v>121.0</v>
      </c>
      <c r="C156" s="28">
        <v>139.0</v>
      </c>
      <c r="D156" s="28">
        <v>27930.0</v>
      </c>
      <c r="E156" s="28">
        <v>4358.0</v>
      </c>
      <c r="F156" s="29">
        <v>342459.0</v>
      </c>
      <c r="G156" s="29">
        <v>4479.0</v>
      </c>
      <c r="H156" s="29">
        <v>370389.0</v>
      </c>
      <c r="I156" s="28">
        <v>96.0</v>
      </c>
      <c r="J156" s="28">
        <v>116.0</v>
      </c>
      <c r="K156" s="28">
        <v>19251.0</v>
      </c>
      <c r="L156" s="28">
        <v>1651.0</v>
      </c>
      <c r="M156" s="28">
        <v>188580.0</v>
      </c>
      <c r="N156" s="28">
        <v>207831.0</v>
      </c>
      <c r="O156" s="28">
        <v>6.0</v>
      </c>
      <c r="P156" s="30">
        <v>2252.0</v>
      </c>
      <c r="Q156" s="30">
        <v>2.0</v>
      </c>
      <c r="R156" s="30">
        <v>1853.0</v>
      </c>
      <c r="S156" s="30">
        <v>1.0</v>
      </c>
      <c r="T156" s="30">
        <v>314.0</v>
      </c>
      <c r="U156" s="30">
        <v>85.0</v>
      </c>
      <c r="V156" s="30">
        <v>83.0</v>
      </c>
      <c r="W156" s="30">
        <v>15.0</v>
      </c>
      <c r="X156" s="30">
        <v>6.0</v>
      </c>
      <c r="Y156" s="30">
        <v>1.0</v>
      </c>
      <c r="Z156" s="28">
        <v>1017.0</v>
      </c>
    </row>
    <row r="157" ht="14.25" customHeight="1">
      <c r="A157" s="27">
        <v>44043.0</v>
      </c>
      <c r="B157" s="28">
        <v>132.0</v>
      </c>
      <c r="C157" s="28">
        <v>148.0</v>
      </c>
      <c r="D157" s="28">
        <v>28062.0</v>
      </c>
      <c r="E157" s="28">
        <v>5527.0</v>
      </c>
      <c r="F157" s="29">
        <v>347986.0</v>
      </c>
      <c r="G157" s="29">
        <v>5659.0</v>
      </c>
      <c r="H157" s="29">
        <v>376048.0</v>
      </c>
      <c r="I157" s="28">
        <v>90.0</v>
      </c>
      <c r="J157" s="28">
        <v>114.0</v>
      </c>
      <c r="K157" s="28">
        <v>19341.0</v>
      </c>
      <c r="L157" s="28">
        <v>1859.0</v>
      </c>
      <c r="M157" s="28">
        <v>190439.0</v>
      </c>
      <c r="N157" s="28">
        <v>209780.0</v>
      </c>
      <c r="O157" s="28">
        <v>8.0</v>
      </c>
      <c r="P157" s="30">
        <v>2260.0</v>
      </c>
      <c r="Q157" s="30">
        <v>10.0</v>
      </c>
      <c r="R157" s="30">
        <v>1863.0</v>
      </c>
      <c r="S157" s="30">
        <v>0.0</v>
      </c>
      <c r="T157" s="30">
        <v>314.0</v>
      </c>
      <c r="U157" s="30">
        <v>83.0</v>
      </c>
      <c r="V157" s="30">
        <v>83.0</v>
      </c>
      <c r="W157" s="30">
        <v>15.0</v>
      </c>
      <c r="X157" s="30">
        <v>7.0</v>
      </c>
      <c r="Y157" s="30">
        <v>0.0</v>
      </c>
      <c r="Z157" s="28">
        <v>1017.0</v>
      </c>
    </row>
    <row r="158" ht="14.25" customHeight="1">
      <c r="A158" s="27">
        <v>44044.0</v>
      </c>
      <c r="B158" s="28">
        <v>109.0</v>
      </c>
      <c r="C158" s="28">
        <v>121.0</v>
      </c>
      <c r="D158" s="28">
        <v>28171.0</v>
      </c>
      <c r="E158" s="28">
        <v>4320.0</v>
      </c>
      <c r="F158" s="29">
        <v>352306.0</v>
      </c>
      <c r="G158" s="29">
        <v>4429.0</v>
      </c>
      <c r="H158" s="29">
        <v>380477.0</v>
      </c>
      <c r="I158" s="28">
        <v>88.0</v>
      </c>
      <c r="J158" s="28">
        <v>91.0</v>
      </c>
      <c r="K158" s="28">
        <v>19429.0</v>
      </c>
      <c r="L158" s="28">
        <v>1559.0</v>
      </c>
      <c r="M158" s="28">
        <v>191998.0</v>
      </c>
      <c r="N158" s="28">
        <v>211427.0</v>
      </c>
      <c r="O158" s="28">
        <v>7.0</v>
      </c>
      <c r="P158" s="30">
        <v>2267.0</v>
      </c>
      <c r="Q158" s="30">
        <v>2.0</v>
      </c>
      <c r="R158" s="30">
        <v>1865.0</v>
      </c>
      <c r="S158" s="30">
        <v>0.0</v>
      </c>
      <c r="T158" s="30">
        <v>314.0</v>
      </c>
      <c r="U158" s="30">
        <v>88.0</v>
      </c>
      <c r="V158" s="30">
        <v>85.0</v>
      </c>
      <c r="W158" s="30">
        <v>14.0</v>
      </c>
      <c r="X158" s="30">
        <v>7.0</v>
      </c>
      <c r="Y158" s="30">
        <v>1.0</v>
      </c>
      <c r="Z158" s="28">
        <v>1018.0</v>
      </c>
    </row>
    <row r="159" ht="14.25" customHeight="1">
      <c r="A159" s="27">
        <v>44045.0</v>
      </c>
      <c r="B159" s="28">
        <v>84.0</v>
      </c>
      <c r="C159" s="28">
        <v>108.0</v>
      </c>
      <c r="D159" s="28">
        <v>28255.0</v>
      </c>
      <c r="E159" s="28">
        <v>2818.0</v>
      </c>
      <c r="F159" s="29">
        <v>355124.0</v>
      </c>
      <c r="G159" s="29">
        <v>2902.0</v>
      </c>
      <c r="H159" s="29">
        <v>383379.0</v>
      </c>
      <c r="I159" s="28">
        <v>62.0</v>
      </c>
      <c r="J159" s="28">
        <v>80.0</v>
      </c>
      <c r="K159" s="28">
        <v>19491.0</v>
      </c>
      <c r="L159" s="28">
        <v>1276.0</v>
      </c>
      <c r="M159" s="28">
        <v>193274.0</v>
      </c>
      <c r="N159" s="28">
        <v>212765.0</v>
      </c>
      <c r="O159" s="28">
        <v>12.0</v>
      </c>
      <c r="P159" s="30">
        <v>2279.0</v>
      </c>
      <c r="Q159" s="30">
        <v>12.0</v>
      </c>
      <c r="R159" s="30">
        <v>1877.0</v>
      </c>
      <c r="S159" s="30">
        <v>2.0</v>
      </c>
      <c r="T159" s="30">
        <v>316.0</v>
      </c>
      <c r="U159" s="30">
        <v>86.0</v>
      </c>
      <c r="V159" s="30">
        <v>86.0</v>
      </c>
      <c r="W159" s="30">
        <v>14.0</v>
      </c>
      <c r="X159" s="30">
        <v>8.0</v>
      </c>
      <c r="Y159" s="30">
        <v>2.0</v>
      </c>
      <c r="Z159" s="28">
        <v>1020.0</v>
      </c>
    </row>
    <row r="160" ht="14.25" customHeight="1">
      <c r="A160" s="27">
        <v>44046.0</v>
      </c>
      <c r="B160" s="28">
        <v>187.0</v>
      </c>
      <c r="C160" s="28">
        <v>127.0</v>
      </c>
      <c r="D160" s="28">
        <v>28442.0</v>
      </c>
      <c r="E160" s="28">
        <v>5218.0</v>
      </c>
      <c r="F160" s="29">
        <v>360342.0</v>
      </c>
      <c r="G160" s="29">
        <v>5405.0</v>
      </c>
      <c r="H160" s="29">
        <v>388784.0</v>
      </c>
      <c r="I160" s="28">
        <v>154.0</v>
      </c>
      <c r="J160" s="28">
        <v>101.0</v>
      </c>
      <c r="K160" s="28">
        <v>19645.0</v>
      </c>
      <c r="L160" s="28">
        <v>2187.0</v>
      </c>
      <c r="M160" s="28">
        <v>195461.0</v>
      </c>
      <c r="N160" s="28">
        <v>215106.0</v>
      </c>
      <c r="O160" s="28">
        <v>13.0</v>
      </c>
      <c r="P160" s="30">
        <v>2292.0</v>
      </c>
      <c r="Q160" s="30">
        <v>12.0</v>
      </c>
      <c r="R160" s="30">
        <v>1889.0</v>
      </c>
      <c r="S160" s="30">
        <v>0.0</v>
      </c>
      <c r="T160" s="30">
        <v>316.0</v>
      </c>
      <c r="U160" s="30">
        <v>87.0</v>
      </c>
      <c r="V160" s="30">
        <v>87.0</v>
      </c>
      <c r="W160" s="30">
        <v>16.0</v>
      </c>
      <c r="X160" s="30">
        <v>7.0</v>
      </c>
      <c r="Y160" s="30">
        <v>1.0</v>
      </c>
      <c r="Z160" s="28">
        <v>1021.0</v>
      </c>
    </row>
    <row r="161" ht="14.25" customHeight="1">
      <c r="A161" s="27">
        <v>44047.0</v>
      </c>
      <c r="B161" s="28">
        <v>126.0</v>
      </c>
      <c r="C161" s="28">
        <v>132.0</v>
      </c>
      <c r="D161" s="28">
        <v>28568.0</v>
      </c>
      <c r="E161" s="28">
        <v>3708.0</v>
      </c>
      <c r="F161" s="29">
        <v>364050.0</v>
      </c>
      <c r="G161" s="29">
        <v>3834.0</v>
      </c>
      <c r="H161" s="29">
        <v>392618.0</v>
      </c>
      <c r="I161" s="28">
        <v>99.0</v>
      </c>
      <c r="J161" s="28">
        <v>105.0</v>
      </c>
      <c r="K161" s="28">
        <v>19744.0</v>
      </c>
      <c r="L161" s="28">
        <v>1775.0</v>
      </c>
      <c r="M161" s="28">
        <v>197236.0</v>
      </c>
      <c r="N161" s="28">
        <v>216980.0</v>
      </c>
      <c r="O161" s="28">
        <v>8.0</v>
      </c>
      <c r="P161" s="30">
        <v>2300.0</v>
      </c>
      <c r="Q161" s="30">
        <v>6.0</v>
      </c>
      <c r="R161" s="30">
        <v>1895.0</v>
      </c>
      <c r="S161" s="30">
        <v>1.0</v>
      </c>
      <c r="T161" s="30">
        <v>317.0</v>
      </c>
      <c r="U161" s="30">
        <v>88.0</v>
      </c>
      <c r="V161" s="30">
        <v>87.0</v>
      </c>
      <c r="W161" s="30">
        <v>12.0</v>
      </c>
      <c r="X161" s="30">
        <v>5.0</v>
      </c>
      <c r="Y161" s="30">
        <v>2.0</v>
      </c>
      <c r="Z161" s="28">
        <v>1023.0</v>
      </c>
    </row>
    <row r="162" ht="14.25" customHeight="1">
      <c r="A162" s="27">
        <v>44048.0</v>
      </c>
      <c r="B162" s="28">
        <v>151.0</v>
      </c>
      <c r="C162" s="28">
        <v>155.0</v>
      </c>
      <c r="D162" s="28">
        <v>28719.0</v>
      </c>
      <c r="E162" s="28">
        <v>5948.0</v>
      </c>
      <c r="F162" s="29">
        <v>369998.0</v>
      </c>
      <c r="G162" s="29">
        <v>6099.0</v>
      </c>
      <c r="H162" s="29">
        <v>398717.0</v>
      </c>
      <c r="I162" s="28">
        <v>118.0</v>
      </c>
      <c r="J162" s="28">
        <v>124.0</v>
      </c>
      <c r="K162" s="28">
        <v>19862.0</v>
      </c>
      <c r="L162" s="28">
        <v>2472.0</v>
      </c>
      <c r="M162" s="28">
        <v>199708.0</v>
      </c>
      <c r="N162" s="28">
        <v>219570.0</v>
      </c>
      <c r="O162" s="28">
        <v>12.0</v>
      </c>
      <c r="P162" s="30">
        <v>2312.0</v>
      </c>
      <c r="Q162" s="30">
        <v>10.0</v>
      </c>
      <c r="R162" s="30">
        <v>1905.0</v>
      </c>
      <c r="S162" s="30">
        <v>1.0</v>
      </c>
      <c r="T162" s="30">
        <v>318.0</v>
      </c>
      <c r="U162" s="30">
        <v>89.0</v>
      </c>
      <c r="V162" s="30">
        <v>88.0</v>
      </c>
      <c r="W162" s="30">
        <v>10.0</v>
      </c>
      <c r="X162" s="30">
        <v>5.0</v>
      </c>
      <c r="Y162" s="30">
        <v>2.0</v>
      </c>
      <c r="Z162" s="28">
        <v>1025.0</v>
      </c>
    </row>
    <row r="163" ht="14.25" customHeight="1">
      <c r="A163" s="27">
        <v>44049.0</v>
      </c>
      <c r="B163" s="28">
        <v>171.0</v>
      </c>
      <c r="C163" s="28">
        <v>149.0</v>
      </c>
      <c r="D163" s="28">
        <v>28890.0</v>
      </c>
      <c r="E163" s="28">
        <v>5557.0</v>
      </c>
      <c r="F163" s="29">
        <v>375555.0</v>
      </c>
      <c r="G163" s="29">
        <v>5728.0</v>
      </c>
      <c r="H163" s="29">
        <v>404445.0</v>
      </c>
      <c r="I163" s="28">
        <v>122.0</v>
      </c>
      <c r="J163" s="28">
        <v>113.0</v>
      </c>
      <c r="K163" s="28">
        <v>19984.0</v>
      </c>
      <c r="L163" s="28">
        <v>2428.0</v>
      </c>
      <c r="M163" s="28">
        <v>202136.0</v>
      </c>
      <c r="N163" s="28">
        <v>222120.0</v>
      </c>
      <c r="O163" s="28">
        <v>7.0</v>
      </c>
      <c r="P163" s="30">
        <v>2319.0</v>
      </c>
      <c r="Q163" s="30">
        <v>9.0</v>
      </c>
      <c r="R163" s="30">
        <v>1914.0</v>
      </c>
      <c r="S163" s="30">
        <v>0.0</v>
      </c>
      <c r="T163" s="30">
        <v>318.0</v>
      </c>
      <c r="U163" s="30">
        <v>87.0</v>
      </c>
      <c r="V163" s="30">
        <v>88.0</v>
      </c>
      <c r="W163" s="30">
        <v>9.0</v>
      </c>
      <c r="X163" s="30">
        <v>4.0</v>
      </c>
      <c r="Y163" s="30">
        <v>0.0</v>
      </c>
      <c r="Z163" s="28">
        <v>1025.0</v>
      </c>
    </row>
    <row r="164" ht="14.25" customHeight="1">
      <c r="A164" s="27">
        <v>44050.0</v>
      </c>
      <c r="B164" s="28">
        <v>122.0</v>
      </c>
      <c r="C164" s="28">
        <v>148.0</v>
      </c>
      <c r="D164" s="28">
        <v>29012.0</v>
      </c>
      <c r="E164" s="28">
        <v>4858.0</v>
      </c>
      <c r="F164" s="29">
        <v>380413.0</v>
      </c>
      <c r="G164" s="29">
        <v>4980.0</v>
      </c>
      <c r="H164" s="29">
        <v>409425.0</v>
      </c>
      <c r="I164" s="28">
        <v>90.0</v>
      </c>
      <c r="J164" s="28">
        <v>110.0</v>
      </c>
      <c r="K164" s="28">
        <v>20074.0</v>
      </c>
      <c r="L164" s="28">
        <v>2159.0</v>
      </c>
      <c r="M164" s="28">
        <v>204295.0</v>
      </c>
      <c r="N164" s="28">
        <v>224369.0</v>
      </c>
      <c r="O164" s="28">
        <v>13.0</v>
      </c>
      <c r="P164" s="30">
        <v>2332.0</v>
      </c>
      <c r="Q164" s="30">
        <v>10.0</v>
      </c>
      <c r="R164" s="30">
        <v>1924.0</v>
      </c>
      <c r="S164" s="30">
        <v>1.0</v>
      </c>
      <c r="T164" s="30">
        <v>319.0</v>
      </c>
      <c r="U164" s="30">
        <v>89.0</v>
      </c>
      <c r="V164" s="30">
        <v>88.0</v>
      </c>
      <c r="W164" s="30">
        <v>9.0</v>
      </c>
      <c r="X164" s="30">
        <v>3.0</v>
      </c>
      <c r="Y164" s="30">
        <v>2.0</v>
      </c>
      <c r="Z164" s="28">
        <v>1027.0</v>
      </c>
    </row>
    <row r="165" ht="14.25" customHeight="1">
      <c r="A165" s="27">
        <v>44051.0</v>
      </c>
      <c r="B165" s="28">
        <v>122.0</v>
      </c>
      <c r="C165" s="28">
        <v>138.0</v>
      </c>
      <c r="D165" s="28">
        <v>29134.0</v>
      </c>
      <c r="E165" s="28">
        <v>4122.0</v>
      </c>
      <c r="F165" s="29">
        <v>384535.0</v>
      </c>
      <c r="G165" s="29">
        <v>4244.0</v>
      </c>
      <c r="H165" s="29">
        <v>413669.0</v>
      </c>
      <c r="I165" s="28">
        <v>96.0</v>
      </c>
      <c r="J165" s="28">
        <v>103.0</v>
      </c>
      <c r="K165" s="28">
        <v>20170.0</v>
      </c>
      <c r="L165" s="28">
        <v>1781.0</v>
      </c>
      <c r="M165" s="28">
        <v>206076.0</v>
      </c>
      <c r="N165" s="28">
        <v>226246.0</v>
      </c>
      <c r="O165" s="28">
        <v>19.0</v>
      </c>
      <c r="P165" s="30">
        <v>2351.0</v>
      </c>
      <c r="Q165" s="30">
        <v>6.0</v>
      </c>
      <c r="R165" s="30">
        <v>1930.0</v>
      </c>
      <c r="S165" s="30">
        <v>1.0</v>
      </c>
      <c r="T165" s="30">
        <v>320.0</v>
      </c>
      <c r="U165" s="30">
        <v>101.0</v>
      </c>
      <c r="V165" s="30">
        <v>92.0</v>
      </c>
      <c r="W165" s="30">
        <v>8.0</v>
      </c>
      <c r="X165" s="30">
        <v>3.0</v>
      </c>
      <c r="Y165" s="30">
        <v>1.0</v>
      </c>
      <c r="Z165" s="28">
        <v>1028.0</v>
      </c>
    </row>
    <row r="166" ht="14.25" customHeight="1">
      <c r="A166" s="27">
        <v>44052.0</v>
      </c>
      <c r="B166" s="28">
        <v>43.0</v>
      </c>
      <c r="C166" s="28">
        <v>96.0</v>
      </c>
      <c r="D166" s="28">
        <v>29177.0</v>
      </c>
      <c r="E166" s="28">
        <v>1736.0</v>
      </c>
      <c r="F166" s="29">
        <v>386271.0</v>
      </c>
      <c r="G166" s="29">
        <v>1779.0</v>
      </c>
      <c r="H166" s="29">
        <v>415448.0</v>
      </c>
      <c r="I166" s="28">
        <v>36.0</v>
      </c>
      <c r="J166" s="28">
        <v>74.0</v>
      </c>
      <c r="K166" s="28">
        <v>20206.0</v>
      </c>
      <c r="L166" s="28">
        <v>1076.0</v>
      </c>
      <c r="M166" s="28">
        <v>207152.0</v>
      </c>
      <c r="N166" s="28">
        <v>227358.0</v>
      </c>
      <c r="O166" s="28">
        <v>8.0</v>
      </c>
      <c r="P166" s="30">
        <v>2359.0</v>
      </c>
      <c r="Q166" s="30">
        <v>10.0</v>
      </c>
      <c r="R166" s="30">
        <v>1940.0</v>
      </c>
      <c r="S166" s="30">
        <v>0.0</v>
      </c>
      <c r="T166" s="30">
        <v>320.0</v>
      </c>
      <c r="U166" s="30">
        <v>99.0</v>
      </c>
      <c r="V166" s="30">
        <v>96.0</v>
      </c>
      <c r="W166" s="30">
        <v>9.0</v>
      </c>
      <c r="X166" s="30">
        <v>4.0</v>
      </c>
      <c r="Y166" s="30">
        <v>0.0</v>
      </c>
      <c r="Z166" s="28">
        <v>1028.0</v>
      </c>
    </row>
    <row r="167" ht="14.25" customHeight="1">
      <c r="A167" s="27">
        <v>44053.0</v>
      </c>
      <c r="B167" s="28">
        <v>150.0</v>
      </c>
      <c r="C167" s="28">
        <v>105.0</v>
      </c>
      <c r="D167" s="28">
        <v>29327.0</v>
      </c>
      <c r="E167" s="28">
        <v>4595.0</v>
      </c>
      <c r="F167" s="29">
        <v>390866.0</v>
      </c>
      <c r="G167" s="29">
        <v>4745.0</v>
      </c>
      <c r="H167" s="29">
        <v>420193.0</v>
      </c>
      <c r="I167" s="28">
        <v>112.0</v>
      </c>
      <c r="J167" s="28">
        <v>81.0</v>
      </c>
      <c r="K167" s="28">
        <v>20318.0</v>
      </c>
      <c r="L167" s="28">
        <v>2030.0</v>
      </c>
      <c r="M167" s="28">
        <v>209182.0</v>
      </c>
      <c r="N167" s="28">
        <v>229500.0</v>
      </c>
      <c r="O167" s="28">
        <v>11.0</v>
      </c>
      <c r="P167" s="30">
        <v>2370.0</v>
      </c>
      <c r="Q167" s="30">
        <v>12.0</v>
      </c>
      <c r="R167" s="30">
        <v>1952.0</v>
      </c>
      <c r="S167" s="30">
        <v>0.0</v>
      </c>
      <c r="T167" s="30">
        <v>320.0</v>
      </c>
      <c r="U167" s="30">
        <v>98.0</v>
      </c>
      <c r="V167" s="30">
        <v>99.0</v>
      </c>
      <c r="W167" s="30">
        <v>9.0</v>
      </c>
      <c r="X167" s="30">
        <v>4.0</v>
      </c>
      <c r="Y167" s="30">
        <v>1.0</v>
      </c>
      <c r="Z167" s="28">
        <v>1029.0</v>
      </c>
    </row>
    <row r="168" ht="14.25" customHeight="1">
      <c r="A168" s="27">
        <v>44054.0</v>
      </c>
      <c r="B168" s="28">
        <v>105.0</v>
      </c>
      <c r="C168" s="28">
        <v>99.0</v>
      </c>
      <c r="D168" s="28">
        <v>29432.0</v>
      </c>
      <c r="E168" s="28">
        <v>4354.0</v>
      </c>
      <c r="F168" s="29">
        <v>395220.0</v>
      </c>
      <c r="G168" s="29">
        <v>4459.0</v>
      </c>
      <c r="H168" s="29">
        <v>424652.0</v>
      </c>
      <c r="I168" s="28">
        <v>93.0</v>
      </c>
      <c r="J168" s="28">
        <v>80.0</v>
      </c>
      <c r="K168" s="28">
        <v>20411.0</v>
      </c>
      <c r="L168" s="28">
        <v>2272.0</v>
      </c>
      <c r="M168" s="28">
        <v>211454.0</v>
      </c>
      <c r="N168" s="28">
        <v>231865.0</v>
      </c>
      <c r="O168" s="28">
        <v>6.0</v>
      </c>
      <c r="P168" s="30">
        <v>2376.0</v>
      </c>
      <c r="Q168" s="30">
        <v>14.0</v>
      </c>
      <c r="R168" s="30">
        <v>1966.0</v>
      </c>
      <c r="S168" s="30">
        <v>0.0</v>
      </c>
      <c r="T168" s="30">
        <v>320.0</v>
      </c>
      <c r="U168" s="30">
        <v>90.0</v>
      </c>
      <c r="V168" s="30">
        <v>96.0</v>
      </c>
      <c r="W168" s="30">
        <v>10.0</v>
      </c>
      <c r="X168" s="30">
        <v>4.0</v>
      </c>
      <c r="Y168" s="30">
        <v>3.0</v>
      </c>
      <c r="Z168" s="28">
        <v>1032.0</v>
      </c>
    </row>
    <row r="169" ht="14.25" customHeight="1">
      <c r="A169" s="27">
        <v>44055.0</v>
      </c>
      <c r="B169" s="28">
        <v>121.0</v>
      </c>
      <c r="C169" s="28">
        <v>125.0</v>
      </c>
      <c r="D169" s="28">
        <v>29553.0</v>
      </c>
      <c r="E169" s="28">
        <v>5213.0</v>
      </c>
      <c r="F169" s="29">
        <v>400433.0</v>
      </c>
      <c r="G169" s="29">
        <v>5334.0</v>
      </c>
      <c r="H169" s="29">
        <v>429986.0</v>
      </c>
      <c r="I169" s="28">
        <v>103.0</v>
      </c>
      <c r="J169" s="28">
        <v>103.0</v>
      </c>
      <c r="K169" s="28">
        <v>20514.0</v>
      </c>
      <c r="L169" s="28">
        <v>2631.0</v>
      </c>
      <c r="M169" s="28">
        <v>214085.0</v>
      </c>
      <c r="N169" s="28">
        <v>234599.0</v>
      </c>
      <c r="O169" s="28">
        <v>8.0</v>
      </c>
      <c r="P169" s="30">
        <v>2384.0</v>
      </c>
      <c r="Q169" s="30">
        <v>11.0</v>
      </c>
      <c r="R169" s="30">
        <v>1977.0</v>
      </c>
      <c r="S169" s="30">
        <v>0.0</v>
      </c>
      <c r="T169" s="30">
        <v>320.0</v>
      </c>
      <c r="U169" s="30">
        <v>87.0</v>
      </c>
      <c r="V169" s="30">
        <v>92.0</v>
      </c>
      <c r="W169" s="30">
        <v>9.0</v>
      </c>
      <c r="X169" s="30">
        <v>3.0</v>
      </c>
      <c r="Y169" s="30">
        <v>1.0</v>
      </c>
      <c r="Z169" s="28">
        <v>1033.0</v>
      </c>
    </row>
    <row r="170" ht="14.25" customHeight="1">
      <c r="A170" s="27">
        <v>44056.0</v>
      </c>
      <c r="B170" s="28">
        <v>135.0</v>
      </c>
      <c r="C170" s="28">
        <v>120.0</v>
      </c>
      <c r="D170" s="28">
        <v>29688.0</v>
      </c>
      <c r="E170" s="28">
        <v>4225.0</v>
      </c>
      <c r="F170" s="29">
        <v>404658.0</v>
      </c>
      <c r="G170" s="29">
        <v>4360.0</v>
      </c>
      <c r="H170" s="29">
        <v>434346.0</v>
      </c>
      <c r="I170" s="28">
        <v>97.0</v>
      </c>
      <c r="J170" s="28">
        <v>98.0</v>
      </c>
      <c r="K170" s="28">
        <v>20611.0</v>
      </c>
      <c r="L170" s="28">
        <v>1911.0</v>
      </c>
      <c r="M170" s="28">
        <v>215996.0</v>
      </c>
      <c r="N170" s="28">
        <v>236607.0</v>
      </c>
      <c r="O170" s="28">
        <v>13.0</v>
      </c>
      <c r="P170" s="30">
        <v>2397.0</v>
      </c>
      <c r="Q170" s="30">
        <v>12.0</v>
      </c>
      <c r="R170" s="30">
        <v>1989.0</v>
      </c>
      <c r="S170" s="30">
        <v>0.0</v>
      </c>
      <c r="T170" s="30">
        <v>320.0</v>
      </c>
      <c r="U170" s="30">
        <v>88.0</v>
      </c>
      <c r="V170" s="30">
        <v>88.0</v>
      </c>
      <c r="W170" s="30">
        <v>11.0</v>
      </c>
      <c r="X170" s="30">
        <v>3.0</v>
      </c>
      <c r="Y170" s="30">
        <v>0.0</v>
      </c>
      <c r="Z170" s="28">
        <v>1033.0</v>
      </c>
    </row>
    <row r="171" ht="14.25" customHeight="1">
      <c r="A171" s="27">
        <v>44057.0</v>
      </c>
      <c r="B171" s="28">
        <v>146.0</v>
      </c>
      <c r="C171" s="28">
        <v>134.0</v>
      </c>
      <c r="D171" s="28">
        <v>29834.0</v>
      </c>
      <c r="E171" s="28">
        <v>5490.0</v>
      </c>
      <c r="F171" s="29">
        <v>410148.0</v>
      </c>
      <c r="G171" s="29">
        <v>5636.0</v>
      </c>
      <c r="H171" s="29">
        <v>439982.0</v>
      </c>
      <c r="I171" s="28">
        <v>101.0</v>
      </c>
      <c r="J171" s="28">
        <v>100.0</v>
      </c>
      <c r="K171" s="28">
        <v>20712.0</v>
      </c>
      <c r="L171" s="28">
        <v>1955.0</v>
      </c>
      <c r="M171" s="28">
        <v>217951.0</v>
      </c>
      <c r="N171" s="28">
        <v>238663.0</v>
      </c>
      <c r="O171" s="28">
        <v>13.0</v>
      </c>
      <c r="P171" s="30">
        <v>2410.0</v>
      </c>
      <c r="Q171" s="30">
        <v>11.0</v>
      </c>
      <c r="R171" s="30">
        <v>2000.0</v>
      </c>
      <c r="S171" s="30">
        <v>0.0</v>
      </c>
      <c r="T171" s="30">
        <v>320.0</v>
      </c>
      <c r="U171" s="30">
        <v>90.0</v>
      </c>
      <c r="V171" s="30">
        <v>88.0</v>
      </c>
      <c r="W171" s="30">
        <v>11.0</v>
      </c>
      <c r="X171" s="30">
        <v>4.0</v>
      </c>
      <c r="Y171" s="30">
        <v>3.0</v>
      </c>
      <c r="Z171" s="28">
        <v>1036.0</v>
      </c>
    </row>
    <row r="172" ht="14.25" customHeight="1">
      <c r="A172" s="27">
        <v>44058.0</v>
      </c>
      <c r="B172" s="28">
        <v>105.0</v>
      </c>
      <c r="C172" s="28">
        <v>129.0</v>
      </c>
      <c r="D172" s="28">
        <v>29939.0</v>
      </c>
      <c r="E172" s="28">
        <v>4545.0</v>
      </c>
      <c r="F172" s="29">
        <v>414693.0</v>
      </c>
      <c r="G172" s="29">
        <v>4650.0</v>
      </c>
      <c r="H172" s="29">
        <v>444632.0</v>
      </c>
      <c r="I172" s="28">
        <v>90.0</v>
      </c>
      <c r="J172" s="28">
        <v>96.0</v>
      </c>
      <c r="K172" s="28">
        <v>20802.0</v>
      </c>
      <c r="L172" s="28">
        <v>1703.0</v>
      </c>
      <c r="M172" s="28">
        <v>219654.0</v>
      </c>
      <c r="N172" s="28">
        <v>240456.0</v>
      </c>
      <c r="O172" s="28">
        <v>8.0</v>
      </c>
      <c r="P172" s="30">
        <v>2418.0</v>
      </c>
      <c r="Q172" s="30">
        <v>11.0</v>
      </c>
      <c r="R172" s="30">
        <v>2011.0</v>
      </c>
      <c r="S172" s="30">
        <v>1.0</v>
      </c>
      <c r="T172" s="30">
        <v>321.0</v>
      </c>
      <c r="U172" s="30">
        <v>86.0</v>
      </c>
      <c r="V172" s="30">
        <v>88.0</v>
      </c>
      <c r="W172" s="30">
        <v>11.0</v>
      </c>
      <c r="X172" s="30">
        <v>5.0</v>
      </c>
      <c r="Y172" s="30">
        <v>0.0</v>
      </c>
      <c r="Z172" s="28">
        <v>1036.0</v>
      </c>
    </row>
    <row r="173" ht="14.25" customHeight="1">
      <c r="A173" s="27">
        <v>44059.0</v>
      </c>
      <c r="B173" s="28">
        <v>83.0</v>
      </c>
      <c r="C173" s="28">
        <v>111.0</v>
      </c>
      <c r="D173" s="28">
        <v>30022.0</v>
      </c>
      <c r="E173" s="28">
        <v>2799.0</v>
      </c>
      <c r="F173" s="29">
        <v>417492.0</v>
      </c>
      <c r="G173" s="29">
        <v>2882.0</v>
      </c>
      <c r="H173" s="29">
        <v>447514.0</v>
      </c>
      <c r="I173" s="28">
        <v>71.0</v>
      </c>
      <c r="J173" s="28">
        <v>87.0</v>
      </c>
      <c r="K173" s="28">
        <v>20873.0</v>
      </c>
      <c r="L173" s="28">
        <v>987.0</v>
      </c>
      <c r="M173" s="28">
        <v>220641.0</v>
      </c>
      <c r="N173" s="28">
        <v>241514.0</v>
      </c>
      <c r="O173" s="28">
        <v>7.0</v>
      </c>
      <c r="P173" s="30">
        <v>2425.0</v>
      </c>
      <c r="Q173" s="30">
        <v>6.0</v>
      </c>
      <c r="R173" s="30">
        <v>2017.0</v>
      </c>
      <c r="S173" s="30">
        <v>4.0</v>
      </c>
      <c r="T173" s="30">
        <v>325.0</v>
      </c>
      <c r="U173" s="30">
        <v>83.0</v>
      </c>
      <c r="V173" s="30">
        <v>86.0</v>
      </c>
      <c r="W173" s="30">
        <v>8.0</v>
      </c>
      <c r="X173" s="30">
        <v>4.0</v>
      </c>
      <c r="Y173" s="30">
        <v>5.0</v>
      </c>
      <c r="Z173" s="28">
        <v>1041.0</v>
      </c>
    </row>
    <row r="174" ht="14.25" customHeight="1">
      <c r="A174" s="27">
        <v>44060.0</v>
      </c>
      <c r="B174" s="28">
        <v>108.0</v>
      </c>
      <c r="C174" s="28">
        <v>99.0</v>
      </c>
      <c r="D174" s="28">
        <v>30130.0</v>
      </c>
      <c r="E174" s="28">
        <v>4557.0</v>
      </c>
      <c r="F174" s="29">
        <v>422049.0</v>
      </c>
      <c r="G174" s="29">
        <v>4665.0</v>
      </c>
      <c r="H174" s="29">
        <v>452179.0</v>
      </c>
      <c r="I174" s="28">
        <v>87.0</v>
      </c>
      <c r="J174" s="28">
        <v>83.0</v>
      </c>
      <c r="K174" s="28">
        <v>20960.0</v>
      </c>
      <c r="L174" s="28">
        <v>2387.0</v>
      </c>
      <c r="M174" s="28">
        <v>223028.0</v>
      </c>
      <c r="N174" s="28">
        <v>243988.0</v>
      </c>
      <c r="O174" s="28">
        <v>10.0</v>
      </c>
      <c r="P174" s="30">
        <v>2435.0</v>
      </c>
      <c r="Q174" s="30">
        <v>7.0</v>
      </c>
      <c r="R174" s="30">
        <v>2024.0</v>
      </c>
      <c r="S174" s="30">
        <v>0.0</v>
      </c>
      <c r="T174" s="30">
        <v>325.0</v>
      </c>
      <c r="U174" s="30">
        <v>86.0</v>
      </c>
      <c r="V174" s="30">
        <v>85.0</v>
      </c>
      <c r="W174" s="30">
        <v>8.0</v>
      </c>
      <c r="X174" s="30">
        <v>5.0</v>
      </c>
      <c r="Y174" s="30">
        <v>2.0</v>
      </c>
      <c r="Z174" s="28">
        <v>1043.0</v>
      </c>
    </row>
    <row r="175" ht="14.25" customHeight="1">
      <c r="A175" s="27">
        <v>44061.0</v>
      </c>
      <c r="B175" s="28">
        <v>130.0</v>
      </c>
      <c r="C175" s="28">
        <v>107.0</v>
      </c>
      <c r="D175" s="28">
        <v>30260.0</v>
      </c>
      <c r="E175" s="28">
        <v>5058.0</v>
      </c>
      <c r="F175" s="29">
        <v>427107.0</v>
      </c>
      <c r="G175" s="29">
        <v>5188.0</v>
      </c>
      <c r="H175" s="29">
        <v>457367.0</v>
      </c>
      <c r="I175" s="28">
        <v>97.0</v>
      </c>
      <c r="J175" s="28">
        <v>85.0</v>
      </c>
      <c r="K175" s="28">
        <v>21057.0</v>
      </c>
      <c r="L175" s="28">
        <v>2788.0</v>
      </c>
      <c r="M175" s="28">
        <v>225816.0</v>
      </c>
      <c r="N175" s="28">
        <v>246873.0</v>
      </c>
      <c r="O175" s="28">
        <v>11.0</v>
      </c>
      <c r="P175" s="30">
        <v>2446.0</v>
      </c>
      <c r="Q175" s="30">
        <v>9.0</v>
      </c>
      <c r="R175" s="30">
        <v>2033.0</v>
      </c>
      <c r="S175" s="30">
        <v>1.0</v>
      </c>
      <c r="T175" s="30">
        <v>326.0</v>
      </c>
      <c r="U175" s="30">
        <v>87.0</v>
      </c>
      <c r="V175" s="30">
        <v>85.0</v>
      </c>
      <c r="W175" s="30">
        <v>8.0</v>
      </c>
      <c r="X175" s="30">
        <v>4.0</v>
      </c>
      <c r="Y175" s="30">
        <v>5.0</v>
      </c>
      <c r="Z175" s="28">
        <v>1048.0</v>
      </c>
    </row>
    <row r="176" ht="14.25" customHeight="1">
      <c r="A176" s="27">
        <v>44062.0</v>
      </c>
      <c r="B176" s="28">
        <v>116.0</v>
      </c>
      <c r="C176" s="28">
        <v>118.0</v>
      </c>
      <c r="D176" s="28">
        <v>30376.0</v>
      </c>
      <c r="E176" s="28">
        <v>5428.0</v>
      </c>
      <c r="F176" s="29">
        <v>432535.0</v>
      </c>
      <c r="G176" s="29">
        <v>5544.0</v>
      </c>
      <c r="H176" s="29">
        <v>462911.0</v>
      </c>
      <c r="I176" s="28">
        <v>90.0</v>
      </c>
      <c r="J176" s="28">
        <v>91.0</v>
      </c>
      <c r="K176" s="28">
        <v>21147.0</v>
      </c>
      <c r="L176" s="28">
        <v>2685.0</v>
      </c>
      <c r="M176" s="28">
        <v>228501.0</v>
      </c>
      <c r="N176" s="28">
        <v>249648.0</v>
      </c>
      <c r="O176" s="28">
        <v>8.0</v>
      </c>
      <c r="P176" s="30">
        <v>2454.0</v>
      </c>
      <c r="Q176" s="30">
        <v>9.0</v>
      </c>
      <c r="R176" s="30">
        <v>2042.0</v>
      </c>
      <c r="S176" s="30">
        <v>1.0</v>
      </c>
      <c r="T176" s="30">
        <v>327.0</v>
      </c>
      <c r="U176" s="30">
        <v>85.0</v>
      </c>
      <c r="V176" s="30">
        <v>86.0</v>
      </c>
      <c r="W176" s="30">
        <v>9.0</v>
      </c>
      <c r="X176" s="30">
        <v>5.0</v>
      </c>
      <c r="Y176" s="30">
        <v>0.0</v>
      </c>
      <c r="Z176" s="28">
        <v>1048.0</v>
      </c>
    </row>
    <row r="177" ht="14.25" customHeight="1">
      <c r="A177" s="27">
        <v>44063.0</v>
      </c>
      <c r="B177" s="28">
        <v>174.0</v>
      </c>
      <c r="C177" s="28">
        <v>140.0</v>
      </c>
      <c r="D177" s="28">
        <v>30550.0</v>
      </c>
      <c r="E177" s="28">
        <v>8287.0</v>
      </c>
      <c r="F177" s="29">
        <v>440822.0</v>
      </c>
      <c r="G177" s="29">
        <v>8461.0</v>
      </c>
      <c r="H177" s="29">
        <v>471372.0</v>
      </c>
      <c r="I177" s="28">
        <v>137.0</v>
      </c>
      <c r="J177" s="28">
        <v>108.0</v>
      </c>
      <c r="K177" s="28">
        <v>21284.0</v>
      </c>
      <c r="L177" s="28">
        <v>3575.0</v>
      </c>
      <c r="M177" s="28">
        <v>232076.0</v>
      </c>
      <c r="N177" s="28">
        <v>253360.0</v>
      </c>
      <c r="O177" s="28">
        <v>12.0</v>
      </c>
      <c r="P177" s="30">
        <v>2466.0</v>
      </c>
      <c r="Q177" s="30">
        <v>6.0</v>
      </c>
      <c r="R177" s="30">
        <v>2048.0</v>
      </c>
      <c r="S177" s="30">
        <v>2.0</v>
      </c>
      <c r="T177" s="30">
        <v>329.0</v>
      </c>
      <c r="U177" s="30">
        <v>89.0</v>
      </c>
      <c r="V177" s="30">
        <v>87.0</v>
      </c>
      <c r="W177" s="30">
        <v>10.0</v>
      </c>
      <c r="X177" s="30">
        <v>5.0</v>
      </c>
      <c r="Y177" s="30">
        <v>3.0</v>
      </c>
      <c r="Z177" s="28">
        <v>1051.0</v>
      </c>
    </row>
    <row r="178" ht="14.25" customHeight="1">
      <c r="A178" s="27">
        <v>44064.0</v>
      </c>
      <c r="B178" s="28">
        <v>156.0</v>
      </c>
      <c r="C178" s="28">
        <v>149.0</v>
      </c>
      <c r="D178" s="28">
        <v>30706.0</v>
      </c>
      <c r="E178" s="28">
        <v>6832.0</v>
      </c>
      <c r="F178" s="29">
        <v>447654.0</v>
      </c>
      <c r="G178" s="29">
        <v>6988.0</v>
      </c>
      <c r="H178" s="29">
        <v>478360.0</v>
      </c>
      <c r="I178" s="28">
        <v>125.0</v>
      </c>
      <c r="J178" s="28">
        <v>117.0</v>
      </c>
      <c r="K178" s="28">
        <v>21409.0</v>
      </c>
      <c r="L178" s="28">
        <v>2980.0</v>
      </c>
      <c r="M178" s="28">
        <v>235056.0</v>
      </c>
      <c r="N178" s="28">
        <v>256465.0</v>
      </c>
      <c r="O178" s="28">
        <v>8.0</v>
      </c>
      <c r="P178" s="30">
        <v>2474.0</v>
      </c>
      <c r="Q178" s="30">
        <v>5.0</v>
      </c>
      <c r="R178" s="30">
        <v>2053.0</v>
      </c>
      <c r="S178" s="30">
        <v>1.0</v>
      </c>
      <c r="T178" s="30">
        <v>330.0</v>
      </c>
      <c r="U178" s="30">
        <v>91.0</v>
      </c>
      <c r="V178" s="30">
        <v>88.0</v>
      </c>
      <c r="W178" s="30">
        <v>9.0</v>
      </c>
      <c r="X178" s="30">
        <v>4.0</v>
      </c>
      <c r="Y178" s="30">
        <v>2.0</v>
      </c>
      <c r="Z178" s="28">
        <v>1053.0</v>
      </c>
    </row>
    <row r="179" ht="14.25" customHeight="1">
      <c r="A179" s="27">
        <v>44065.0</v>
      </c>
      <c r="B179" s="28">
        <v>96.0</v>
      </c>
      <c r="C179" s="28">
        <v>142.0</v>
      </c>
      <c r="D179" s="28">
        <v>30802.0</v>
      </c>
      <c r="E179" s="28">
        <v>5982.0</v>
      </c>
      <c r="F179" s="29">
        <v>453636.0</v>
      </c>
      <c r="G179" s="29">
        <v>6078.0</v>
      </c>
      <c r="H179" s="29">
        <v>484438.0</v>
      </c>
      <c r="I179" s="28">
        <v>84.0</v>
      </c>
      <c r="J179" s="28">
        <v>115.0</v>
      </c>
      <c r="K179" s="28">
        <v>21493.0</v>
      </c>
      <c r="L179" s="28">
        <v>2631.0</v>
      </c>
      <c r="M179" s="28">
        <v>237687.0</v>
      </c>
      <c r="N179" s="28">
        <v>259180.0</v>
      </c>
      <c r="O179" s="28">
        <v>10.0</v>
      </c>
      <c r="P179" s="30">
        <v>2484.0</v>
      </c>
      <c r="Q179" s="30">
        <v>12.0</v>
      </c>
      <c r="R179" s="30">
        <v>2065.0</v>
      </c>
      <c r="S179" s="30">
        <v>0.0</v>
      </c>
      <c r="T179" s="30">
        <v>330.0</v>
      </c>
      <c r="U179" s="30">
        <v>89.0</v>
      </c>
      <c r="V179" s="30">
        <v>90.0</v>
      </c>
      <c r="W179" s="30">
        <v>11.0</v>
      </c>
      <c r="X179" s="30">
        <v>4.0</v>
      </c>
      <c r="Y179" s="30">
        <v>1.0</v>
      </c>
      <c r="Z179" s="28">
        <v>1054.0</v>
      </c>
    </row>
    <row r="180" ht="14.25" customHeight="1">
      <c r="A180" s="27">
        <v>44066.0</v>
      </c>
      <c r="B180" s="28">
        <v>73.0</v>
      </c>
      <c r="C180" s="28">
        <v>108.0</v>
      </c>
      <c r="D180" s="28">
        <v>30875.0</v>
      </c>
      <c r="E180" s="28">
        <v>4387.0</v>
      </c>
      <c r="F180" s="29">
        <v>458023.0</v>
      </c>
      <c r="G180" s="29">
        <v>4460.0</v>
      </c>
      <c r="H180" s="29">
        <v>488898.0</v>
      </c>
      <c r="I180" s="28">
        <v>57.0</v>
      </c>
      <c r="J180" s="28">
        <v>89.0</v>
      </c>
      <c r="K180" s="28">
        <v>21550.0</v>
      </c>
      <c r="L180" s="28">
        <v>2478.0</v>
      </c>
      <c r="M180" s="28">
        <v>240165.0</v>
      </c>
      <c r="N180" s="28">
        <v>261715.0</v>
      </c>
      <c r="O180" s="28">
        <v>11.0</v>
      </c>
      <c r="P180" s="30">
        <v>2495.0</v>
      </c>
      <c r="Q180" s="30">
        <v>5.0</v>
      </c>
      <c r="R180" s="30">
        <v>2070.0</v>
      </c>
      <c r="S180" s="30">
        <v>0.0</v>
      </c>
      <c r="T180" s="30">
        <v>330.0</v>
      </c>
      <c r="U180" s="30">
        <v>95.0</v>
      </c>
      <c r="V180" s="30">
        <v>92.0</v>
      </c>
      <c r="W180" s="30">
        <v>11.0</v>
      </c>
      <c r="X180" s="30">
        <v>2.0</v>
      </c>
      <c r="Y180" s="30">
        <v>1.0</v>
      </c>
      <c r="Z180" s="28">
        <v>1055.0</v>
      </c>
    </row>
    <row r="181" ht="14.25" customHeight="1">
      <c r="A181" s="27">
        <v>44067.0</v>
      </c>
      <c r="B181" s="28">
        <v>105.0</v>
      </c>
      <c r="C181" s="28">
        <v>91.0</v>
      </c>
      <c r="D181" s="28">
        <v>30980.0</v>
      </c>
      <c r="E181" s="28">
        <v>5787.0</v>
      </c>
      <c r="F181" s="29">
        <v>463810.0</v>
      </c>
      <c r="G181" s="29">
        <v>5892.0</v>
      </c>
      <c r="H181" s="29">
        <v>494790.0</v>
      </c>
      <c r="I181" s="28">
        <v>75.0</v>
      </c>
      <c r="J181" s="28">
        <v>72.0</v>
      </c>
      <c r="K181" s="28">
        <v>21625.0</v>
      </c>
      <c r="L181" s="28">
        <v>3164.0</v>
      </c>
      <c r="M181" s="28">
        <v>243329.0</v>
      </c>
      <c r="N181" s="28">
        <v>264954.0</v>
      </c>
      <c r="O181" s="28">
        <v>7.0</v>
      </c>
      <c r="P181" s="30">
        <v>2502.0</v>
      </c>
      <c r="Q181" s="30">
        <v>10.0</v>
      </c>
      <c r="R181" s="30">
        <v>2080.0</v>
      </c>
      <c r="S181" s="30">
        <v>1.0</v>
      </c>
      <c r="T181" s="30">
        <v>331.0</v>
      </c>
      <c r="U181" s="30">
        <v>91.0</v>
      </c>
      <c r="V181" s="30">
        <v>92.0</v>
      </c>
      <c r="W181" s="30">
        <v>13.0</v>
      </c>
      <c r="X181" s="30">
        <v>4.0</v>
      </c>
      <c r="Y181" s="30">
        <v>1.0</v>
      </c>
      <c r="Z181" s="28">
        <v>1056.0</v>
      </c>
    </row>
    <row r="182" ht="14.25" customHeight="1">
      <c r="A182" s="27">
        <v>44068.0</v>
      </c>
      <c r="B182" s="28">
        <v>111.0</v>
      </c>
      <c r="C182" s="28">
        <v>96.0</v>
      </c>
      <c r="D182" s="28">
        <v>31091.0</v>
      </c>
      <c r="E182" s="28">
        <v>4828.0</v>
      </c>
      <c r="F182" s="29">
        <v>468638.0</v>
      </c>
      <c r="G182" s="29">
        <v>4939.0</v>
      </c>
      <c r="H182" s="29">
        <v>499729.0</v>
      </c>
      <c r="I182" s="28">
        <v>94.0</v>
      </c>
      <c r="J182" s="28">
        <v>75.0</v>
      </c>
      <c r="K182" s="28">
        <v>21719.0</v>
      </c>
      <c r="L182" s="28">
        <v>2313.0</v>
      </c>
      <c r="M182" s="28">
        <v>245642.0</v>
      </c>
      <c r="N182" s="28">
        <v>267361.0</v>
      </c>
      <c r="O182" s="28">
        <v>10.0</v>
      </c>
      <c r="P182" s="30">
        <v>2512.0</v>
      </c>
      <c r="Q182" s="30">
        <v>4.0</v>
      </c>
      <c r="R182" s="30">
        <v>2084.0</v>
      </c>
      <c r="S182" s="30">
        <v>1.0</v>
      </c>
      <c r="T182" s="30">
        <v>332.0</v>
      </c>
      <c r="U182" s="30">
        <v>96.0</v>
      </c>
      <c r="V182" s="30">
        <v>94.0</v>
      </c>
      <c r="W182" s="30">
        <v>11.0</v>
      </c>
      <c r="X182" s="30">
        <v>4.0</v>
      </c>
      <c r="Y182" s="30">
        <v>1.0</v>
      </c>
      <c r="Z182" s="28">
        <v>1057.0</v>
      </c>
    </row>
    <row r="183" ht="14.25" customHeight="1">
      <c r="A183" s="27">
        <v>44069.0</v>
      </c>
      <c r="B183" s="28">
        <v>171.0</v>
      </c>
      <c r="C183" s="28">
        <v>129.0</v>
      </c>
      <c r="D183" s="28">
        <v>31262.0</v>
      </c>
      <c r="E183" s="28">
        <v>9634.0</v>
      </c>
      <c r="F183" s="29">
        <v>478272.0</v>
      </c>
      <c r="G183" s="29">
        <v>9805.0</v>
      </c>
      <c r="H183" s="29">
        <v>509534.0</v>
      </c>
      <c r="I183" s="28">
        <v>128.0</v>
      </c>
      <c r="J183" s="28">
        <v>99.0</v>
      </c>
      <c r="K183" s="28">
        <v>21847.0</v>
      </c>
      <c r="L183" s="28">
        <v>3095.0</v>
      </c>
      <c r="M183" s="28">
        <v>248737.0</v>
      </c>
      <c r="N183" s="28">
        <v>270584.0</v>
      </c>
      <c r="O183" s="28">
        <v>4.0</v>
      </c>
      <c r="P183" s="30">
        <v>2516.0</v>
      </c>
      <c r="Q183" s="30">
        <v>8.0</v>
      </c>
      <c r="R183" s="30">
        <v>2092.0</v>
      </c>
      <c r="S183" s="30">
        <v>0.0</v>
      </c>
      <c r="T183" s="30">
        <v>332.0</v>
      </c>
      <c r="U183" s="30">
        <v>92.0</v>
      </c>
      <c r="V183" s="30">
        <v>93.0</v>
      </c>
      <c r="W183" s="30">
        <v>9.0</v>
      </c>
      <c r="X183" s="30">
        <v>5.0</v>
      </c>
      <c r="Y183" s="30">
        <v>1.0</v>
      </c>
      <c r="Z183" s="28">
        <v>1058.0</v>
      </c>
    </row>
    <row r="184" ht="14.25" customHeight="1">
      <c r="A184" s="27">
        <v>44070.0</v>
      </c>
      <c r="B184" s="28">
        <v>94.0</v>
      </c>
      <c r="C184" s="28">
        <v>125.0</v>
      </c>
      <c r="D184" s="28">
        <v>31356.0</v>
      </c>
      <c r="E184" s="28">
        <v>8924.0</v>
      </c>
      <c r="F184" s="29">
        <v>487196.0</v>
      </c>
      <c r="G184" s="29">
        <v>9018.0</v>
      </c>
      <c r="H184" s="29">
        <v>518552.0</v>
      </c>
      <c r="I184" s="28">
        <v>71.0</v>
      </c>
      <c r="J184" s="28">
        <v>98.0</v>
      </c>
      <c r="K184" s="28">
        <v>21918.0</v>
      </c>
      <c r="L184" s="28">
        <v>3274.0</v>
      </c>
      <c r="M184" s="28">
        <v>252011.0</v>
      </c>
      <c r="N184" s="28">
        <v>273929.0</v>
      </c>
      <c r="O184" s="28">
        <v>6.0</v>
      </c>
      <c r="P184" s="30">
        <v>2522.0</v>
      </c>
      <c r="Q184" s="30">
        <v>14.0</v>
      </c>
      <c r="R184" s="30">
        <v>2106.0</v>
      </c>
      <c r="S184" s="30">
        <v>1.0</v>
      </c>
      <c r="T184" s="30">
        <v>333.0</v>
      </c>
      <c r="U184" s="30">
        <v>83.0</v>
      </c>
      <c r="V184" s="30">
        <v>90.0</v>
      </c>
      <c r="W184" s="30">
        <v>6.0</v>
      </c>
      <c r="X184" s="30">
        <v>5.0</v>
      </c>
      <c r="Y184" s="30">
        <v>2.0</v>
      </c>
      <c r="Z184" s="28">
        <v>1060.0</v>
      </c>
    </row>
    <row r="185" ht="14.25" customHeight="1">
      <c r="A185" s="27">
        <v>44071.0</v>
      </c>
      <c r="B185" s="28">
        <v>113.0</v>
      </c>
      <c r="C185" s="28">
        <v>126.0</v>
      </c>
      <c r="D185" s="28">
        <v>31469.0</v>
      </c>
      <c r="E185" s="28">
        <v>8132.0</v>
      </c>
      <c r="F185" s="29">
        <v>495328.0</v>
      </c>
      <c r="G185" s="29">
        <v>8245.0</v>
      </c>
      <c r="H185" s="29">
        <v>526797.0</v>
      </c>
      <c r="I185" s="28">
        <v>88.0</v>
      </c>
      <c r="J185" s="28">
        <v>96.0</v>
      </c>
      <c r="K185" s="28">
        <v>22006.0</v>
      </c>
      <c r="L185" s="28">
        <v>2456.0</v>
      </c>
      <c r="M185" s="28">
        <v>254467.0</v>
      </c>
      <c r="N185" s="28">
        <v>276473.0</v>
      </c>
      <c r="O185" s="28">
        <v>14.0</v>
      </c>
      <c r="P185" s="30">
        <v>2536.0</v>
      </c>
      <c r="Q185" s="30">
        <v>4.0</v>
      </c>
      <c r="R185" s="30">
        <v>2110.0</v>
      </c>
      <c r="S185" s="30">
        <v>0.0</v>
      </c>
      <c r="T185" s="30">
        <v>333.0</v>
      </c>
      <c r="U185" s="30">
        <v>93.0</v>
      </c>
      <c r="V185" s="30">
        <v>89.0</v>
      </c>
      <c r="W185" s="30">
        <v>9.0</v>
      </c>
      <c r="X185" s="30">
        <v>7.0</v>
      </c>
      <c r="Y185" s="30">
        <v>2.0</v>
      </c>
      <c r="Z185" s="28">
        <v>1062.0</v>
      </c>
    </row>
    <row r="186" ht="14.25" customHeight="1">
      <c r="A186" s="27">
        <v>44072.0</v>
      </c>
      <c r="B186" s="28">
        <v>65.0</v>
      </c>
      <c r="C186" s="28">
        <v>91.0</v>
      </c>
      <c r="D186" s="28">
        <v>31534.0</v>
      </c>
      <c r="E186" s="28">
        <v>5553.0</v>
      </c>
      <c r="F186" s="29">
        <v>500881.0</v>
      </c>
      <c r="G186" s="29">
        <v>5618.0</v>
      </c>
      <c r="H186" s="29">
        <v>532415.0</v>
      </c>
      <c r="I186" s="28">
        <v>53.0</v>
      </c>
      <c r="J186" s="28">
        <v>71.0</v>
      </c>
      <c r="K186" s="28">
        <v>22059.0</v>
      </c>
      <c r="L186" s="28">
        <v>1925.0</v>
      </c>
      <c r="M186" s="28">
        <v>256392.0</v>
      </c>
      <c r="N186" s="28">
        <v>278451.0</v>
      </c>
      <c r="O186" s="28">
        <v>6.0</v>
      </c>
      <c r="P186" s="30">
        <v>2542.0</v>
      </c>
      <c r="Q186" s="30">
        <v>8.0</v>
      </c>
      <c r="R186" s="30">
        <v>2118.0</v>
      </c>
      <c r="S186" s="30">
        <v>1.0</v>
      </c>
      <c r="T186" s="30">
        <v>334.0</v>
      </c>
      <c r="U186" s="30">
        <v>90.0</v>
      </c>
      <c r="V186" s="30">
        <v>89.0</v>
      </c>
      <c r="W186" s="30">
        <v>10.0</v>
      </c>
      <c r="X186" s="30">
        <v>6.0</v>
      </c>
      <c r="Y186" s="30">
        <v>1.0</v>
      </c>
      <c r="Z186" s="28">
        <v>1063.0</v>
      </c>
    </row>
    <row r="187" ht="14.25" customHeight="1">
      <c r="A187" s="27">
        <v>44073.0</v>
      </c>
      <c r="B187" s="28">
        <v>68.0</v>
      </c>
      <c r="C187" s="28">
        <v>82.0</v>
      </c>
      <c r="D187" s="28">
        <v>31602.0</v>
      </c>
      <c r="E187" s="28">
        <v>4339.0</v>
      </c>
      <c r="F187" s="29">
        <v>505220.0</v>
      </c>
      <c r="G187" s="29">
        <v>4407.0</v>
      </c>
      <c r="H187" s="29">
        <v>536822.0</v>
      </c>
      <c r="I187" s="28">
        <v>48.0</v>
      </c>
      <c r="J187" s="28">
        <v>63.0</v>
      </c>
      <c r="K187" s="28">
        <v>22107.0</v>
      </c>
      <c r="L187" s="28">
        <v>2000.0</v>
      </c>
      <c r="M187" s="28">
        <v>258392.0</v>
      </c>
      <c r="N187" s="28">
        <v>280499.0</v>
      </c>
      <c r="O187" s="28">
        <v>7.0</v>
      </c>
      <c r="P187" s="30">
        <v>2549.0</v>
      </c>
      <c r="Q187" s="30">
        <v>4.0</v>
      </c>
      <c r="R187" s="30">
        <v>2122.0</v>
      </c>
      <c r="S187" s="30">
        <v>0.0</v>
      </c>
      <c r="T187" s="30">
        <v>334.0</v>
      </c>
      <c r="U187" s="30">
        <v>93.0</v>
      </c>
      <c r="V187" s="30">
        <v>92.0</v>
      </c>
      <c r="W187" s="30">
        <v>8.0</v>
      </c>
      <c r="X187" s="30">
        <v>5.0</v>
      </c>
      <c r="Y187" s="30">
        <v>1.0</v>
      </c>
      <c r="Z187" s="28">
        <v>1064.0</v>
      </c>
    </row>
    <row r="188" ht="14.25" customHeight="1">
      <c r="A188" s="27">
        <v>44074.0</v>
      </c>
      <c r="B188" s="28">
        <v>107.0</v>
      </c>
      <c r="C188" s="28">
        <v>80.0</v>
      </c>
      <c r="D188" s="28">
        <v>31709.0</v>
      </c>
      <c r="E188" s="28">
        <v>4883.0</v>
      </c>
      <c r="F188" s="29">
        <v>510103.0</v>
      </c>
      <c r="G188" s="29">
        <v>4990.0</v>
      </c>
      <c r="H188" s="29">
        <v>541812.0</v>
      </c>
      <c r="I188" s="28">
        <v>82.0</v>
      </c>
      <c r="J188" s="28">
        <v>61.0</v>
      </c>
      <c r="K188" s="28">
        <v>22189.0</v>
      </c>
      <c r="L188" s="28">
        <v>2194.0</v>
      </c>
      <c r="M188" s="28">
        <v>260586.0</v>
      </c>
      <c r="N188" s="28">
        <v>282775.0</v>
      </c>
      <c r="O188" s="28">
        <v>10.0</v>
      </c>
      <c r="P188" s="30">
        <v>2559.0</v>
      </c>
      <c r="Q188" s="30">
        <v>15.0</v>
      </c>
      <c r="R188" s="30">
        <v>2137.0</v>
      </c>
      <c r="S188" s="30">
        <v>0.0</v>
      </c>
      <c r="T188" s="30">
        <v>334.0</v>
      </c>
      <c r="U188" s="30">
        <v>88.0</v>
      </c>
      <c r="V188" s="30">
        <v>90.0</v>
      </c>
      <c r="W188" s="30">
        <v>8.0</v>
      </c>
      <c r="X188" s="30">
        <v>4.0</v>
      </c>
      <c r="Y188" s="30">
        <v>0.0</v>
      </c>
      <c r="Z188" s="28">
        <v>1064.0</v>
      </c>
    </row>
    <row r="189" ht="14.25" customHeight="1">
      <c r="A189" s="27">
        <v>44075.0</v>
      </c>
      <c r="B189" s="28">
        <v>99.0</v>
      </c>
      <c r="C189" s="28">
        <v>91.0</v>
      </c>
      <c r="D189" s="28">
        <v>31808.0</v>
      </c>
      <c r="E189" s="28">
        <v>7333.0</v>
      </c>
      <c r="F189" s="29">
        <v>517436.0</v>
      </c>
      <c r="G189" s="29">
        <v>7432.0</v>
      </c>
      <c r="H189" s="29">
        <v>549244.0</v>
      </c>
      <c r="I189" s="28">
        <v>67.0</v>
      </c>
      <c r="J189" s="28">
        <v>66.0</v>
      </c>
      <c r="K189" s="28">
        <v>22256.0</v>
      </c>
      <c r="L189" s="28">
        <v>2385.0</v>
      </c>
      <c r="M189" s="28">
        <v>262971.0</v>
      </c>
      <c r="N189" s="28">
        <v>285227.0</v>
      </c>
      <c r="O189" s="28">
        <v>6.0</v>
      </c>
      <c r="P189" s="30">
        <v>2565.0</v>
      </c>
      <c r="Q189" s="30">
        <v>9.0</v>
      </c>
      <c r="R189" s="30">
        <v>2146.0</v>
      </c>
      <c r="S189" s="30">
        <v>1.0</v>
      </c>
      <c r="T189" s="30">
        <v>335.0</v>
      </c>
      <c r="U189" s="30">
        <v>84.0</v>
      </c>
      <c r="V189" s="30">
        <v>88.0</v>
      </c>
      <c r="W189" s="30">
        <v>7.0</v>
      </c>
      <c r="X189" s="30">
        <v>4.0</v>
      </c>
      <c r="Y189" s="30">
        <v>1.0</v>
      </c>
      <c r="Z189" s="28">
        <v>1065.0</v>
      </c>
    </row>
    <row r="190" ht="14.25" customHeight="1">
      <c r="A190" s="27">
        <v>44076.0</v>
      </c>
      <c r="B190" s="28">
        <v>124.0</v>
      </c>
      <c r="C190" s="28">
        <v>110.0</v>
      </c>
      <c r="D190" s="28">
        <v>31932.0</v>
      </c>
      <c r="E190" s="28">
        <v>10845.0</v>
      </c>
      <c r="F190" s="29">
        <v>528281.0</v>
      </c>
      <c r="G190" s="29">
        <v>10969.0</v>
      </c>
      <c r="H190" s="29">
        <v>560213.0</v>
      </c>
      <c r="I190" s="28">
        <v>102.0</v>
      </c>
      <c r="J190" s="28">
        <v>84.0</v>
      </c>
      <c r="K190" s="28">
        <v>22358.0</v>
      </c>
      <c r="L190" s="28">
        <v>2969.0</v>
      </c>
      <c r="M190" s="28">
        <v>265940.0</v>
      </c>
      <c r="N190" s="28">
        <v>288298.0</v>
      </c>
      <c r="O190" s="28">
        <v>9.0</v>
      </c>
      <c r="P190" s="30">
        <v>2574.0</v>
      </c>
      <c r="Q190" s="30">
        <v>10.0</v>
      </c>
      <c r="R190" s="30">
        <v>2156.0</v>
      </c>
      <c r="S190" s="30">
        <v>1.0</v>
      </c>
      <c r="T190" s="30">
        <v>336.0</v>
      </c>
      <c r="U190" s="30">
        <v>82.0</v>
      </c>
      <c r="V190" s="30">
        <v>85.0</v>
      </c>
      <c r="W190" s="30">
        <v>8.0</v>
      </c>
      <c r="X190" s="30">
        <v>4.0</v>
      </c>
      <c r="Y190" s="30">
        <v>2.0</v>
      </c>
      <c r="Z190" s="28">
        <v>1067.0</v>
      </c>
    </row>
    <row r="191" ht="14.25" customHeight="1">
      <c r="A191" s="27">
        <v>44077.0</v>
      </c>
      <c r="B191" s="28">
        <v>90.0</v>
      </c>
      <c r="C191" s="28">
        <v>104.0</v>
      </c>
      <c r="D191" s="28">
        <v>32022.0</v>
      </c>
      <c r="E191" s="28">
        <v>11370.0</v>
      </c>
      <c r="F191" s="29">
        <v>539651.0</v>
      </c>
      <c r="G191" s="29">
        <v>11460.0</v>
      </c>
      <c r="H191" s="29">
        <v>571673.0</v>
      </c>
      <c r="I191" s="28">
        <v>77.0</v>
      </c>
      <c r="J191" s="28">
        <v>82.0</v>
      </c>
      <c r="K191" s="28">
        <v>22435.0</v>
      </c>
      <c r="L191" s="28">
        <v>2591.0</v>
      </c>
      <c r="M191" s="28">
        <v>268531.0</v>
      </c>
      <c r="N191" s="28">
        <v>290966.0</v>
      </c>
      <c r="O191" s="28">
        <v>8.0</v>
      </c>
      <c r="P191" s="30">
        <v>2582.0</v>
      </c>
      <c r="Q191" s="30">
        <v>8.0</v>
      </c>
      <c r="R191" s="30">
        <v>2164.0</v>
      </c>
      <c r="S191" s="30">
        <v>0.0</v>
      </c>
      <c r="T191" s="30">
        <v>336.0</v>
      </c>
      <c r="U191" s="30">
        <v>82.0</v>
      </c>
      <c r="V191" s="30">
        <v>83.0</v>
      </c>
      <c r="W191" s="30">
        <v>9.0</v>
      </c>
      <c r="X191" s="30">
        <v>4.0</v>
      </c>
      <c r="Y191" s="30">
        <v>1.0</v>
      </c>
      <c r="Z191" s="28">
        <v>1068.0</v>
      </c>
    </row>
    <row r="192" ht="14.25" customHeight="1">
      <c r="A192" s="27">
        <v>44078.0</v>
      </c>
      <c r="B192" s="28">
        <v>103.0</v>
      </c>
      <c r="C192" s="28">
        <v>106.0</v>
      </c>
      <c r="D192" s="28">
        <v>32125.0</v>
      </c>
      <c r="E192" s="28">
        <v>9248.0</v>
      </c>
      <c r="F192" s="29">
        <v>548899.0</v>
      </c>
      <c r="G192" s="29">
        <v>9351.0</v>
      </c>
      <c r="H192" s="29">
        <v>581024.0</v>
      </c>
      <c r="I192" s="28">
        <v>83.0</v>
      </c>
      <c r="J192" s="28">
        <v>87.0</v>
      </c>
      <c r="K192" s="28">
        <v>22518.0</v>
      </c>
      <c r="L192" s="28">
        <v>2410.0</v>
      </c>
      <c r="M192" s="28">
        <v>270941.0</v>
      </c>
      <c r="N192" s="28">
        <v>293459.0</v>
      </c>
      <c r="O192" s="28">
        <v>11.0</v>
      </c>
      <c r="P192" s="30">
        <v>2593.0</v>
      </c>
      <c r="Q192" s="30">
        <v>4.0</v>
      </c>
      <c r="R192" s="30">
        <v>2168.0</v>
      </c>
      <c r="S192" s="30">
        <v>0.0</v>
      </c>
      <c r="T192" s="30">
        <v>336.0</v>
      </c>
      <c r="U192" s="30">
        <v>89.0</v>
      </c>
      <c r="V192" s="30">
        <v>84.0</v>
      </c>
      <c r="W192" s="30">
        <v>9.0</v>
      </c>
      <c r="X192" s="30">
        <v>4.0</v>
      </c>
      <c r="Y192" s="30">
        <v>1.0</v>
      </c>
      <c r="Z192" s="28">
        <v>1069.0</v>
      </c>
    </row>
    <row r="193" ht="14.25" customHeight="1">
      <c r="A193" s="27">
        <v>44079.0</v>
      </c>
      <c r="B193" s="28">
        <v>52.0</v>
      </c>
      <c r="C193" s="28">
        <v>82.0</v>
      </c>
      <c r="D193" s="28">
        <v>32177.0</v>
      </c>
      <c r="E193" s="28">
        <v>6683.0</v>
      </c>
      <c r="F193" s="29">
        <v>555582.0</v>
      </c>
      <c r="G193" s="29">
        <v>6735.0</v>
      </c>
      <c r="H193" s="29">
        <v>587759.0</v>
      </c>
      <c r="I193" s="28">
        <v>42.0</v>
      </c>
      <c r="J193" s="28">
        <v>67.0</v>
      </c>
      <c r="K193" s="28">
        <v>22560.0</v>
      </c>
      <c r="L193" s="28">
        <v>1593.0</v>
      </c>
      <c r="M193" s="28">
        <v>272534.0</v>
      </c>
      <c r="N193" s="28">
        <v>295094.0</v>
      </c>
      <c r="O193" s="28">
        <v>6.0</v>
      </c>
      <c r="P193" s="30">
        <v>2599.0</v>
      </c>
      <c r="Q193" s="30">
        <v>9.0</v>
      </c>
      <c r="R193" s="30">
        <v>2177.0</v>
      </c>
      <c r="S193" s="30">
        <v>0.0</v>
      </c>
      <c r="T193" s="30">
        <v>336.0</v>
      </c>
      <c r="U193" s="30">
        <v>86.0</v>
      </c>
      <c r="V193" s="30">
        <v>86.0</v>
      </c>
      <c r="W193" s="30">
        <v>8.0</v>
      </c>
      <c r="X193" s="30">
        <v>3.0</v>
      </c>
      <c r="Y193" s="30">
        <v>1.0</v>
      </c>
      <c r="Z193" s="28">
        <v>1070.0</v>
      </c>
    </row>
    <row r="194" ht="14.25" customHeight="1">
      <c r="A194" s="27">
        <v>44080.0</v>
      </c>
      <c r="B194" s="28">
        <v>89.0</v>
      </c>
      <c r="C194" s="28">
        <v>81.0</v>
      </c>
      <c r="D194" s="28">
        <v>32266.0</v>
      </c>
      <c r="E194" s="28">
        <v>4664.0</v>
      </c>
      <c r="F194" s="29">
        <v>560246.0</v>
      </c>
      <c r="G194" s="29">
        <v>4753.0</v>
      </c>
      <c r="H194" s="29">
        <v>592512.0</v>
      </c>
      <c r="I194" s="28">
        <v>66.0</v>
      </c>
      <c r="J194" s="28">
        <v>64.0</v>
      </c>
      <c r="K194" s="28">
        <v>22626.0</v>
      </c>
      <c r="L194" s="28">
        <v>1957.0</v>
      </c>
      <c r="M194" s="28">
        <v>274491.0</v>
      </c>
      <c r="N194" s="28">
        <v>297117.0</v>
      </c>
      <c r="O194" s="28">
        <v>4.0</v>
      </c>
      <c r="P194" s="30">
        <v>2603.0</v>
      </c>
      <c r="Q194" s="30">
        <v>8.0</v>
      </c>
      <c r="R194" s="30">
        <v>2185.0</v>
      </c>
      <c r="S194" s="30">
        <v>1.0</v>
      </c>
      <c r="T194" s="30">
        <v>337.0</v>
      </c>
      <c r="U194" s="30">
        <v>81.0</v>
      </c>
      <c r="V194" s="30">
        <v>85.0</v>
      </c>
      <c r="W194" s="30">
        <v>6.0</v>
      </c>
      <c r="X194" s="30">
        <v>3.0</v>
      </c>
      <c r="Y194" s="30">
        <v>1.0</v>
      </c>
      <c r="Z194" s="28">
        <v>1071.0</v>
      </c>
    </row>
    <row r="195" ht="14.25" customHeight="1">
      <c r="A195" s="27">
        <v>44081.0</v>
      </c>
      <c r="B195" s="28">
        <v>35.0</v>
      </c>
      <c r="C195" s="28">
        <v>59.0</v>
      </c>
      <c r="D195" s="28">
        <v>32301.0</v>
      </c>
      <c r="E195" s="28">
        <v>3007.0</v>
      </c>
      <c r="F195" s="29">
        <v>563253.0</v>
      </c>
      <c r="G195" s="29">
        <v>3042.0</v>
      </c>
      <c r="H195" s="29">
        <v>595554.0</v>
      </c>
      <c r="I195" s="28">
        <v>26.0</v>
      </c>
      <c r="J195" s="28">
        <v>45.0</v>
      </c>
      <c r="K195" s="28">
        <v>22652.0</v>
      </c>
      <c r="L195" s="28">
        <v>649.0</v>
      </c>
      <c r="M195" s="28">
        <v>275140.0</v>
      </c>
      <c r="N195" s="28">
        <v>297792.0</v>
      </c>
      <c r="O195" s="28">
        <v>11.0</v>
      </c>
      <c r="P195" s="30">
        <v>2614.0</v>
      </c>
      <c r="Q195" s="30">
        <v>3.0</v>
      </c>
      <c r="R195" s="30">
        <v>2188.0</v>
      </c>
      <c r="S195" s="30">
        <v>0.0</v>
      </c>
      <c r="T195" s="30">
        <v>337.0</v>
      </c>
      <c r="U195" s="30">
        <v>89.0</v>
      </c>
      <c r="V195" s="30">
        <v>85.0</v>
      </c>
      <c r="W195" s="30">
        <v>5.0</v>
      </c>
      <c r="X195" s="30">
        <v>3.0</v>
      </c>
      <c r="Y195" s="30">
        <v>1.0</v>
      </c>
      <c r="Z195" s="28">
        <v>1072.0</v>
      </c>
    </row>
    <row r="196" ht="14.25" customHeight="1">
      <c r="A196" s="27">
        <v>44082.0</v>
      </c>
      <c r="B196" s="28">
        <v>77.0</v>
      </c>
      <c r="C196" s="28">
        <v>67.0</v>
      </c>
      <c r="D196" s="28">
        <v>32378.0</v>
      </c>
      <c r="E196" s="28">
        <v>6384.0</v>
      </c>
      <c r="F196" s="29">
        <v>569637.0</v>
      </c>
      <c r="G196" s="29">
        <v>6461.0</v>
      </c>
      <c r="H196" s="29">
        <v>602015.0</v>
      </c>
      <c r="I196" s="28">
        <v>68.0</v>
      </c>
      <c r="J196" s="28">
        <v>53.0</v>
      </c>
      <c r="K196" s="28">
        <v>22720.0</v>
      </c>
      <c r="L196" s="28">
        <v>1594.0</v>
      </c>
      <c r="M196" s="28">
        <v>276734.0</v>
      </c>
      <c r="N196" s="28">
        <v>299454.0</v>
      </c>
      <c r="O196" s="28">
        <v>6.0</v>
      </c>
      <c r="P196" s="30">
        <v>2620.0</v>
      </c>
      <c r="Q196" s="30">
        <v>12.0</v>
      </c>
      <c r="R196" s="30">
        <v>2200.0</v>
      </c>
      <c r="S196" s="30">
        <v>1.0</v>
      </c>
      <c r="T196" s="30">
        <v>338.0</v>
      </c>
      <c r="U196" s="30">
        <v>82.0</v>
      </c>
      <c r="V196" s="30">
        <v>84.0</v>
      </c>
      <c r="W196" s="30">
        <v>6.0</v>
      </c>
      <c r="X196" s="30">
        <v>3.0</v>
      </c>
      <c r="Y196" s="30">
        <v>2.0</v>
      </c>
      <c r="Z196" s="28">
        <v>1074.0</v>
      </c>
    </row>
    <row r="197" ht="14.25" customHeight="1">
      <c r="A197" s="27">
        <v>44083.0</v>
      </c>
      <c r="B197" s="28">
        <v>123.0</v>
      </c>
      <c r="C197" s="28">
        <v>78.0</v>
      </c>
      <c r="D197" s="28">
        <v>32501.0</v>
      </c>
      <c r="E197" s="28">
        <v>8853.0</v>
      </c>
      <c r="F197" s="29">
        <v>578490.0</v>
      </c>
      <c r="G197" s="29">
        <v>8976.0</v>
      </c>
      <c r="H197" s="29">
        <v>610991.0</v>
      </c>
      <c r="I197" s="28">
        <v>98.0</v>
      </c>
      <c r="J197" s="28">
        <v>64.0</v>
      </c>
      <c r="K197" s="28">
        <v>22818.0</v>
      </c>
      <c r="L197" s="28">
        <v>2156.0</v>
      </c>
      <c r="M197" s="28">
        <v>278890.0</v>
      </c>
      <c r="N197" s="28">
        <v>301708.0</v>
      </c>
      <c r="O197" s="28">
        <v>9.0</v>
      </c>
      <c r="P197" s="30">
        <v>2629.0</v>
      </c>
      <c r="Q197" s="30">
        <v>5.0</v>
      </c>
      <c r="R197" s="30">
        <v>2205.0</v>
      </c>
      <c r="S197" s="30">
        <v>1.0</v>
      </c>
      <c r="T197" s="30">
        <v>339.0</v>
      </c>
      <c r="U197" s="30">
        <v>85.0</v>
      </c>
      <c r="V197" s="30">
        <v>85.0</v>
      </c>
      <c r="W197" s="30">
        <v>9.0</v>
      </c>
      <c r="X197" s="30">
        <v>3.0</v>
      </c>
      <c r="Y197" s="30">
        <v>1.0</v>
      </c>
      <c r="Z197" s="28">
        <v>1075.0</v>
      </c>
    </row>
    <row r="198" ht="14.25" customHeight="1">
      <c r="A198" s="27">
        <v>44084.0</v>
      </c>
      <c r="B198" s="28">
        <v>171.0</v>
      </c>
      <c r="C198" s="28">
        <v>124.0</v>
      </c>
      <c r="D198" s="28">
        <v>32672.0</v>
      </c>
      <c r="E198" s="28">
        <v>12421.0</v>
      </c>
      <c r="F198" s="29">
        <v>590911.0</v>
      </c>
      <c r="G198" s="29">
        <v>12592.0</v>
      </c>
      <c r="H198" s="29">
        <v>623583.0</v>
      </c>
      <c r="I198" s="28">
        <v>116.0</v>
      </c>
      <c r="J198" s="28">
        <v>94.0</v>
      </c>
      <c r="K198" s="28">
        <v>22934.0</v>
      </c>
      <c r="L198" s="28">
        <v>2278.0</v>
      </c>
      <c r="M198" s="28">
        <v>281168.0</v>
      </c>
      <c r="N198" s="28">
        <v>304102.0</v>
      </c>
      <c r="O198" s="28">
        <v>8.0</v>
      </c>
      <c r="P198" s="30">
        <v>2637.0</v>
      </c>
      <c r="Q198" s="30">
        <v>8.0</v>
      </c>
      <c r="R198" s="30">
        <v>2213.0</v>
      </c>
      <c r="S198" s="30">
        <v>0.0</v>
      </c>
      <c r="T198" s="30">
        <v>339.0</v>
      </c>
      <c r="U198" s="30">
        <v>85.0</v>
      </c>
      <c r="V198" s="30">
        <v>84.0</v>
      </c>
      <c r="W198" s="30">
        <v>10.0</v>
      </c>
      <c r="X198" s="30">
        <v>3.0</v>
      </c>
      <c r="Y198" s="30">
        <v>0.0</v>
      </c>
      <c r="Z198" s="28">
        <v>1075.0</v>
      </c>
    </row>
    <row r="199" ht="14.25" customHeight="1">
      <c r="A199" s="27">
        <v>44085.0</v>
      </c>
      <c r="B199" s="28">
        <v>126.0</v>
      </c>
      <c r="C199" s="28">
        <v>140.0</v>
      </c>
      <c r="D199" s="28">
        <v>32798.0</v>
      </c>
      <c r="E199" s="28">
        <v>9432.0</v>
      </c>
      <c r="F199" s="29">
        <v>600343.0</v>
      </c>
      <c r="G199" s="29">
        <v>9558.0</v>
      </c>
      <c r="H199" s="29">
        <v>633141.0</v>
      </c>
      <c r="I199" s="28">
        <v>97.0</v>
      </c>
      <c r="J199" s="28">
        <v>104.0</v>
      </c>
      <c r="K199" s="28">
        <v>23031.0</v>
      </c>
      <c r="L199" s="28">
        <v>1846.0</v>
      </c>
      <c r="M199" s="28">
        <v>283014.0</v>
      </c>
      <c r="N199" s="28">
        <v>306045.0</v>
      </c>
      <c r="O199" s="28">
        <v>11.0</v>
      </c>
      <c r="P199" s="30">
        <v>2648.0</v>
      </c>
      <c r="Q199" s="30">
        <v>11.0</v>
      </c>
      <c r="R199" s="30">
        <v>2224.0</v>
      </c>
      <c r="S199" s="30">
        <v>0.0</v>
      </c>
      <c r="T199" s="30">
        <v>339.0</v>
      </c>
      <c r="U199" s="30">
        <v>85.0</v>
      </c>
      <c r="V199" s="30">
        <v>85.0</v>
      </c>
      <c r="W199" s="30">
        <v>10.0</v>
      </c>
      <c r="X199" s="30">
        <v>5.0</v>
      </c>
      <c r="Y199" s="30">
        <v>0.0</v>
      </c>
      <c r="Z199" s="28">
        <v>1075.0</v>
      </c>
    </row>
    <row r="200" ht="14.25" customHeight="1">
      <c r="A200" s="27">
        <v>44086.0</v>
      </c>
      <c r="B200" s="28">
        <v>109.0</v>
      </c>
      <c r="C200" s="28">
        <v>135.0</v>
      </c>
      <c r="D200" s="28">
        <v>32907.0</v>
      </c>
      <c r="E200" s="28">
        <v>7450.0</v>
      </c>
      <c r="F200" s="29">
        <v>607793.0</v>
      </c>
      <c r="G200" s="29">
        <v>7559.0</v>
      </c>
      <c r="H200" s="29">
        <v>640700.0</v>
      </c>
      <c r="I200" s="28">
        <v>102.0</v>
      </c>
      <c r="J200" s="28">
        <v>105.0</v>
      </c>
      <c r="K200" s="28">
        <v>23133.0</v>
      </c>
      <c r="L200" s="28">
        <v>1471.0</v>
      </c>
      <c r="M200" s="28">
        <v>284485.0</v>
      </c>
      <c r="N200" s="28">
        <v>307618.0</v>
      </c>
      <c r="O200" s="28">
        <v>7.0</v>
      </c>
      <c r="P200" s="30">
        <v>2655.0</v>
      </c>
      <c r="Q200" s="30">
        <v>5.0</v>
      </c>
      <c r="R200" s="30">
        <v>2229.0</v>
      </c>
      <c r="S200" s="30">
        <v>2.0</v>
      </c>
      <c r="T200" s="30">
        <v>341.0</v>
      </c>
      <c r="U200" s="30">
        <v>85.0</v>
      </c>
      <c r="V200" s="30">
        <v>85.0</v>
      </c>
      <c r="W200" s="30">
        <v>9.0</v>
      </c>
      <c r="X200" s="30">
        <v>5.0</v>
      </c>
      <c r="Y200" s="30">
        <v>3.0</v>
      </c>
      <c r="Z200" s="28">
        <v>1078.0</v>
      </c>
    </row>
    <row r="201" ht="14.25" customHeight="1">
      <c r="A201" s="27">
        <v>44087.0</v>
      </c>
      <c r="B201" s="28">
        <v>58.0</v>
      </c>
      <c r="C201" s="28">
        <v>98.0</v>
      </c>
      <c r="D201" s="28">
        <v>32965.0</v>
      </c>
      <c r="E201" s="28">
        <v>2853.0</v>
      </c>
      <c r="F201" s="29">
        <v>610646.0</v>
      </c>
      <c r="G201" s="29">
        <v>2911.0</v>
      </c>
      <c r="H201" s="29">
        <v>643611.0</v>
      </c>
      <c r="I201" s="28">
        <v>54.0</v>
      </c>
      <c r="J201" s="28">
        <v>84.0</v>
      </c>
      <c r="K201" s="28">
        <v>23187.0</v>
      </c>
      <c r="L201" s="28">
        <v>796.0</v>
      </c>
      <c r="M201" s="28">
        <v>285281.0</v>
      </c>
      <c r="N201" s="28">
        <v>308468.0</v>
      </c>
      <c r="O201" s="28">
        <v>4.0</v>
      </c>
      <c r="P201" s="30">
        <v>2659.0</v>
      </c>
      <c r="Q201" s="30">
        <v>3.0</v>
      </c>
      <c r="R201" s="30">
        <v>2232.0</v>
      </c>
      <c r="S201" s="30">
        <v>0.0</v>
      </c>
      <c r="T201" s="30">
        <v>341.0</v>
      </c>
      <c r="U201" s="30">
        <v>86.0</v>
      </c>
      <c r="V201" s="30">
        <v>85.0</v>
      </c>
      <c r="W201" s="30">
        <v>9.0</v>
      </c>
      <c r="X201" s="30">
        <v>5.0</v>
      </c>
      <c r="Y201" s="30">
        <v>0.0</v>
      </c>
      <c r="Z201" s="28">
        <v>1078.0</v>
      </c>
    </row>
    <row r="202" ht="14.25" customHeight="1">
      <c r="A202" s="27">
        <v>44088.0</v>
      </c>
      <c r="B202" s="28">
        <v>102.0</v>
      </c>
      <c r="C202" s="28">
        <v>90.0</v>
      </c>
      <c r="D202" s="28">
        <v>33067.0</v>
      </c>
      <c r="E202" s="28">
        <v>6405.0</v>
      </c>
      <c r="F202" s="29">
        <v>617051.0</v>
      </c>
      <c r="G202" s="29">
        <v>6507.0</v>
      </c>
      <c r="H202" s="29">
        <v>650118.0</v>
      </c>
      <c r="I202" s="28">
        <v>91.0</v>
      </c>
      <c r="J202" s="28">
        <v>82.0</v>
      </c>
      <c r="K202" s="28">
        <v>23278.0</v>
      </c>
      <c r="L202" s="28">
        <v>1587.0</v>
      </c>
      <c r="M202" s="28">
        <v>286868.0</v>
      </c>
      <c r="N202" s="28">
        <v>310146.0</v>
      </c>
      <c r="O202" s="28">
        <v>5.0</v>
      </c>
      <c r="P202" s="30">
        <v>2664.0</v>
      </c>
      <c r="Q202" s="30">
        <v>3.0</v>
      </c>
      <c r="R202" s="30">
        <v>2235.0</v>
      </c>
      <c r="S202" s="30">
        <v>2.0</v>
      </c>
      <c r="T202" s="30">
        <v>343.0</v>
      </c>
      <c r="U202" s="30">
        <v>86.0</v>
      </c>
      <c r="V202" s="30">
        <v>86.0</v>
      </c>
      <c r="W202" s="30">
        <v>9.0</v>
      </c>
      <c r="X202" s="30">
        <v>5.0</v>
      </c>
      <c r="Y202" s="30">
        <v>1.0</v>
      </c>
      <c r="Z202" s="28">
        <v>1079.0</v>
      </c>
    </row>
    <row r="203" ht="14.25" customHeight="1">
      <c r="A203" s="27">
        <v>44089.0</v>
      </c>
      <c r="B203" s="28">
        <v>138.0</v>
      </c>
      <c r="C203" s="28">
        <v>99.0</v>
      </c>
      <c r="D203" s="28">
        <v>33205.0</v>
      </c>
      <c r="E203" s="28">
        <v>7509.0</v>
      </c>
      <c r="F203" s="29">
        <v>624560.0</v>
      </c>
      <c r="G203" s="29">
        <v>7647.0</v>
      </c>
      <c r="H203" s="29">
        <v>657765.0</v>
      </c>
      <c r="I203" s="28">
        <v>109.0</v>
      </c>
      <c r="J203" s="28">
        <v>85.0</v>
      </c>
      <c r="K203" s="28">
        <v>23387.0</v>
      </c>
      <c r="L203" s="28">
        <v>1501.0</v>
      </c>
      <c r="M203" s="28">
        <v>288369.0</v>
      </c>
      <c r="N203" s="28">
        <v>311756.0</v>
      </c>
      <c r="O203" s="28">
        <v>4.0</v>
      </c>
      <c r="P203" s="30">
        <v>2668.0</v>
      </c>
      <c r="Q203" s="30">
        <v>1.0</v>
      </c>
      <c r="R203" s="30">
        <v>2236.0</v>
      </c>
      <c r="S203" s="30">
        <v>1.0</v>
      </c>
      <c r="T203" s="30">
        <v>344.0</v>
      </c>
      <c r="U203" s="30">
        <v>88.0</v>
      </c>
      <c r="V203" s="30">
        <v>87.0</v>
      </c>
      <c r="W203" s="30">
        <v>9.0</v>
      </c>
      <c r="X203" s="30">
        <v>5.0</v>
      </c>
      <c r="Y203" s="30">
        <v>2.0</v>
      </c>
      <c r="Z203" s="28">
        <v>1081.0</v>
      </c>
    </row>
    <row r="204" ht="14.25" customHeight="1">
      <c r="A204" s="27">
        <v>44090.0</v>
      </c>
      <c r="B204" s="28">
        <v>130.0</v>
      </c>
      <c r="C204" s="28">
        <v>123.0</v>
      </c>
      <c r="D204" s="28">
        <v>33335.0</v>
      </c>
      <c r="E204" s="28">
        <v>8031.0</v>
      </c>
      <c r="F204" s="29">
        <v>632591.0</v>
      </c>
      <c r="G204" s="29">
        <v>8161.0</v>
      </c>
      <c r="H204" s="29">
        <v>665926.0</v>
      </c>
      <c r="I204" s="28">
        <v>101.0</v>
      </c>
      <c r="J204" s="28">
        <v>100.0</v>
      </c>
      <c r="K204" s="28">
        <v>23488.0</v>
      </c>
      <c r="L204" s="28">
        <v>1418.0</v>
      </c>
      <c r="M204" s="28">
        <v>289787.0</v>
      </c>
      <c r="N204" s="28">
        <v>313275.0</v>
      </c>
      <c r="O204" s="31"/>
      <c r="P204" s="32"/>
      <c r="Q204" s="32"/>
      <c r="R204" s="32"/>
      <c r="S204" s="32"/>
      <c r="T204" s="32"/>
      <c r="U204" s="32"/>
      <c r="V204" s="32"/>
      <c r="W204" s="32"/>
      <c r="X204" s="32"/>
      <c r="Y204" s="30">
        <v>4.0</v>
      </c>
      <c r="Z204" s="28">
        <v>1085.0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156809.0</v>
      </c>
      <c r="C3" s="42">
        <v>0.56</v>
      </c>
      <c r="D3" s="43">
        <v>12291.0</v>
      </c>
      <c r="E3" s="44">
        <v>0.55</v>
      </c>
      <c r="F3" s="45">
        <v>1256.0</v>
      </c>
      <c r="G3" s="42">
        <v>0.48</v>
      </c>
      <c r="H3" s="45">
        <v>568.0</v>
      </c>
      <c r="I3" s="46">
        <v>0.53</v>
      </c>
    </row>
    <row r="4" ht="14.25" customHeight="1">
      <c r="A4" s="40" t="s">
        <v>41</v>
      </c>
      <c r="B4" s="41">
        <v>125710.0</v>
      </c>
      <c r="C4" s="42">
        <v>0.44</v>
      </c>
      <c r="D4" s="43">
        <v>9915.0</v>
      </c>
      <c r="E4" s="44">
        <v>0.45</v>
      </c>
      <c r="F4" s="45">
        <v>1374.0</v>
      </c>
      <c r="G4" s="42">
        <v>0.52</v>
      </c>
      <c r="H4" s="45">
        <v>506.0</v>
      </c>
      <c r="I4" s="46">
        <v>0.47</v>
      </c>
    </row>
    <row r="5" ht="14.25" customHeight="1">
      <c r="A5" s="40" t="s">
        <v>42</v>
      </c>
      <c r="B5" s="41">
        <v>16.0</v>
      </c>
      <c r="C5" s="47" t="s">
        <v>43</v>
      </c>
      <c r="D5" s="43">
        <v>100.0</v>
      </c>
      <c r="E5" s="47" t="s">
        <v>43</v>
      </c>
      <c r="F5" s="45">
        <v>9.0</v>
      </c>
      <c r="G5" s="48" t="s">
        <v>43</v>
      </c>
      <c r="H5" s="45">
        <v>0.0</v>
      </c>
      <c r="I5" s="46">
        <v>0.0</v>
      </c>
    </row>
    <row r="6" ht="14.25" customHeight="1">
      <c r="A6" s="40" t="s">
        <v>44</v>
      </c>
      <c r="B6" s="41">
        <v>11228.0</v>
      </c>
      <c r="C6" s="47" t="s">
        <v>30</v>
      </c>
      <c r="D6" s="43">
        <v>70.0</v>
      </c>
      <c r="E6" s="47" t="s">
        <v>30</v>
      </c>
      <c r="F6" s="49">
        <v>8.0</v>
      </c>
      <c r="G6" s="48" t="s">
        <v>30</v>
      </c>
      <c r="H6" s="45">
        <v>0.0</v>
      </c>
      <c r="I6" s="50" t="s">
        <v>30</v>
      </c>
    </row>
    <row r="7" ht="15.0" customHeight="1">
      <c r="A7" s="51" t="s">
        <v>45</v>
      </c>
      <c r="B7" s="52"/>
      <c r="C7" s="53"/>
      <c r="D7" s="54"/>
      <c r="E7" s="55"/>
      <c r="F7" s="56"/>
      <c r="G7" s="57"/>
      <c r="H7" s="56"/>
      <c r="I7" s="57"/>
    </row>
    <row r="8" ht="15.0" customHeight="1">
      <c r="A8" s="40" t="s">
        <v>46</v>
      </c>
      <c r="B8" s="41">
        <v>5669.0</v>
      </c>
      <c r="C8" s="42">
        <v>0.02</v>
      </c>
      <c r="D8" s="58">
        <v>356.0</v>
      </c>
      <c r="E8" s="44">
        <v>0.02</v>
      </c>
      <c r="F8" s="59">
        <v>24.0</v>
      </c>
      <c r="G8" s="60">
        <v>0.01</v>
      </c>
      <c r="H8" s="59">
        <v>0.0</v>
      </c>
      <c r="I8" s="60">
        <v>0.0</v>
      </c>
    </row>
    <row r="9" ht="15.0" customHeight="1">
      <c r="A9" s="61">
        <v>43960.0</v>
      </c>
      <c r="B9" s="41">
        <v>4494.0</v>
      </c>
      <c r="C9" s="42">
        <v>0.02</v>
      </c>
      <c r="D9" s="58">
        <v>356.0</v>
      </c>
      <c r="E9" s="44">
        <v>0.02</v>
      </c>
      <c r="F9" s="59">
        <v>8.0</v>
      </c>
      <c r="G9" s="62" t="s">
        <v>43</v>
      </c>
      <c r="H9" s="59">
        <v>0.0</v>
      </c>
      <c r="I9" s="46">
        <v>0.0</v>
      </c>
    </row>
    <row r="10" ht="15.0" customHeight="1">
      <c r="A10" s="61">
        <v>44118.0</v>
      </c>
      <c r="B10" s="41">
        <v>5169.0</v>
      </c>
      <c r="C10" s="42">
        <v>0.02</v>
      </c>
      <c r="D10" s="58">
        <v>406.0</v>
      </c>
      <c r="E10" s="44">
        <v>0.02</v>
      </c>
      <c r="F10" s="59">
        <v>14.0</v>
      </c>
      <c r="G10" s="60">
        <v>0.01</v>
      </c>
      <c r="H10" s="59" t="s">
        <v>47</v>
      </c>
      <c r="I10" s="50" t="s">
        <v>30</v>
      </c>
    </row>
    <row r="11" ht="14.25" customHeight="1">
      <c r="A11" s="40" t="s">
        <v>48</v>
      </c>
      <c r="B11" s="41">
        <v>12665.0</v>
      </c>
      <c r="C11" s="42">
        <v>0.04</v>
      </c>
      <c r="D11" s="58">
        <v>810.0</v>
      </c>
      <c r="E11" s="44">
        <v>0.04</v>
      </c>
      <c r="F11" s="59">
        <v>19.0</v>
      </c>
      <c r="G11" s="60">
        <v>0.01</v>
      </c>
      <c r="H11" s="59">
        <v>0.0</v>
      </c>
      <c r="I11" s="46">
        <v>0.0</v>
      </c>
    </row>
    <row r="12" ht="14.25" customHeight="1">
      <c r="A12" s="40" t="s">
        <v>49</v>
      </c>
      <c r="B12" s="41">
        <v>37686.0</v>
      </c>
      <c r="C12" s="42">
        <v>0.13</v>
      </c>
      <c r="D12" s="58">
        <v>2215.0</v>
      </c>
      <c r="E12" s="44">
        <v>0.1</v>
      </c>
      <c r="F12" s="59">
        <v>73.0</v>
      </c>
      <c r="G12" s="60">
        <v>0.03</v>
      </c>
      <c r="H12" s="59" t="s">
        <v>47</v>
      </c>
      <c r="I12" s="62" t="s">
        <v>30</v>
      </c>
    </row>
    <row r="13" ht="14.25" customHeight="1">
      <c r="A13" s="40" t="s">
        <v>50</v>
      </c>
      <c r="B13" s="41">
        <v>26450.0</v>
      </c>
      <c r="C13" s="42">
        <v>0.09</v>
      </c>
      <c r="D13" s="58">
        <v>1983.0</v>
      </c>
      <c r="E13" s="44">
        <v>0.09</v>
      </c>
      <c r="F13" s="59">
        <v>94.0</v>
      </c>
      <c r="G13" s="60">
        <v>0.04</v>
      </c>
      <c r="H13" s="59" t="s">
        <v>47</v>
      </c>
      <c r="I13" s="62" t="s">
        <v>30</v>
      </c>
    </row>
    <row r="14" ht="14.25" customHeight="1">
      <c r="A14" s="40" t="s">
        <v>51</v>
      </c>
      <c r="B14" s="41">
        <v>46379.0</v>
      </c>
      <c r="C14" s="42">
        <v>0.16</v>
      </c>
      <c r="D14" s="58">
        <v>3621.0</v>
      </c>
      <c r="E14" s="44">
        <v>0.16</v>
      </c>
      <c r="F14" s="59">
        <v>207.0</v>
      </c>
      <c r="G14" s="60">
        <v>0.08</v>
      </c>
      <c r="H14" s="59">
        <v>7.0</v>
      </c>
      <c r="I14" s="60">
        <v>0.01</v>
      </c>
    </row>
    <row r="15" ht="14.25" customHeight="1">
      <c r="A15" s="40" t="s">
        <v>52</v>
      </c>
      <c r="B15" s="41">
        <v>37846.0</v>
      </c>
      <c r="C15" s="42">
        <v>0.13</v>
      </c>
      <c r="D15" s="58">
        <v>3292.0</v>
      </c>
      <c r="E15" s="44">
        <v>0.15</v>
      </c>
      <c r="F15" s="59">
        <v>304.0</v>
      </c>
      <c r="G15" s="60">
        <v>0.11</v>
      </c>
      <c r="H15" s="59">
        <v>16.0</v>
      </c>
      <c r="I15" s="60">
        <v>0.01</v>
      </c>
    </row>
    <row r="16" ht="14.25" customHeight="1">
      <c r="A16" s="40" t="s">
        <v>53</v>
      </c>
      <c r="B16" s="41">
        <v>44597.0</v>
      </c>
      <c r="C16" s="42">
        <v>0.15</v>
      </c>
      <c r="D16" s="58">
        <v>3301.0</v>
      </c>
      <c r="E16" s="44">
        <v>0.15</v>
      </c>
      <c r="F16" s="59">
        <v>411.0</v>
      </c>
      <c r="G16" s="60">
        <v>0.16</v>
      </c>
      <c r="H16" s="59">
        <v>49.0</v>
      </c>
      <c r="I16" s="60">
        <v>0.05</v>
      </c>
    </row>
    <row r="17" ht="14.25" customHeight="1">
      <c r="A17" s="40" t="s">
        <v>54</v>
      </c>
      <c r="B17" s="41">
        <v>36376.0</v>
      </c>
      <c r="C17" s="42">
        <v>0.12</v>
      </c>
      <c r="D17" s="58">
        <v>2330.0</v>
      </c>
      <c r="E17" s="44">
        <v>0.1</v>
      </c>
      <c r="F17" s="59">
        <v>517.0</v>
      </c>
      <c r="G17" s="60">
        <v>0.2</v>
      </c>
      <c r="H17" s="59">
        <v>113.0</v>
      </c>
      <c r="I17" s="60">
        <v>0.11</v>
      </c>
    </row>
    <row r="18" ht="15.0" customHeight="1">
      <c r="A18" s="40" t="s">
        <v>55</v>
      </c>
      <c r="B18" s="41">
        <v>20109.0</v>
      </c>
      <c r="C18" s="42">
        <v>0.07</v>
      </c>
      <c r="D18" s="58">
        <v>1523.0</v>
      </c>
      <c r="E18" s="44">
        <v>0.07</v>
      </c>
      <c r="F18" s="59">
        <v>497.0</v>
      </c>
      <c r="G18" s="60">
        <v>0.19</v>
      </c>
      <c r="H18" s="59">
        <v>251.0</v>
      </c>
      <c r="I18" s="60">
        <v>0.23</v>
      </c>
    </row>
    <row r="19" ht="14.25" customHeight="1">
      <c r="A19" s="40" t="s">
        <v>56</v>
      </c>
      <c r="B19" s="41">
        <v>10787.0</v>
      </c>
      <c r="C19" s="42">
        <v>0.04</v>
      </c>
      <c r="D19" s="58">
        <v>1303.0</v>
      </c>
      <c r="E19" s="44">
        <v>0.06</v>
      </c>
      <c r="F19" s="59">
        <v>333.0</v>
      </c>
      <c r="G19" s="60">
        <v>0.13</v>
      </c>
      <c r="H19" s="59">
        <v>347.0</v>
      </c>
      <c r="I19" s="60">
        <v>0.32</v>
      </c>
    </row>
    <row r="20" ht="14.25" customHeight="1">
      <c r="A20" s="40" t="s">
        <v>57</v>
      </c>
      <c r="B20" s="41">
        <v>5305.0</v>
      </c>
      <c r="C20" s="42">
        <v>0.02</v>
      </c>
      <c r="D20" s="58">
        <v>872.0</v>
      </c>
      <c r="E20" s="44">
        <v>0.04</v>
      </c>
      <c r="F20" s="59">
        <v>143.0</v>
      </c>
      <c r="G20" s="60">
        <v>0.05</v>
      </c>
      <c r="H20" s="59">
        <v>286.0</v>
      </c>
      <c r="I20" s="60">
        <v>0.27</v>
      </c>
    </row>
    <row r="21" ht="14.25" customHeight="1">
      <c r="A21" s="40" t="s">
        <v>44</v>
      </c>
      <c r="B21" s="41">
        <v>231.0</v>
      </c>
      <c r="C21" s="47" t="s">
        <v>30</v>
      </c>
      <c r="D21" s="58">
        <v>8.0</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24016.0</v>
      </c>
      <c r="C23" s="42">
        <v>0.22</v>
      </c>
      <c r="D23" s="58">
        <v>7983.0</v>
      </c>
      <c r="E23" s="44">
        <v>0.45</v>
      </c>
      <c r="F23" s="45">
        <v>745.0</v>
      </c>
      <c r="G23" s="46">
        <v>0.36</v>
      </c>
      <c r="H23" s="45">
        <v>102.0</v>
      </c>
      <c r="I23" s="46">
        <v>0.12</v>
      </c>
    </row>
    <row r="24" ht="14.25" customHeight="1">
      <c r="A24" s="63" t="s">
        <v>60</v>
      </c>
      <c r="B24" s="41">
        <v>680.0</v>
      </c>
      <c r="C24" s="42">
        <v>0.01</v>
      </c>
      <c r="D24" s="58">
        <v>70.0</v>
      </c>
      <c r="E24" s="47" t="s">
        <v>43</v>
      </c>
      <c r="F24" s="45">
        <v>5.0</v>
      </c>
      <c r="G24" s="50" t="s">
        <v>43</v>
      </c>
      <c r="H24" s="45" t="s">
        <v>47</v>
      </c>
      <c r="I24" s="50" t="s">
        <v>30</v>
      </c>
    </row>
    <row r="25" ht="14.25" customHeight="1">
      <c r="A25" s="63" t="s">
        <v>61</v>
      </c>
      <c r="B25" s="41">
        <v>3067.0</v>
      </c>
      <c r="C25" s="42">
        <v>0.03</v>
      </c>
      <c r="D25" s="58">
        <v>353.0</v>
      </c>
      <c r="E25" s="44">
        <v>0.02</v>
      </c>
      <c r="F25" s="45">
        <v>30.0</v>
      </c>
      <c r="G25" s="46">
        <v>0.01</v>
      </c>
      <c r="H25" s="45">
        <v>13.0</v>
      </c>
      <c r="I25" s="46">
        <v>0.01</v>
      </c>
    </row>
    <row r="26" ht="14.25" customHeight="1">
      <c r="A26" s="63" t="s">
        <v>62</v>
      </c>
      <c r="B26" s="41">
        <v>8633.0</v>
      </c>
      <c r="C26" s="42">
        <v>0.08</v>
      </c>
      <c r="D26" s="58">
        <v>2187.0</v>
      </c>
      <c r="E26" s="44">
        <v>0.12</v>
      </c>
      <c r="F26" s="45">
        <v>264.0</v>
      </c>
      <c r="G26" s="46">
        <v>0.13</v>
      </c>
      <c r="H26" s="45">
        <v>54.0</v>
      </c>
      <c r="I26" s="46">
        <v>0.06</v>
      </c>
    </row>
    <row r="27" ht="14.25" customHeight="1">
      <c r="A27" s="63" t="s">
        <v>63</v>
      </c>
      <c r="B27" s="41">
        <v>216.0</v>
      </c>
      <c r="C27" s="48" t="s">
        <v>43</v>
      </c>
      <c r="D27" s="58">
        <v>0.0</v>
      </c>
      <c r="E27" s="44">
        <v>0.0</v>
      </c>
      <c r="F27" s="45">
        <v>0.0</v>
      </c>
      <c r="G27" s="46">
        <v>0.0</v>
      </c>
      <c r="H27" s="45">
        <v>0.0</v>
      </c>
      <c r="I27" s="46">
        <v>0.0</v>
      </c>
    </row>
    <row r="28" ht="14.25" customHeight="1">
      <c r="A28" s="63" t="s">
        <v>64</v>
      </c>
      <c r="B28" s="41">
        <v>64647.0</v>
      </c>
      <c r="C28" s="42">
        <v>0.6</v>
      </c>
      <c r="D28" s="58">
        <v>6549.0</v>
      </c>
      <c r="E28" s="44">
        <v>0.37</v>
      </c>
      <c r="F28" s="45">
        <v>975.0</v>
      </c>
      <c r="G28" s="46">
        <v>0.47</v>
      </c>
      <c r="H28" s="45">
        <v>711.0</v>
      </c>
      <c r="I28" s="46">
        <v>0.81</v>
      </c>
    </row>
    <row r="29" ht="14.25" customHeight="1">
      <c r="A29" s="63" t="s">
        <v>65</v>
      </c>
      <c r="B29" s="41">
        <v>6768.0</v>
      </c>
      <c r="C29" s="42">
        <v>0.06</v>
      </c>
      <c r="D29" s="58">
        <v>301.0</v>
      </c>
      <c r="E29" s="44">
        <v>0.02</v>
      </c>
      <c r="F29" s="45">
        <v>36.0</v>
      </c>
      <c r="G29" s="46">
        <v>0.02</v>
      </c>
      <c r="H29" s="45">
        <v>0.0</v>
      </c>
      <c r="I29" s="46">
        <v>0.0</v>
      </c>
    </row>
    <row r="30" ht="14.25" customHeight="1">
      <c r="A30" s="63" t="s">
        <v>66</v>
      </c>
      <c r="B30" s="41">
        <v>110.0</v>
      </c>
      <c r="C30" s="47" t="s">
        <v>43</v>
      </c>
      <c r="D30" s="58">
        <v>150.0</v>
      </c>
      <c r="E30" s="44">
        <v>0.01</v>
      </c>
      <c r="F30" s="45">
        <v>5.0</v>
      </c>
      <c r="G30" s="48" t="s">
        <v>43</v>
      </c>
      <c r="H30" s="45" t="s">
        <v>47</v>
      </c>
      <c r="I30" s="50" t="s">
        <v>30</v>
      </c>
    </row>
    <row r="31" ht="14.25" customHeight="1">
      <c r="A31" s="63" t="s">
        <v>67</v>
      </c>
      <c r="B31" s="41">
        <v>2048.0</v>
      </c>
      <c r="C31" s="47" t="s">
        <v>30</v>
      </c>
      <c r="D31" s="58">
        <v>189.0</v>
      </c>
      <c r="E31" s="47" t="s">
        <v>30</v>
      </c>
      <c r="F31" s="45">
        <v>7.0</v>
      </c>
      <c r="G31" s="48" t="s">
        <v>30</v>
      </c>
      <c r="H31" s="45">
        <v>0.0</v>
      </c>
      <c r="I31" s="50" t="s">
        <v>30</v>
      </c>
    </row>
    <row r="32" ht="14.25" customHeight="1">
      <c r="A32" s="63" t="s">
        <v>68</v>
      </c>
      <c r="B32" s="41">
        <v>183578.0</v>
      </c>
      <c r="C32" s="47" t="s">
        <v>30</v>
      </c>
      <c r="D32" s="58">
        <v>4594.0</v>
      </c>
      <c r="E32" s="47" t="s">
        <v>30</v>
      </c>
      <c r="F32" s="45">
        <v>580.0</v>
      </c>
      <c r="G32" s="48" t="s">
        <v>30</v>
      </c>
      <c r="H32" s="45">
        <v>192.0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44090.0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73</v>
      </c>
      <c r="B1" s="76" t="s">
        <v>74</v>
      </c>
      <c r="C1" s="76" t="s">
        <v>75</v>
      </c>
      <c r="D1" s="76" t="s">
        <v>76</v>
      </c>
      <c r="E1" s="76" t="s">
        <v>77</v>
      </c>
      <c r="F1" s="76" t="s">
        <v>25</v>
      </c>
      <c r="G1" s="76" t="s">
        <v>78</v>
      </c>
    </row>
    <row r="2" ht="14.25" customHeight="1">
      <c r="A2" s="77" t="s">
        <v>79</v>
      </c>
      <c r="B2" s="78">
        <v>76.0</v>
      </c>
      <c r="C2" s="79">
        <v>470.0</v>
      </c>
      <c r="D2" s="80">
        <v>7.0</v>
      </c>
      <c r="E2" s="79">
        <v>43.0</v>
      </c>
      <c r="F2" s="79">
        <v>0.0</v>
      </c>
      <c r="G2" s="79">
        <v>0.0</v>
      </c>
    </row>
    <row r="3" ht="14.25" customHeight="1">
      <c r="A3" s="77" t="s">
        <v>80</v>
      </c>
      <c r="B3" s="78">
        <v>209.0</v>
      </c>
      <c r="C3" s="79">
        <v>940.0</v>
      </c>
      <c r="D3" s="80">
        <v>14.0</v>
      </c>
      <c r="E3" s="79">
        <v>63.0</v>
      </c>
      <c r="F3" s="79">
        <v>9.0</v>
      </c>
      <c r="G3" s="79">
        <v>40.0</v>
      </c>
    </row>
    <row r="4" ht="14.25" customHeight="1">
      <c r="A4" s="77" t="s">
        <v>81</v>
      </c>
      <c r="B4" s="78">
        <v>144.0</v>
      </c>
      <c r="C4" s="79">
        <v>875.0</v>
      </c>
      <c r="D4" s="80">
        <v>21.0</v>
      </c>
      <c r="E4" s="79">
        <v>128.0</v>
      </c>
      <c r="F4" s="79">
        <v>21.0</v>
      </c>
      <c r="G4" s="79">
        <v>128.0</v>
      </c>
    </row>
    <row r="5" ht="14.25" customHeight="1">
      <c r="A5" s="77" t="s">
        <v>82</v>
      </c>
      <c r="B5" s="78">
        <v>1223.0</v>
      </c>
      <c r="C5" s="79">
        <v>6310.0</v>
      </c>
      <c r="D5" s="80">
        <v>94.0</v>
      </c>
      <c r="E5" s="79">
        <v>485.0</v>
      </c>
      <c r="F5" s="79">
        <v>11.0</v>
      </c>
      <c r="G5" s="79">
        <v>57.0</v>
      </c>
    </row>
    <row r="6" ht="14.25" customHeight="1">
      <c r="A6" s="77" t="s">
        <v>83</v>
      </c>
      <c r="B6" s="78">
        <v>37.0</v>
      </c>
      <c r="C6" s="79">
        <v>476.0</v>
      </c>
      <c r="D6" s="80" t="s">
        <v>47</v>
      </c>
      <c r="E6" s="79" t="s">
        <v>30</v>
      </c>
      <c r="F6" s="79" t="s">
        <v>47</v>
      </c>
      <c r="G6" s="79" t="s">
        <v>30</v>
      </c>
    </row>
    <row r="7" ht="14.25" customHeight="1">
      <c r="A7" s="77" t="s">
        <v>84</v>
      </c>
      <c r="B7" s="78">
        <v>305.0</v>
      </c>
      <c r="C7" s="79">
        <v>882.0</v>
      </c>
      <c r="D7" s="80">
        <v>27.0</v>
      </c>
      <c r="E7" s="79">
        <v>78.0</v>
      </c>
      <c r="F7" s="79">
        <v>13.0</v>
      </c>
      <c r="G7" s="79">
        <v>38.0</v>
      </c>
    </row>
    <row r="8" ht="14.25" customHeight="1">
      <c r="A8" s="77" t="s">
        <v>85</v>
      </c>
      <c r="B8" s="78">
        <v>1522.0</v>
      </c>
      <c r="C8" s="79">
        <v>1874.0</v>
      </c>
      <c r="D8" s="80">
        <v>150.0</v>
      </c>
      <c r="E8" s="79">
        <v>185.0</v>
      </c>
      <c r="F8" s="79">
        <v>23.0</v>
      </c>
      <c r="G8" s="79">
        <v>28.0</v>
      </c>
    </row>
    <row r="9" ht="14.25" customHeight="1">
      <c r="A9" s="77" t="s">
        <v>86</v>
      </c>
      <c r="B9" s="78">
        <v>471.0</v>
      </c>
      <c r="C9" s="79">
        <v>1359.0</v>
      </c>
      <c r="D9" s="80">
        <v>55.0</v>
      </c>
      <c r="E9" s="79">
        <v>159.0</v>
      </c>
      <c r="F9" s="79">
        <v>28.0</v>
      </c>
      <c r="G9" s="79">
        <v>81.0</v>
      </c>
    </row>
    <row r="10" ht="14.25" customHeight="1">
      <c r="A10" s="77" t="s">
        <v>87</v>
      </c>
      <c r="B10" s="78">
        <v>137.0</v>
      </c>
      <c r="C10" s="79">
        <v>1048.0</v>
      </c>
      <c r="D10" s="80">
        <v>8.0</v>
      </c>
      <c r="E10" s="79">
        <v>61.0</v>
      </c>
      <c r="F10" s="79">
        <v>0.0</v>
      </c>
      <c r="G10" s="79">
        <v>0.0</v>
      </c>
    </row>
    <row r="11" ht="14.25" customHeight="1">
      <c r="A11" s="77" t="s">
        <v>88</v>
      </c>
      <c r="B11" s="78">
        <v>906.0</v>
      </c>
      <c r="C11" s="79">
        <v>1909.0</v>
      </c>
      <c r="D11" s="80">
        <v>96.0</v>
      </c>
      <c r="E11" s="79">
        <v>202.0</v>
      </c>
      <c r="F11" s="79">
        <v>110.0</v>
      </c>
      <c r="G11" s="79">
        <v>232.0</v>
      </c>
    </row>
    <row r="12" ht="14.25" customHeight="1">
      <c r="A12" s="77" t="s">
        <v>89</v>
      </c>
      <c r="B12" s="78">
        <v>48.0</v>
      </c>
      <c r="C12" s="79">
        <v>708.0</v>
      </c>
      <c r="D12" s="80">
        <v>6.0</v>
      </c>
      <c r="E12" s="79">
        <v>88.0</v>
      </c>
      <c r="F12" s="79" t="s">
        <v>47</v>
      </c>
      <c r="G12" s="79" t="s">
        <v>30</v>
      </c>
    </row>
    <row r="13" ht="14.25" customHeight="1">
      <c r="A13" s="77" t="s">
        <v>90</v>
      </c>
      <c r="B13" s="78">
        <v>32.0</v>
      </c>
      <c r="C13" s="79">
        <v>682.0</v>
      </c>
      <c r="D13" s="80" t="s">
        <v>47</v>
      </c>
      <c r="E13" s="79" t="s">
        <v>30</v>
      </c>
      <c r="F13" s="79">
        <v>0.0</v>
      </c>
      <c r="G13" s="79">
        <v>0.0</v>
      </c>
    </row>
    <row r="14" ht="14.25" customHeight="1">
      <c r="A14" s="77" t="s">
        <v>91</v>
      </c>
      <c r="B14" s="78">
        <v>67.0</v>
      </c>
      <c r="C14" s="79">
        <v>666.0</v>
      </c>
      <c r="D14" s="80" t="s">
        <v>47</v>
      </c>
      <c r="E14" s="79" t="s">
        <v>30</v>
      </c>
      <c r="F14" s="79">
        <v>0.0</v>
      </c>
      <c r="G14" s="79">
        <v>0.0</v>
      </c>
    </row>
    <row r="15" ht="14.25" customHeight="1">
      <c r="A15" s="77" t="s">
        <v>92</v>
      </c>
      <c r="B15" s="78">
        <v>17.0</v>
      </c>
      <c r="C15" s="79">
        <v>210.0</v>
      </c>
      <c r="D15" s="80" t="s">
        <v>47</v>
      </c>
      <c r="E15" s="79" t="s">
        <v>30</v>
      </c>
      <c r="F15" s="79" t="s">
        <v>47</v>
      </c>
      <c r="G15" s="79" t="s">
        <v>30</v>
      </c>
    </row>
    <row r="16" ht="14.25" customHeight="1">
      <c r="A16" s="77" t="s">
        <v>93</v>
      </c>
      <c r="B16" s="78">
        <v>28.0</v>
      </c>
      <c r="C16" s="79">
        <v>509.0</v>
      </c>
      <c r="D16" s="80" t="s">
        <v>47</v>
      </c>
      <c r="E16" s="79" t="s">
        <v>30</v>
      </c>
      <c r="F16" s="79">
        <v>0.0</v>
      </c>
      <c r="G16" s="79">
        <v>0.0</v>
      </c>
    </row>
    <row r="17" ht="14.25" customHeight="1">
      <c r="A17" s="77" t="s">
        <v>94</v>
      </c>
      <c r="B17" s="78">
        <v>620.0</v>
      </c>
      <c r="C17" s="79">
        <v>2121.0</v>
      </c>
      <c r="D17" s="80">
        <v>55.0</v>
      </c>
      <c r="E17" s="79">
        <v>188.0</v>
      </c>
      <c r="F17" s="79">
        <v>66.0</v>
      </c>
      <c r="G17" s="79">
        <v>226.0</v>
      </c>
    </row>
    <row r="18" ht="14.25" customHeight="1">
      <c r="A18" s="77" t="s">
        <v>95</v>
      </c>
      <c r="B18" s="78">
        <v>351.0</v>
      </c>
      <c r="C18" s="79">
        <v>1622.0</v>
      </c>
      <c r="D18" s="80">
        <v>34.0</v>
      </c>
      <c r="E18" s="79">
        <v>157.0</v>
      </c>
      <c r="F18" s="79">
        <v>37.0</v>
      </c>
      <c r="G18" s="79">
        <v>171.0</v>
      </c>
    </row>
    <row r="19" ht="14.25" customHeight="1">
      <c r="A19" s="77" t="s">
        <v>96</v>
      </c>
      <c r="B19" s="78">
        <v>16.0</v>
      </c>
      <c r="C19" s="79">
        <v>456.0</v>
      </c>
      <c r="D19" s="80">
        <v>0.0</v>
      </c>
      <c r="E19" s="79">
        <v>0.0</v>
      </c>
      <c r="F19" s="79" t="s">
        <v>47</v>
      </c>
      <c r="G19" s="79" t="s">
        <v>30</v>
      </c>
    </row>
    <row r="20" ht="14.25" customHeight="1">
      <c r="A20" s="77" t="s">
        <v>97</v>
      </c>
      <c r="B20" s="78">
        <v>90.0</v>
      </c>
      <c r="C20" s="79">
        <v>560.0</v>
      </c>
      <c r="D20" s="80">
        <v>8.0</v>
      </c>
      <c r="E20" s="79">
        <v>50.0</v>
      </c>
      <c r="F20" s="79" t="s">
        <v>47</v>
      </c>
      <c r="G20" s="79" t="s">
        <v>30</v>
      </c>
    </row>
    <row r="21" ht="14.25" customHeight="1">
      <c r="A21" s="77" t="s">
        <v>98</v>
      </c>
      <c r="B21" s="78">
        <v>92.0</v>
      </c>
      <c r="C21" s="79">
        <v>592.0</v>
      </c>
      <c r="D21" s="80">
        <v>6.0</v>
      </c>
      <c r="E21" s="79">
        <v>39.0</v>
      </c>
      <c r="F21" s="79">
        <v>0.0</v>
      </c>
      <c r="G21" s="79">
        <v>0.0</v>
      </c>
    </row>
    <row r="22" ht="14.25" customHeight="1">
      <c r="A22" s="77" t="s">
        <v>99</v>
      </c>
      <c r="B22" s="78">
        <v>6.0</v>
      </c>
      <c r="C22" s="79">
        <v>726.0</v>
      </c>
      <c r="D22" s="80">
        <v>0.0</v>
      </c>
      <c r="E22" s="79">
        <v>0.0</v>
      </c>
      <c r="F22" s="79">
        <v>0.0</v>
      </c>
      <c r="G22" s="79">
        <v>0.0</v>
      </c>
    </row>
    <row r="23" ht="14.25" customHeight="1">
      <c r="A23" s="77" t="s">
        <v>100</v>
      </c>
      <c r="B23" s="78">
        <v>168.0</v>
      </c>
      <c r="C23" s="79">
        <v>678.0</v>
      </c>
      <c r="D23" s="80">
        <v>14.0</v>
      </c>
      <c r="E23" s="79">
        <v>57.0</v>
      </c>
      <c r="F23" s="79" t="s">
        <v>47</v>
      </c>
      <c r="G23" s="79" t="s">
        <v>30</v>
      </c>
    </row>
    <row r="24" ht="14.25" customHeight="1">
      <c r="A24" s="77" t="s">
        <v>101</v>
      </c>
      <c r="B24" s="78">
        <v>299.0</v>
      </c>
      <c r="C24" s="79">
        <v>1141.0</v>
      </c>
      <c r="D24" s="80">
        <v>33.0</v>
      </c>
      <c r="E24" s="79">
        <v>126.0</v>
      </c>
      <c r="F24" s="79">
        <v>51.0</v>
      </c>
      <c r="G24" s="79">
        <v>195.0</v>
      </c>
    </row>
    <row r="25" ht="15.75" customHeight="1">
      <c r="A25" s="77" t="s">
        <v>102</v>
      </c>
      <c r="B25" s="78">
        <v>985.0</v>
      </c>
      <c r="C25" s="79">
        <v>3035.0</v>
      </c>
      <c r="D25" s="80">
        <v>117.0</v>
      </c>
      <c r="E25" s="79">
        <v>360.0</v>
      </c>
      <c r="F25" s="79">
        <v>78.0</v>
      </c>
      <c r="G25" s="79">
        <v>240.0</v>
      </c>
    </row>
    <row r="26" ht="14.25" customHeight="1">
      <c r="A26" s="77" t="s">
        <v>103</v>
      </c>
      <c r="B26" s="78">
        <v>153.0</v>
      </c>
      <c r="C26" s="79">
        <v>1239.0</v>
      </c>
      <c r="D26" s="80">
        <v>17.0</v>
      </c>
      <c r="E26" s="79">
        <v>138.0</v>
      </c>
      <c r="F26" s="79">
        <v>27.0</v>
      </c>
      <c r="G26" s="79">
        <v>219.0</v>
      </c>
    </row>
    <row r="27" ht="14.25" customHeight="1">
      <c r="A27" s="77" t="s">
        <v>104</v>
      </c>
      <c r="B27" s="78">
        <v>2301.0</v>
      </c>
      <c r="C27" s="79">
        <v>3207.0</v>
      </c>
      <c r="D27" s="80">
        <v>203.0</v>
      </c>
      <c r="E27" s="79">
        <v>283.0</v>
      </c>
      <c r="F27" s="79">
        <v>47.0</v>
      </c>
      <c r="G27" s="79">
        <v>65.0</v>
      </c>
    </row>
    <row r="28" ht="14.25" customHeight="1">
      <c r="A28" s="77" t="s">
        <v>105</v>
      </c>
      <c r="B28" s="78">
        <v>79.0</v>
      </c>
      <c r="C28" s="79">
        <v>454.0</v>
      </c>
      <c r="D28" s="80" t="s">
        <v>47</v>
      </c>
      <c r="E28" s="79" t="s">
        <v>30</v>
      </c>
      <c r="F28" s="79">
        <v>0.0</v>
      </c>
      <c r="G28" s="79">
        <v>0.0</v>
      </c>
    </row>
    <row r="29" ht="14.25" customHeight="1">
      <c r="A29" s="77" t="s">
        <v>106</v>
      </c>
      <c r="B29" s="78">
        <v>7875.0</v>
      </c>
      <c r="C29" s="79">
        <v>4389.0</v>
      </c>
      <c r="D29" s="80">
        <v>827.0</v>
      </c>
      <c r="E29" s="79">
        <v>461.0</v>
      </c>
      <c r="F29" s="79">
        <v>287.0</v>
      </c>
      <c r="G29" s="79">
        <v>160.0</v>
      </c>
    </row>
    <row r="30" ht="14.25" customHeight="1">
      <c r="A30" s="77" t="s">
        <v>107</v>
      </c>
      <c r="B30" s="78">
        <v>33.0</v>
      </c>
      <c r="C30" s="79">
        <v>433.0</v>
      </c>
      <c r="D30" s="80" t="s">
        <v>47</v>
      </c>
      <c r="E30" s="79" t="s">
        <v>30</v>
      </c>
      <c r="F30" s="79">
        <v>0.0</v>
      </c>
      <c r="G30" s="79">
        <v>0.0</v>
      </c>
    </row>
    <row r="31" ht="14.25" customHeight="1">
      <c r="A31" s="77" t="s">
        <v>108</v>
      </c>
      <c r="B31" s="78">
        <v>68.0</v>
      </c>
      <c r="C31" s="79">
        <v>641.0</v>
      </c>
      <c r="D31" s="80" t="s">
        <v>47</v>
      </c>
      <c r="E31" s="79" t="s">
        <v>30</v>
      </c>
      <c r="F31" s="79" t="s">
        <v>47</v>
      </c>
      <c r="G31" s="79" t="s">
        <v>30</v>
      </c>
    </row>
    <row r="32" ht="14.25" customHeight="1">
      <c r="A32" s="77" t="s">
        <v>109</v>
      </c>
      <c r="B32" s="78">
        <v>364.0</v>
      </c>
      <c r="C32" s="79">
        <v>1683.0</v>
      </c>
      <c r="D32" s="80">
        <v>64.0</v>
      </c>
      <c r="E32" s="79">
        <v>296.0</v>
      </c>
      <c r="F32" s="79">
        <v>48.0</v>
      </c>
      <c r="G32" s="79">
        <v>222.0</v>
      </c>
    </row>
    <row r="33" ht="14.25" customHeight="1">
      <c r="A33" s="77" t="s">
        <v>110</v>
      </c>
      <c r="B33" s="78">
        <v>126.0</v>
      </c>
      <c r="C33" s="79">
        <v>410.0</v>
      </c>
      <c r="D33" s="80">
        <v>14.0</v>
      </c>
      <c r="E33" s="79">
        <v>46.0</v>
      </c>
      <c r="F33" s="79">
        <v>16.0</v>
      </c>
      <c r="G33" s="79">
        <v>52.0</v>
      </c>
    </row>
    <row r="34" ht="14.25" customHeight="1">
      <c r="A34" s="77" t="s">
        <v>111</v>
      </c>
      <c r="B34" s="78">
        <v>121.0</v>
      </c>
      <c r="C34" s="79">
        <v>765.0</v>
      </c>
      <c r="D34" s="80" t="s">
        <v>47</v>
      </c>
      <c r="E34" s="79" t="s">
        <v>30</v>
      </c>
      <c r="F34" s="79" t="s">
        <v>47</v>
      </c>
      <c r="G34" s="79" t="s">
        <v>30</v>
      </c>
    </row>
    <row r="35" ht="14.25" customHeight="1">
      <c r="A35" s="77" t="s">
        <v>112</v>
      </c>
      <c r="B35" s="78">
        <v>97.0</v>
      </c>
      <c r="C35" s="79">
        <v>925.0</v>
      </c>
      <c r="D35" s="80">
        <v>7.0</v>
      </c>
      <c r="E35" s="79">
        <v>67.0</v>
      </c>
      <c r="F35" s="79">
        <v>7.0</v>
      </c>
      <c r="G35" s="79">
        <v>67.0</v>
      </c>
    </row>
    <row r="36" ht="14.25" customHeight="1">
      <c r="A36" s="77" t="s">
        <v>113</v>
      </c>
      <c r="B36" s="78">
        <v>913.0</v>
      </c>
      <c r="C36" s="79">
        <v>1126.0</v>
      </c>
      <c r="D36" s="80">
        <v>83.0</v>
      </c>
      <c r="E36" s="79">
        <v>102.0</v>
      </c>
      <c r="F36" s="79">
        <v>72.0</v>
      </c>
      <c r="G36" s="79">
        <v>89.0</v>
      </c>
    </row>
    <row r="37" ht="14.25" customHeight="1">
      <c r="A37" s="77" t="s">
        <v>114</v>
      </c>
      <c r="B37" s="78">
        <v>31.0</v>
      </c>
      <c r="C37" s="79">
        <v>502.0</v>
      </c>
      <c r="D37" s="80">
        <v>0.0</v>
      </c>
      <c r="E37" s="79">
        <v>0.0</v>
      </c>
      <c r="F37" s="79">
        <v>0.0</v>
      </c>
      <c r="G37" s="79">
        <v>0.0</v>
      </c>
    </row>
    <row r="38" ht="14.25" customHeight="1">
      <c r="A38" s="77" t="s">
        <v>115</v>
      </c>
      <c r="B38" s="78">
        <v>410.0</v>
      </c>
      <c r="C38" s="79">
        <v>1416.0</v>
      </c>
      <c r="D38" s="80">
        <v>40.0</v>
      </c>
      <c r="E38" s="79">
        <v>138.0</v>
      </c>
      <c r="F38" s="79">
        <v>22.0</v>
      </c>
      <c r="G38" s="79">
        <v>76.0</v>
      </c>
    </row>
    <row r="39" ht="14.25" customHeight="1">
      <c r="A39" s="77" t="s">
        <v>116</v>
      </c>
      <c r="B39" s="78">
        <v>95.0</v>
      </c>
      <c r="C39" s="79">
        <v>420.0</v>
      </c>
      <c r="D39" s="80">
        <v>10.0</v>
      </c>
      <c r="E39" s="79">
        <v>44.0</v>
      </c>
      <c r="F39" s="79" t="s">
        <v>47</v>
      </c>
      <c r="G39" s="79" t="s">
        <v>30</v>
      </c>
    </row>
    <row r="40" ht="14.25" customHeight="1">
      <c r="A40" s="77" t="s">
        <v>117</v>
      </c>
      <c r="B40" s="78">
        <v>859.0</v>
      </c>
      <c r="C40" s="79">
        <v>2068.0</v>
      </c>
      <c r="D40" s="80">
        <v>107.0</v>
      </c>
      <c r="E40" s="79">
        <v>258.0</v>
      </c>
      <c r="F40" s="79">
        <v>82.0</v>
      </c>
      <c r="G40" s="79">
        <v>197.0</v>
      </c>
    </row>
    <row r="41" ht="14.25" customHeight="1">
      <c r="A41" s="77" t="s">
        <v>44</v>
      </c>
      <c r="B41" s="78">
        <v>1002.0</v>
      </c>
      <c r="C41" s="79" t="s">
        <v>30</v>
      </c>
      <c r="D41" s="80">
        <v>134.0</v>
      </c>
      <c r="E41" s="79" t="s">
        <v>30</v>
      </c>
      <c r="F41" s="79" t="s">
        <v>47</v>
      </c>
      <c r="G41" s="79" t="s">
        <v>30</v>
      </c>
    </row>
    <row r="42" ht="14.25" customHeight="1">
      <c r="A42" s="81" t="s">
        <v>118</v>
      </c>
      <c r="B42" s="79">
        <v>22376.0</v>
      </c>
      <c r="C42" s="79">
        <v>2118.0</v>
      </c>
      <c r="D42" s="79">
        <v>2251.0</v>
      </c>
      <c r="E42" s="79">
        <v>213.0</v>
      </c>
      <c r="F42" s="79">
        <v>1074.0</v>
      </c>
      <c r="G42" s="79">
        <v>102.0</v>
      </c>
    </row>
    <row r="43" ht="14.25" customHeight="1">
      <c r="A43" s="82" t="s">
        <v>119</v>
      </c>
      <c r="D43" s="83"/>
      <c r="E43" s="83"/>
      <c r="F43" s="83"/>
      <c r="G43" s="83"/>
    </row>
    <row r="44" ht="15.0" customHeight="1">
      <c r="A44" s="84" t="s">
        <v>120</v>
      </c>
    </row>
    <row r="45" ht="14.25" customHeight="1"/>
    <row r="46" ht="14.25" customHeight="1"/>
    <row r="47" ht="14.25" customHeight="1">
      <c r="A47" s="71" t="s">
        <v>0</v>
      </c>
      <c r="B47" s="72">
        <v>44090.0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121</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122</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123</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44090.0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124</v>
      </c>
      <c r="B6" s="97"/>
      <c r="C6" s="97"/>
      <c r="D6" s="97"/>
      <c r="E6" s="97"/>
      <c r="F6" s="97"/>
      <c r="G6" s="97"/>
      <c r="H6" s="97"/>
      <c r="I6" s="97"/>
      <c r="J6" s="97"/>
      <c r="K6" s="35"/>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125</v>
      </c>
      <c r="B8" s="102" t="s">
        <v>126</v>
      </c>
      <c r="C8" s="102" t="s">
        <v>127</v>
      </c>
      <c r="D8" s="102" t="s">
        <v>128</v>
      </c>
      <c r="E8" s="102" t="s">
        <v>129</v>
      </c>
      <c r="F8" s="102" t="s">
        <v>130</v>
      </c>
      <c r="G8" s="102" t="s">
        <v>131</v>
      </c>
      <c r="H8" s="102" t="s">
        <v>132</v>
      </c>
      <c r="I8" s="102" t="s">
        <v>133</v>
      </c>
      <c r="J8" s="102" t="s">
        <v>134</v>
      </c>
      <c r="K8" s="102" t="s">
        <v>135</v>
      </c>
      <c r="L8" s="102" t="s">
        <v>136</v>
      </c>
      <c r="M8" s="102" t="s">
        <v>137</v>
      </c>
      <c r="N8" s="102" t="s">
        <v>138</v>
      </c>
      <c r="O8" s="102" t="s">
        <v>139</v>
      </c>
      <c r="P8" s="102" t="s">
        <v>140</v>
      </c>
      <c r="Q8" s="102" t="s">
        <v>141</v>
      </c>
      <c r="R8" s="102" t="s">
        <v>142</v>
      </c>
      <c r="S8" s="102" t="s">
        <v>143</v>
      </c>
      <c r="T8" s="102" t="s">
        <v>144</v>
      </c>
      <c r="U8" s="102" t="s">
        <v>145</v>
      </c>
      <c r="V8" s="102" t="s">
        <v>146</v>
      </c>
      <c r="W8" s="102" t="s">
        <v>147</v>
      </c>
      <c r="X8" s="102" t="s">
        <v>148</v>
      </c>
      <c r="Y8" s="102" t="s">
        <v>149</v>
      </c>
      <c r="Z8" s="102" t="s">
        <v>150</v>
      </c>
      <c r="AA8" s="102" t="s">
        <v>151</v>
      </c>
      <c r="AB8" s="102" t="s">
        <v>152</v>
      </c>
      <c r="AC8" s="102" t="s">
        <v>153</v>
      </c>
      <c r="AD8" s="102" t="s">
        <v>154</v>
      </c>
      <c r="AE8" s="102" t="s">
        <v>155</v>
      </c>
      <c r="AF8" s="102" t="s">
        <v>156</v>
      </c>
      <c r="AG8" s="102" t="s">
        <v>157</v>
      </c>
      <c r="AH8" s="102" t="s">
        <v>158</v>
      </c>
      <c r="AI8" s="102" t="s">
        <v>159</v>
      </c>
      <c r="AJ8" s="102" t="s">
        <v>160</v>
      </c>
      <c r="AK8" s="102" t="s">
        <v>161</v>
      </c>
      <c r="AL8" s="102" t="s">
        <v>162</v>
      </c>
      <c r="AM8" s="102" t="s">
        <v>163</v>
      </c>
      <c r="AN8" s="102" t="s">
        <v>164</v>
      </c>
      <c r="AO8" s="102" t="s">
        <v>165</v>
      </c>
      <c r="AP8" s="102" t="s">
        <v>118</v>
      </c>
    </row>
    <row r="9">
      <c r="A9" s="103" t="s">
        <v>166</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103" t="s">
        <v>167</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103" t="s">
        <v>168</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26.0</v>
      </c>
      <c r="AD11" s="48">
        <v>0.0</v>
      </c>
      <c r="AE11" s="48" t="s">
        <v>47</v>
      </c>
      <c r="AF11" s="48">
        <v>0.0</v>
      </c>
      <c r="AG11" s="48" t="s">
        <v>47</v>
      </c>
      <c r="AH11" s="48">
        <v>0.0</v>
      </c>
      <c r="AI11" s="48" t="s">
        <v>47</v>
      </c>
      <c r="AJ11" s="48" t="s">
        <v>47</v>
      </c>
      <c r="AK11" s="48">
        <v>0.0</v>
      </c>
      <c r="AL11" s="48">
        <v>0.0</v>
      </c>
      <c r="AM11" s="48" t="s">
        <v>47</v>
      </c>
      <c r="AN11" s="48">
        <v>0.0</v>
      </c>
      <c r="AO11" s="48">
        <v>0.0</v>
      </c>
      <c r="AP11" s="50">
        <v>66.0</v>
      </c>
    </row>
    <row r="12">
      <c r="A12" s="103" t="s">
        <v>169</v>
      </c>
      <c r="B12" s="48">
        <v>5.0</v>
      </c>
      <c r="C12" s="48" t="s">
        <v>47</v>
      </c>
      <c r="D12" s="48">
        <v>5.0</v>
      </c>
      <c r="E12" s="48" t="s">
        <v>47</v>
      </c>
      <c r="F12" s="48" t="s">
        <v>47</v>
      </c>
      <c r="G12" s="48" t="s">
        <v>47</v>
      </c>
      <c r="H12" s="48">
        <v>26.0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198.0</v>
      </c>
    </row>
    <row r="13">
      <c r="A13" s="103" t="s">
        <v>170</v>
      </c>
      <c r="B13" s="48" t="s">
        <v>47</v>
      </c>
      <c r="C13" s="48">
        <v>6.0</v>
      </c>
      <c r="D13" s="48">
        <v>5.0</v>
      </c>
      <c r="E13" s="48">
        <v>10.0</v>
      </c>
      <c r="F13" s="48" t="s">
        <v>47</v>
      </c>
      <c r="G13" s="48">
        <v>12.0</v>
      </c>
      <c r="H13" s="48">
        <v>42.0</v>
      </c>
      <c r="I13" s="48">
        <v>17.0</v>
      </c>
      <c r="J13" s="48">
        <v>5.0</v>
      </c>
      <c r="K13" s="48">
        <v>16.0</v>
      </c>
      <c r="L13" s="48" t="s">
        <v>47</v>
      </c>
      <c r="M13" s="48">
        <v>0.0</v>
      </c>
      <c r="N13" s="48" t="s">
        <v>47</v>
      </c>
      <c r="O13" s="48" t="s">
        <v>47</v>
      </c>
      <c r="P13" s="48" t="s">
        <v>47</v>
      </c>
      <c r="Q13" s="48">
        <v>11.0</v>
      </c>
      <c r="R13" s="48">
        <v>9.0</v>
      </c>
      <c r="S13" s="48" t="s">
        <v>47</v>
      </c>
      <c r="T13" s="48" t="s">
        <v>47</v>
      </c>
      <c r="U13" s="48" t="s">
        <v>47</v>
      </c>
      <c r="V13" s="48" t="s">
        <v>47</v>
      </c>
      <c r="W13" s="48">
        <v>6.0</v>
      </c>
      <c r="X13" s="48">
        <v>8.0</v>
      </c>
      <c r="Y13" s="48">
        <v>25.0</v>
      </c>
      <c r="Z13" s="48" t="s">
        <v>47</v>
      </c>
      <c r="AA13" s="48">
        <v>56.0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103" t="s">
        <v>171</v>
      </c>
      <c r="B14" s="48">
        <v>6.0</v>
      </c>
      <c r="C14" s="48">
        <v>9.0</v>
      </c>
      <c r="D14" s="48">
        <v>14.0</v>
      </c>
      <c r="E14" s="48">
        <v>48.0</v>
      </c>
      <c r="F14" s="48" t="s">
        <v>47</v>
      </c>
      <c r="G14" s="48">
        <v>23.0</v>
      </c>
      <c r="H14" s="48">
        <v>108.0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60.0</v>
      </c>
      <c r="Z14" s="48">
        <v>5.0</v>
      </c>
      <c r="AA14" s="48">
        <v>145.0</v>
      </c>
      <c r="AB14" s="48" t="s">
        <v>47</v>
      </c>
      <c r="AC14" s="48">
        <v>526.0</v>
      </c>
      <c r="AD14" s="48" t="s">
        <v>47</v>
      </c>
      <c r="AE14" s="48">
        <v>6.0</v>
      </c>
      <c r="AF14" s="48">
        <v>17.0</v>
      </c>
      <c r="AG14" s="48">
        <v>19.0</v>
      </c>
      <c r="AH14" s="48">
        <v>15.0</v>
      </c>
      <c r="AI14" s="48" t="s">
        <v>47</v>
      </c>
      <c r="AJ14" s="48">
        <v>65.0</v>
      </c>
      <c r="AK14" s="48">
        <v>5.0</v>
      </c>
      <c r="AL14" s="48">
        <v>21.0</v>
      </c>
      <c r="AM14" s="48">
        <v>8.0</v>
      </c>
      <c r="AN14" s="48">
        <v>38.0</v>
      </c>
      <c r="AO14" s="48">
        <v>58.0</v>
      </c>
      <c r="AP14" s="104">
        <v>1446.0</v>
      </c>
    </row>
    <row r="15">
      <c r="A15" s="103" t="s">
        <v>172</v>
      </c>
      <c r="B15" s="48" t="s">
        <v>47</v>
      </c>
      <c r="C15" s="48">
        <v>13.0</v>
      </c>
      <c r="D15" s="48">
        <v>8.0</v>
      </c>
      <c r="E15" s="48">
        <v>112.0</v>
      </c>
      <c r="F15" s="48" t="s">
        <v>47</v>
      </c>
      <c r="G15" s="48">
        <v>18.0</v>
      </c>
      <c r="H15" s="48">
        <v>140.0</v>
      </c>
      <c r="I15" s="48">
        <v>28.0</v>
      </c>
      <c r="J15" s="48">
        <v>5.0</v>
      </c>
      <c r="K15" s="48">
        <v>55.0</v>
      </c>
      <c r="L15" s="48" t="s">
        <v>47</v>
      </c>
      <c r="M15" s="48" t="s">
        <v>47</v>
      </c>
      <c r="N15" s="48">
        <v>6.0</v>
      </c>
      <c r="O15" s="48">
        <v>0.0</v>
      </c>
      <c r="P15" s="48" t="s">
        <v>47</v>
      </c>
      <c r="Q15" s="48">
        <v>40.0</v>
      </c>
      <c r="R15" s="48">
        <v>20.0</v>
      </c>
      <c r="S15" s="48" t="s">
        <v>47</v>
      </c>
      <c r="T15" s="48" t="s">
        <v>47</v>
      </c>
      <c r="U15" s="48" t="s">
        <v>47</v>
      </c>
      <c r="V15" s="48">
        <v>0.0</v>
      </c>
      <c r="W15" s="48">
        <v>0.0</v>
      </c>
      <c r="X15" s="48">
        <v>6.0</v>
      </c>
      <c r="Y15" s="48">
        <v>83.0</v>
      </c>
      <c r="Z15" s="48" t="s">
        <v>47</v>
      </c>
      <c r="AA15" s="48">
        <v>210.0</v>
      </c>
      <c r="AB15" s="48" t="s">
        <v>47</v>
      </c>
      <c r="AC15" s="48">
        <v>631.0</v>
      </c>
      <c r="AD15" s="48" t="s">
        <v>47</v>
      </c>
      <c r="AE15" s="48">
        <v>6.0</v>
      </c>
      <c r="AF15" s="48">
        <v>8.0</v>
      </c>
      <c r="AG15" s="48">
        <v>10.0</v>
      </c>
      <c r="AH15" s="48">
        <v>8.0</v>
      </c>
      <c r="AI15" s="48" t="s">
        <v>47</v>
      </c>
      <c r="AJ15" s="48">
        <v>60.0</v>
      </c>
      <c r="AK15" s="48" t="s">
        <v>47</v>
      </c>
      <c r="AL15" s="48">
        <v>31.0</v>
      </c>
      <c r="AM15" s="48">
        <v>6.0</v>
      </c>
      <c r="AN15" s="48">
        <v>47.0</v>
      </c>
      <c r="AO15" s="48">
        <v>35.0</v>
      </c>
      <c r="AP15" s="104">
        <v>1624.0</v>
      </c>
    </row>
    <row r="16">
      <c r="A16" s="103" t="s">
        <v>173</v>
      </c>
      <c r="B16" s="48">
        <v>6.0</v>
      </c>
      <c r="C16" s="48">
        <v>11.0</v>
      </c>
      <c r="D16" s="48">
        <v>10.0</v>
      </c>
      <c r="E16" s="48">
        <v>178.0</v>
      </c>
      <c r="F16" s="48" t="s">
        <v>47</v>
      </c>
      <c r="G16" s="48">
        <v>17.0</v>
      </c>
      <c r="H16" s="48">
        <v>130.0</v>
      </c>
      <c r="I16" s="48">
        <v>38.0</v>
      </c>
      <c r="J16" s="48">
        <v>12.0</v>
      </c>
      <c r="K16" s="48">
        <v>51.0</v>
      </c>
      <c r="L16" s="48">
        <v>5.0</v>
      </c>
      <c r="M16" s="48" t="s">
        <v>47</v>
      </c>
      <c r="N16" s="48">
        <v>8.0</v>
      </c>
      <c r="O16" s="48" t="s">
        <v>47</v>
      </c>
      <c r="P16" s="48" t="s">
        <v>47</v>
      </c>
      <c r="Q16" s="48">
        <v>45.0</v>
      </c>
      <c r="R16" s="48">
        <v>23.0</v>
      </c>
      <c r="S16" s="48">
        <v>0.0</v>
      </c>
      <c r="T16" s="48">
        <v>6.0</v>
      </c>
      <c r="U16" s="48">
        <v>11.0</v>
      </c>
      <c r="V16" s="48">
        <v>0.0</v>
      </c>
      <c r="W16" s="48">
        <v>10.0</v>
      </c>
      <c r="X16" s="48">
        <v>16.0</v>
      </c>
      <c r="Y16" s="48">
        <v>80.0</v>
      </c>
      <c r="Z16" s="48">
        <v>6.0</v>
      </c>
      <c r="AA16" s="48">
        <v>268.0</v>
      </c>
      <c r="AB16" s="48">
        <v>5.0</v>
      </c>
      <c r="AC16" s="48">
        <v>821.0</v>
      </c>
      <c r="AD16" s="48">
        <v>5.0</v>
      </c>
      <c r="AE16" s="48">
        <v>6.0</v>
      </c>
      <c r="AF16" s="48">
        <v>17.0</v>
      </c>
      <c r="AG16" s="48">
        <v>8.0</v>
      </c>
      <c r="AH16" s="48">
        <v>12.0</v>
      </c>
      <c r="AI16" s="48">
        <v>15.0</v>
      </c>
      <c r="AJ16" s="48">
        <v>59.0</v>
      </c>
      <c r="AK16" s="48" t="s">
        <v>47</v>
      </c>
      <c r="AL16" s="48">
        <v>36.0</v>
      </c>
      <c r="AM16" s="48">
        <v>15.0</v>
      </c>
      <c r="AN16" s="48">
        <v>50.0</v>
      </c>
      <c r="AO16" s="48">
        <v>44.0</v>
      </c>
      <c r="AP16" s="104">
        <v>2036.0</v>
      </c>
    </row>
    <row r="17">
      <c r="A17" s="103" t="s">
        <v>174</v>
      </c>
      <c r="B17" s="48" t="s">
        <v>47</v>
      </c>
      <c r="C17" s="48">
        <v>11.0</v>
      </c>
      <c r="D17" s="48">
        <v>10.0</v>
      </c>
      <c r="E17" s="48">
        <v>139.0</v>
      </c>
      <c r="F17" s="48">
        <v>5.0</v>
      </c>
      <c r="G17" s="48">
        <v>12.0</v>
      </c>
      <c r="H17" s="48">
        <v>107.0</v>
      </c>
      <c r="I17" s="48">
        <v>21.0</v>
      </c>
      <c r="J17" s="48">
        <v>11.0</v>
      </c>
      <c r="K17" s="48">
        <v>44.0</v>
      </c>
      <c r="L17" s="48" t="s">
        <v>47</v>
      </c>
      <c r="M17" s="48" t="s">
        <v>47</v>
      </c>
      <c r="N17" s="48" t="s">
        <v>47</v>
      </c>
      <c r="O17" s="48">
        <v>0.0</v>
      </c>
      <c r="P17" s="48">
        <v>0.0</v>
      </c>
      <c r="Q17" s="48">
        <v>25.0</v>
      </c>
      <c r="R17" s="48">
        <v>20.0</v>
      </c>
      <c r="S17" s="48">
        <v>0.0</v>
      </c>
      <c r="T17" s="48" t="s">
        <v>47</v>
      </c>
      <c r="U17" s="48" t="s">
        <v>47</v>
      </c>
      <c r="V17" s="48">
        <v>0.0</v>
      </c>
      <c r="W17" s="48">
        <v>8.0</v>
      </c>
      <c r="X17" s="48">
        <v>5.0</v>
      </c>
      <c r="Y17" s="48">
        <v>55.0</v>
      </c>
      <c r="Z17" s="48" t="s">
        <v>47</v>
      </c>
      <c r="AA17" s="48">
        <v>203.0</v>
      </c>
      <c r="AB17" s="48" t="s">
        <v>47</v>
      </c>
      <c r="AC17" s="48">
        <v>693.0</v>
      </c>
      <c r="AD17" s="48">
        <v>5.0</v>
      </c>
      <c r="AE17" s="48" t="s">
        <v>47</v>
      </c>
      <c r="AF17" s="48">
        <v>12.0</v>
      </c>
      <c r="AG17" s="48" t="s">
        <v>47</v>
      </c>
      <c r="AH17" s="48">
        <v>6.0</v>
      </c>
      <c r="AI17" s="48" t="s">
        <v>47</v>
      </c>
      <c r="AJ17" s="48">
        <v>60.0</v>
      </c>
      <c r="AK17" s="48" t="s">
        <v>47</v>
      </c>
      <c r="AL17" s="48">
        <v>25.0</v>
      </c>
      <c r="AM17" s="48">
        <v>7.0</v>
      </c>
      <c r="AN17" s="48">
        <v>55.0</v>
      </c>
      <c r="AO17" s="48">
        <v>55.0</v>
      </c>
      <c r="AP17" s="104">
        <v>1626.0</v>
      </c>
    </row>
    <row r="18">
      <c r="A18" s="103" t="s">
        <v>175</v>
      </c>
      <c r="B18" s="48" t="s">
        <v>47</v>
      </c>
      <c r="C18" s="48">
        <v>10.0</v>
      </c>
      <c r="D18" s="48" t="s">
        <v>47</v>
      </c>
      <c r="E18" s="48">
        <v>130.0</v>
      </c>
      <c r="F18" s="48" t="s">
        <v>47</v>
      </c>
      <c r="G18" s="48">
        <v>13.0</v>
      </c>
      <c r="H18" s="48">
        <v>80.0</v>
      </c>
      <c r="I18" s="48">
        <v>21.0</v>
      </c>
      <c r="J18" s="48">
        <v>8.0</v>
      </c>
      <c r="K18" s="48">
        <v>65.0</v>
      </c>
      <c r="L18" s="48">
        <v>6.0</v>
      </c>
      <c r="M18" s="48" t="s">
        <v>47</v>
      </c>
      <c r="N18" s="48" t="s">
        <v>47</v>
      </c>
      <c r="O18" s="48" t="s">
        <v>47</v>
      </c>
      <c r="P18" s="48" t="s">
        <v>47</v>
      </c>
      <c r="Q18" s="48">
        <v>35.0</v>
      </c>
      <c r="R18" s="48">
        <v>19.0</v>
      </c>
      <c r="S18" s="48" t="s">
        <v>47</v>
      </c>
      <c r="T18" s="48" t="s">
        <v>47</v>
      </c>
      <c r="U18" s="48" t="s">
        <v>47</v>
      </c>
      <c r="V18" s="48">
        <v>0.0</v>
      </c>
      <c r="W18" s="48">
        <v>8.0</v>
      </c>
      <c r="X18" s="48">
        <v>9.0</v>
      </c>
      <c r="Y18" s="48">
        <v>67.0</v>
      </c>
      <c r="Z18" s="48">
        <v>9.0</v>
      </c>
      <c r="AA18" s="48">
        <v>189.0</v>
      </c>
      <c r="AB18" s="48" t="s">
        <v>47</v>
      </c>
      <c r="AC18" s="48">
        <v>545.0</v>
      </c>
      <c r="AD18" s="48" t="s">
        <v>47</v>
      </c>
      <c r="AE18" s="48" t="s">
        <v>47</v>
      </c>
      <c r="AF18" s="48">
        <v>13.0</v>
      </c>
      <c r="AG18" s="48" t="s">
        <v>47</v>
      </c>
      <c r="AH18" s="48">
        <v>6.0</v>
      </c>
      <c r="AI18" s="48">
        <v>5.0</v>
      </c>
      <c r="AJ18" s="48">
        <v>42.0</v>
      </c>
      <c r="AK18" s="48">
        <v>0.0</v>
      </c>
      <c r="AL18" s="48">
        <v>27.0</v>
      </c>
      <c r="AM18" s="48" t="s">
        <v>47</v>
      </c>
      <c r="AN18" s="48">
        <v>68.0</v>
      </c>
      <c r="AO18" s="48">
        <v>59.0</v>
      </c>
      <c r="AP18" s="104">
        <v>1463.0</v>
      </c>
    </row>
    <row r="19">
      <c r="A19" s="103" t="s">
        <v>176</v>
      </c>
      <c r="B19" s="48">
        <v>6.0</v>
      </c>
      <c r="C19" s="48">
        <v>6.0</v>
      </c>
      <c r="D19" s="48" t="s">
        <v>47</v>
      </c>
      <c r="E19" s="48">
        <v>97.0</v>
      </c>
      <c r="F19" s="48">
        <v>0.0</v>
      </c>
      <c r="G19" s="48">
        <v>12.0</v>
      </c>
      <c r="H19" s="48">
        <v>73.0</v>
      </c>
      <c r="I19" s="48">
        <v>15.0</v>
      </c>
      <c r="J19" s="48">
        <v>6.0</v>
      </c>
      <c r="K19" s="48">
        <v>53.0</v>
      </c>
      <c r="L19" s="48" t="s">
        <v>47</v>
      </c>
      <c r="M19" s="48" t="s">
        <v>47</v>
      </c>
      <c r="N19" s="48">
        <v>9.0</v>
      </c>
      <c r="O19" s="48" t="s">
        <v>47</v>
      </c>
      <c r="P19" s="48">
        <v>0.0</v>
      </c>
      <c r="Q19" s="48">
        <v>20.0</v>
      </c>
      <c r="R19" s="48">
        <v>12.0</v>
      </c>
      <c r="S19" s="48">
        <v>0.0</v>
      </c>
      <c r="T19" s="48">
        <v>0.0</v>
      </c>
      <c r="U19" s="48" t="s">
        <v>47</v>
      </c>
      <c r="V19" s="48">
        <v>0.0</v>
      </c>
      <c r="W19" s="48" t="s">
        <v>47</v>
      </c>
      <c r="X19" s="48">
        <v>10.0</v>
      </c>
      <c r="Y19" s="48">
        <v>50.0</v>
      </c>
      <c r="Z19" s="48">
        <v>16.0</v>
      </c>
      <c r="AA19" s="48">
        <v>114.0</v>
      </c>
      <c r="AB19" s="48" t="s">
        <v>47</v>
      </c>
      <c r="AC19" s="48">
        <v>484.0</v>
      </c>
      <c r="AD19" s="48">
        <v>0.0</v>
      </c>
      <c r="AE19" s="48">
        <v>5.0</v>
      </c>
      <c r="AF19" s="48">
        <v>11.0</v>
      </c>
      <c r="AG19" s="48" t="s">
        <v>47</v>
      </c>
      <c r="AH19" s="48">
        <v>7.0</v>
      </c>
      <c r="AI19" s="48">
        <v>13.0</v>
      </c>
      <c r="AJ19" s="48">
        <v>35.0</v>
      </c>
      <c r="AK19" s="48" t="s">
        <v>47</v>
      </c>
      <c r="AL19" s="48">
        <v>15.0</v>
      </c>
      <c r="AM19" s="48" t="s">
        <v>47</v>
      </c>
      <c r="AN19" s="48">
        <v>60.0</v>
      </c>
      <c r="AO19" s="48">
        <v>47.0</v>
      </c>
      <c r="AP19" s="104">
        <v>1198.0</v>
      </c>
    </row>
    <row r="20">
      <c r="A20" s="103" t="s">
        <v>177</v>
      </c>
      <c r="B20" s="48">
        <v>7.0</v>
      </c>
      <c r="C20" s="48">
        <v>9.0</v>
      </c>
      <c r="D20" s="48">
        <v>7.0</v>
      </c>
      <c r="E20" s="48">
        <v>65.0</v>
      </c>
      <c r="F20" s="48">
        <v>0.0</v>
      </c>
      <c r="G20" s="48">
        <v>17.0</v>
      </c>
      <c r="H20" s="48">
        <v>74.0</v>
      </c>
      <c r="I20" s="48">
        <v>13.0</v>
      </c>
      <c r="J20" s="48" t="s">
        <v>47</v>
      </c>
      <c r="K20" s="48">
        <v>29.0</v>
      </c>
      <c r="L20" s="48" t="s">
        <v>47</v>
      </c>
      <c r="M20" s="48" t="s">
        <v>47</v>
      </c>
      <c r="N20" s="48" t="s">
        <v>47</v>
      </c>
      <c r="O20" s="48" t="s">
        <v>47</v>
      </c>
      <c r="P20" s="48" t="s">
        <v>47</v>
      </c>
      <c r="Q20" s="48">
        <v>20.0</v>
      </c>
      <c r="R20" s="48">
        <v>12.0</v>
      </c>
      <c r="S20" s="48" t="s">
        <v>47</v>
      </c>
      <c r="T20" s="48" t="s">
        <v>47</v>
      </c>
      <c r="U20" s="48" t="s">
        <v>47</v>
      </c>
      <c r="V20" s="48">
        <v>0.0</v>
      </c>
      <c r="W20" s="48" t="s">
        <v>47</v>
      </c>
      <c r="X20" s="48">
        <v>6.0</v>
      </c>
      <c r="Y20" s="48">
        <v>27.0</v>
      </c>
      <c r="Z20" s="48">
        <v>6.0</v>
      </c>
      <c r="AA20" s="48">
        <v>118.0</v>
      </c>
      <c r="AB20" s="48">
        <v>7.0</v>
      </c>
      <c r="AC20" s="48">
        <v>419.0</v>
      </c>
      <c r="AD20" s="48" t="s">
        <v>47</v>
      </c>
      <c r="AE20" s="48" t="s">
        <v>47</v>
      </c>
      <c r="AF20" s="48">
        <v>7.0</v>
      </c>
      <c r="AG20" s="48" t="s">
        <v>47</v>
      </c>
      <c r="AH20" s="48">
        <v>9.0</v>
      </c>
      <c r="AI20" s="48">
        <v>5.0</v>
      </c>
      <c r="AJ20" s="48">
        <v>34.0</v>
      </c>
      <c r="AK20" s="48" t="s">
        <v>47</v>
      </c>
      <c r="AL20" s="48">
        <v>12.0</v>
      </c>
      <c r="AM20" s="48" t="s">
        <v>47</v>
      </c>
      <c r="AN20" s="48">
        <v>36.0</v>
      </c>
      <c r="AO20" s="48">
        <v>34.0</v>
      </c>
      <c r="AP20" s="104">
        <v>1007.0</v>
      </c>
    </row>
    <row r="21">
      <c r="A21" s="103" t="s">
        <v>178</v>
      </c>
      <c r="B21" s="48" t="s">
        <v>47</v>
      </c>
      <c r="C21" s="48">
        <v>9.0</v>
      </c>
      <c r="D21" s="48" t="s">
        <v>47</v>
      </c>
      <c r="E21" s="48">
        <v>32.0</v>
      </c>
      <c r="F21" s="48" t="s">
        <v>47</v>
      </c>
      <c r="G21" s="48">
        <v>10.0</v>
      </c>
      <c r="H21" s="48">
        <v>46.0</v>
      </c>
      <c r="I21" s="48">
        <v>6.0</v>
      </c>
      <c r="J21" s="48">
        <v>0.0</v>
      </c>
      <c r="K21" s="48">
        <v>33.0</v>
      </c>
      <c r="L21" s="48">
        <v>0.0</v>
      </c>
      <c r="M21" s="48" t="s">
        <v>47</v>
      </c>
      <c r="N21" s="48" t="s">
        <v>47</v>
      </c>
      <c r="O21" s="48">
        <v>0.0</v>
      </c>
      <c r="P21" s="48" t="s">
        <v>47</v>
      </c>
      <c r="Q21" s="48">
        <v>38.0</v>
      </c>
      <c r="R21" s="48">
        <v>10.0</v>
      </c>
      <c r="S21" s="48">
        <v>0.0</v>
      </c>
      <c r="T21" s="48">
        <v>5.0</v>
      </c>
      <c r="U21" s="48" t="s">
        <v>47</v>
      </c>
      <c r="V21" s="48">
        <v>0.0</v>
      </c>
      <c r="W21" s="48">
        <v>8.0</v>
      </c>
      <c r="X21" s="48">
        <v>6.0</v>
      </c>
      <c r="Y21" s="48">
        <v>17.0</v>
      </c>
      <c r="Z21" s="48">
        <v>5.0</v>
      </c>
      <c r="AA21" s="48">
        <v>71.0</v>
      </c>
      <c r="AB21" s="48">
        <v>6.0</v>
      </c>
      <c r="AC21" s="48">
        <v>329.0</v>
      </c>
      <c r="AD21" s="48" t="s">
        <v>47</v>
      </c>
      <c r="AE21" s="48" t="s">
        <v>47</v>
      </c>
      <c r="AF21" s="48">
        <v>0.0</v>
      </c>
      <c r="AG21" s="48">
        <v>0.0</v>
      </c>
      <c r="AH21" s="48" t="s">
        <v>47</v>
      </c>
      <c r="AI21" s="48">
        <v>0.0</v>
      </c>
      <c r="AJ21" s="48">
        <v>19.0</v>
      </c>
      <c r="AK21" s="48" t="s">
        <v>47</v>
      </c>
      <c r="AL21" s="48">
        <v>11.0</v>
      </c>
      <c r="AM21" s="48" t="s">
        <v>47</v>
      </c>
      <c r="AN21" s="48">
        <v>42.0</v>
      </c>
      <c r="AO21" s="48">
        <v>27.0</v>
      </c>
      <c r="AP21" s="50">
        <v>756.0</v>
      </c>
    </row>
    <row r="22">
      <c r="A22" s="103" t="s">
        <v>179</v>
      </c>
      <c r="B22" s="48" t="s">
        <v>47</v>
      </c>
      <c r="C22" s="48" t="s">
        <v>47</v>
      </c>
      <c r="D22" s="48" t="s">
        <v>47</v>
      </c>
      <c r="E22" s="48">
        <v>32.0</v>
      </c>
      <c r="F22" s="48">
        <v>0.0</v>
      </c>
      <c r="G22" s="48" t="s">
        <v>47</v>
      </c>
      <c r="H22" s="48">
        <v>38.0</v>
      </c>
      <c r="I22" s="48">
        <v>11.0</v>
      </c>
      <c r="J22" s="48" t="s">
        <v>47</v>
      </c>
      <c r="K22" s="48">
        <v>17.0</v>
      </c>
      <c r="L22" s="48" t="s">
        <v>47</v>
      </c>
      <c r="M22" s="48">
        <v>0.0</v>
      </c>
      <c r="N22" s="48" t="s">
        <v>47</v>
      </c>
      <c r="O22" s="48">
        <v>0.0</v>
      </c>
      <c r="P22" s="48" t="s">
        <v>47</v>
      </c>
      <c r="Q22" s="48">
        <v>12.0</v>
      </c>
      <c r="R22" s="48" t="s">
        <v>47</v>
      </c>
      <c r="S22" s="48">
        <v>0.0</v>
      </c>
      <c r="T22" s="48" t="s">
        <v>47</v>
      </c>
      <c r="U22" s="48" t="s">
        <v>47</v>
      </c>
      <c r="V22" s="48">
        <v>0.0</v>
      </c>
      <c r="W22" s="48" t="s">
        <v>47</v>
      </c>
      <c r="X22" s="48" t="s">
        <v>47</v>
      </c>
      <c r="Y22" s="48">
        <v>22.0</v>
      </c>
      <c r="Z22" s="48" t="s">
        <v>47</v>
      </c>
      <c r="AA22" s="48">
        <v>52.0</v>
      </c>
      <c r="AB22" s="48">
        <v>5.0</v>
      </c>
      <c r="AC22" s="48">
        <v>277.0</v>
      </c>
      <c r="AD22" s="48">
        <v>0.0</v>
      </c>
      <c r="AE22" s="48" t="s">
        <v>47</v>
      </c>
      <c r="AF22" s="48" t="s">
        <v>47</v>
      </c>
      <c r="AG22" s="48">
        <v>0.0</v>
      </c>
      <c r="AH22" s="48" t="s">
        <v>47</v>
      </c>
      <c r="AI22" s="48" t="s">
        <v>47</v>
      </c>
      <c r="AJ22" s="48">
        <v>20.0</v>
      </c>
      <c r="AK22" s="48">
        <v>0.0</v>
      </c>
      <c r="AL22" s="48">
        <v>10.0</v>
      </c>
      <c r="AM22" s="48">
        <v>0.0</v>
      </c>
      <c r="AN22" s="48">
        <v>30.0</v>
      </c>
      <c r="AO22" s="48">
        <v>10.0</v>
      </c>
      <c r="AP22" s="50">
        <v>576.0</v>
      </c>
    </row>
    <row r="23">
      <c r="A23" s="103" t="s">
        <v>180</v>
      </c>
      <c r="B23" s="48" t="s">
        <v>47</v>
      </c>
      <c r="C23" s="48" t="s">
        <v>47</v>
      </c>
      <c r="D23" s="48" t="s">
        <v>47</v>
      </c>
      <c r="E23" s="48">
        <v>22.0</v>
      </c>
      <c r="F23" s="48" t="s">
        <v>47</v>
      </c>
      <c r="G23" s="48" t="s">
        <v>47</v>
      </c>
      <c r="H23" s="48">
        <v>33.0</v>
      </c>
      <c r="I23" s="48">
        <v>9.0</v>
      </c>
      <c r="J23" s="48" t="s">
        <v>47</v>
      </c>
      <c r="K23" s="48">
        <v>12.0</v>
      </c>
      <c r="L23" s="48" t="s">
        <v>47</v>
      </c>
      <c r="M23" s="48" t="s">
        <v>47</v>
      </c>
      <c r="N23" s="48">
        <v>0.0</v>
      </c>
      <c r="O23" s="48">
        <v>0.0</v>
      </c>
      <c r="P23" s="48">
        <v>0.0</v>
      </c>
      <c r="Q23" s="48">
        <v>14.0</v>
      </c>
      <c r="R23" s="48">
        <v>9.0</v>
      </c>
      <c r="S23" s="48">
        <v>0.0</v>
      </c>
      <c r="T23" s="48" t="s">
        <v>47</v>
      </c>
      <c r="U23" s="48">
        <v>0.0</v>
      </c>
      <c r="V23" s="48">
        <v>0.0</v>
      </c>
      <c r="W23" s="48" t="s">
        <v>47</v>
      </c>
      <c r="X23" s="48" t="s">
        <v>47</v>
      </c>
      <c r="Y23" s="48">
        <v>10.0</v>
      </c>
      <c r="Z23" s="48">
        <v>7.0</v>
      </c>
      <c r="AA23" s="48">
        <v>42.0</v>
      </c>
      <c r="AB23" s="48">
        <v>0.0</v>
      </c>
      <c r="AC23" s="48">
        <v>164.0</v>
      </c>
      <c r="AD23" s="48">
        <v>0.0</v>
      </c>
      <c r="AE23" s="48" t="s">
        <v>47</v>
      </c>
      <c r="AF23" s="48" t="s">
        <v>47</v>
      </c>
      <c r="AG23" s="48" t="s">
        <v>47</v>
      </c>
      <c r="AH23" s="48" t="s">
        <v>47</v>
      </c>
      <c r="AI23" s="48" t="s">
        <v>47</v>
      </c>
      <c r="AJ23" s="48">
        <v>10.0</v>
      </c>
      <c r="AK23" s="48">
        <v>0.0</v>
      </c>
      <c r="AL23" s="48" t="s">
        <v>47</v>
      </c>
      <c r="AM23" s="48">
        <v>0.0</v>
      </c>
      <c r="AN23" s="48">
        <v>19.0</v>
      </c>
      <c r="AO23" s="48">
        <v>7.0</v>
      </c>
      <c r="AP23" s="50">
        <v>390.0</v>
      </c>
    </row>
    <row r="24">
      <c r="A24" s="103" t="s">
        <v>181</v>
      </c>
      <c r="B24" s="48">
        <v>0.0</v>
      </c>
      <c r="C24" s="48" t="s">
        <v>47</v>
      </c>
      <c r="D24" s="48" t="s">
        <v>47</v>
      </c>
      <c r="E24" s="48">
        <v>22.0</v>
      </c>
      <c r="F24" s="48" t="s">
        <v>47</v>
      </c>
      <c r="G24" s="48" t="s">
        <v>47</v>
      </c>
      <c r="H24" s="48">
        <v>17.0</v>
      </c>
      <c r="I24" s="48" t="s">
        <v>47</v>
      </c>
      <c r="J24" s="48" t="s">
        <v>47</v>
      </c>
      <c r="K24" s="48">
        <v>7.0</v>
      </c>
      <c r="L24" s="48">
        <v>0.0</v>
      </c>
      <c r="M24" s="48">
        <v>0.0</v>
      </c>
      <c r="N24" s="48">
        <v>0.0</v>
      </c>
      <c r="O24" s="48">
        <v>0.0</v>
      </c>
      <c r="P24" s="48" t="s">
        <v>47</v>
      </c>
      <c r="Q24" s="48">
        <v>5.0</v>
      </c>
      <c r="R24" s="48" t="s">
        <v>47</v>
      </c>
      <c r="S24" s="48">
        <v>0.0</v>
      </c>
      <c r="T24" s="48" t="s">
        <v>47</v>
      </c>
      <c r="U24" s="48" t="s">
        <v>47</v>
      </c>
      <c r="V24" s="48">
        <v>0.0</v>
      </c>
      <c r="W24" s="48">
        <v>6.0</v>
      </c>
      <c r="X24" s="48" t="s">
        <v>47</v>
      </c>
      <c r="Y24" s="48">
        <v>5.0</v>
      </c>
      <c r="Z24" s="48" t="s">
        <v>47</v>
      </c>
      <c r="AA24" s="48">
        <v>26.0</v>
      </c>
      <c r="AB24" s="48" t="s">
        <v>47</v>
      </c>
      <c r="AC24" s="48">
        <v>130.0</v>
      </c>
      <c r="AD24" s="48">
        <v>0.0</v>
      </c>
      <c r="AE24" s="48" t="s">
        <v>47</v>
      </c>
      <c r="AF24" s="48" t="s">
        <v>47</v>
      </c>
      <c r="AG24" s="48">
        <v>0.0</v>
      </c>
      <c r="AH24" s="48">
        <v>0.0</v>
      </c>
      <c r="AI24" s="48" t="s">
        <v>47</v>
      </c>
      <c r="AJ24" s="48">
        <v>12.0</v>
      </c>
      <c r="AK24" s="48">
        <v>0.0</v>
      </c>
      <c r="AL24" s="48">
        <v>10.0</v>
      </c>
      <c r="AM24" s="48" t="s">
        <v>47</v>
      </c>
      <c r="AN24" s="48">
        <v>14.0</v>
      </c>
      <c r="AO24" s="48">
        <v>12.0</v>
      </c>
      <c r="AP24" s="50">
        <v>298.0</v>
      </c>
    </row>
    <row r="25">
      <c r="A25" s="103" t="s">
        <v>182</v>
      </c>
      <c r="B25" s="48" t="s">
        <v>47</v>
      </c>
      <c r="C25" s="48">
        <v>5.0</v>
      </c>
      <c r="D25" s="48" t="s">
        <v>47</v>
      </c>
      <c r="E25" s="48">
        <v>9.0</v>
      </c>
      <c r="F25" s="48" t="s">
        <v>47</v>
      </c>
      <c r="G25" s="48" t="s">
        <v>47</v>
      </c>
      <c r="H25" s="48">
        <v>14.0</v>
      </c>
      <c r="I25" s="48">
        <v>9.0</v>
      </c>
      <c r="J25" s="48" t="s">
        <v>47</v>
      </c>
      <c r="K25" s="48">
        <v>8.0</v>
      </c>
      <c r="L25" s="48">
        <v>0.0</v>
      </c>
      <c r="M25" s="48" t="s">
        <v>47</v>
      </c>
      <c r="N25" s="48" t="s">
        <v>47</v>
      </c>
      <c r="O25" s="48" t="s">
        <v>47</v>
      </c>
      <c r="P25" s="48">
        <v>0.0</v>
      </c>
      <c r="Q25" s="48">
        <v>10.0</v>
      </c>
      <c r="R25" s="48">
        <v>6.0</v>
      </c>
      <c r="S25" s="48">
        <v>0.0</v>
      </c>
      <c r="T25" s="48">
        <v>6.0</v>
      </c>
      <c r="U25" s="48">
        <v>0.0</v>
      </c>
      <c r="V25" s="48">
        <v>0.0</v>
      </c>
      <c r="W25" s="48">
        <v>11.0</v>
      </c>
      <c r="X25" s="48" t="s">
        <v>47</v>
      </c>
      <c r="Y25" s="48">
        <v>12.0</v>
      </c>
      <c r="Z25" s="48">
        <v>0.0</v>
      </c>
      <c r="AA25" s="48">
        <v>40.0</v>
      </c>
      <c r="AB25" s="48" t="s">
        <v>47</v>
      </c>
      <c r="AC25" s="48">
        <v>127.0</v>
      </c>
      <c r="AD25" s="48">
        <v>0.0</v>
      </c>
      <c r="AE25" s="48" t="s">
        <v>47</v>
      </c>
      <c r="AF25" s="48" t="s">
        <v>47</v>
      </c>
      <c r="AG25" s="48" t="s">
        <v>47</v>
      </c>
      <c r="AH25" s="48" t="s">
        <v>47</v>
      </c>
      <c r="AI25" s="48" t="s">
        <v>47</v>
      </c>
      <c r="AJ25" s="48">
        <v>12.0</v>
      </c>
      <c r="AK25" s="48" t="s">
        <v>47</v>
      </c>
      <c r="AL25" s="48">
        <v>9.0</v>
      </c>
      <c r="AM25" s="48" t="s">
        <v>47</v>
      </c>
      <c r="AN25" s="48">
        <v>15.0</v>
      </c>
      <c r="AO25" s="48">
        <v>17.0</v>
      </c>
      <c r="AP25" s="50">
        <v>341.0</v>
      </c>
    </row>
    <row r="26">
      <c r="A26" s="103" t="s">
        <v>183</v>
      </c>
      <c r="B26" s="48" t="s">
        <v>47</v>
      </c>
      <c r="C26" s="48" t="s">
        <v>47</v>
      </c>
      <c r="D26" s="48" t="s">
        <v>47</v>
      </c>
      <c r="E26" s="48">
        <v>8.0</v>
      </c>
      <c r="F26" s="48" t="s">
        <v>47</v>
      </c>
      <c r="G26" s="48">
        <v>9.0</v>
      </c>
      <c r="H26" s="48">
        <v>33.0</v>
      </c>
      <c r="I26" s="48" t="s">
        <v>47</v>
      </c>
      <c r="J26" s="48" t="s">
        <v>47</v>
      </c>
      <c r="K26" s="48">
        <v>6.0</v>
      </c>
      <c r="L26" s="48">
        <v>0.0</v>
      </c>
      <c r="M26" s="48" t="s">
        <v>47</v>
      </c>
      <c r="N26" s="48" t="s">
        <v>47</v>
      </c>
      <c r="O26" s="48">
        <v>0.0</v>
      </c>
      <c r="P26" s="48" t="s">
        <v>47</v>
      </c>
      <c r="Q26" s="48">
        <v>10.0</v>
      </c>
      <c r="R26" s="48" t="s">
        <v>47</v>
      </c>
      <c r="S26" s="48" t="s">
        <v>47</v>
      </c>
      <c r="T26" s="48">
        <v>5.0</v>
      </c>
      <c r="U26" s="48">
        <v>0.0</v>
      </c>
      <c r="V26" s="48">
        <v>0.0</v>
      </c>
      <c r="W26" s="48">
        <v>9.0</v>
      </c>
      <c r="X26" s="48" t="s">
        <v>47</v>
      </c>
      <c r="Y26" s="48">
        <v>9.0</v>
      </c>
      <c r="Z26" s="48" t="s">
        <v>47</v>
      </c>
      <c r="AA26" s="48">
        <v>13.0</v>
      </c>
      <c r="AB26" s="48" t="s">
        <v>47</v>
      </c>
      <c r="AC26" s="48">
        <v>87.0</v>
      </c>
      <c r="AD26" s="48">
        <v>0.0</v>
      </c>
      <c r="AE26" s="48" t="s">
        <v>47</v>
      </c>
      <c r="AF26" s="48">
        <v>5.0</v>
      </c>
      <c r="AG26" s="48">
        <v>0.0</v>
      </c>
      <c r="AH26" s="48" t="s">
        <v>47</v>
      </c>
      <c r="AI26" s="48" t="s">
        <v>47</v>
      </c>
      <c r="AJ26" s="48">
        <v>9.0</v>
      </c>
      <c r="AK26" s="48">
        <v>0.0</v>
      </c>
      <c r="AL26" s="48">
        <v>8.0</v>
      </c>
      <c r="AM26" s="48" t="s">
        <v>47</v>
      </c>
      <c r="AN26" s="48">
        <v>7.0</v>
      </c>
      <c r="AO26" s="48">
        <v>11.0</v>
      </c>
      <c r="AP26" s="50">
        <v>265.0</v>
      </c>
    </row>
    <row r="27">
      <c r="A27" s="103" t="s">
        <v>184</v>
      </c>
      <c r="B27" s="48" t="s">
        <v>47</v>
      </c>
      <c r="C27" s="48">
        <v>6.0</v>
      </c>
      <c r="D27" s="48" t="s">
        <v>47</v>
      </c>
      <c r="E27" s="48">
        <v>13.0</v>
      </c>
      <c r="F27" s="48" t="s">
        <v>47</v>
      </c>
      <c r="G27" s="48">
        <v>9.0</v>
      </c>
      <c r="H27" s="48">
        <v>26.0</v>
      </c>
      <c r="I27" s="48" t="s">
        <v>47</v>
      </c>
      <c r="J27" s="48">
        <v>7.0</v>
      </c>
      <c r="K27" s="48">
        <v>6.0</v>
      </c>
      <c r="L27" s="48">
        <v>0.0</v>
      </c>
      <c r="M27" s="48">
        <v>0.0</v>
      </c>
      <c r="N27" s="48" t="s">
        <v>47</v>
      </c>
      <c r="O27" s="48" t="s">
        <v>47</v>
      </c>
      <c r="P27" s="48" t="s">
        <v>47</v>
      </c>
      <c r="Q27" s="48">
        <v>7.0</v>
      </c>
      <c r="R27" s="48">
        <v>6.0</v>
      </c>
      <c r="S27" s="48">
        <v>0.0</v>
      </c>
      <c r="T27" s="48">
        <v>8.0</v>
      </c>
      <c r="U27" s="48" t="s">
        <v>47</v>
      </c>
      <c r="V27" s="48" t="s">
        <v>47</v>
      </c>
      <c r="W27" s="48">
        <v>12.0</v>
      </c>
      <c r="X27" s="48">
        <v>0.0</v>
      </c>
      <c r="Y27" s="48">
        <v>15.0</v>
      </c>
      <c r="Z27" s="48" t="s">
        <v>47</v>
      </c>
      <c r="AA27" s="48">
        <v>28.0</v>
      </c>
      <c r="AB27" s="48" t="s">
        <v>47</v>
      </c>
      <c r="AC27" s="48">
        <v>101.0</v>
      </c>
      <c r="AD27" s="48">
        <v>0.0</v>
      </c>
      <c r="AE27" s="48" t="s">
        <v>47</v>
      </c>
      <c r="AF27" s="48" t="s">
        <v>47</v>
      </c>
      <c r="AG27" s="48" t="s">
        <v>47</v>
      </c>
      <c r="AH27" s="48" t="s">
        <v>47</v>
      </c>
      <c r="AI27" s="48" t="s">
        <v>47</v>
      </c>
      <c r="AJ27" s="48">
        <v>16.0</v>
      </c>
      <c r="AK27" s="48" t="s">
        <v>47</v>
      </c>
      <c r="AL27" s="48">
        <v>14.0</v>
      </c>
      <c r="AM27" s="48" t="s">
        <v>47</v>
      </c>
      <c r="AN27" s="48">
        <v>13.0</v>
      </c>
      <c r="AO27" s="48">
        <v>13.0</v>
      </c>
      <c r="AP27" s="50">
        <v>341.0</v>
      </c>
    </row>
    <row r="28">
      <c r="A28" s="103" t="s">
        <v>185</v>
      </c>
      <c r="B28" s="48">
        <v>6.0</v>
      </c>
      <c r="C28" s="48">
        <v>7.0</v>
      </c>
      <c r="D28" s="48" t="s">
        <v>47</v>
      </c>
      <c r="E28" s="48">
        <v>20.0</v>
      </c>
      <c r="F28" s="48" t="s">
        <v>47</v>
      </c>
      <c r="G28" s="48" t="s">
        <v>47</v>
      </c>
      <c r="H28" s="48">
        <v>39.0</v>
      </c>
      <c r="I28" s="48">
        <v>11.0</v>
      </c>
      <c r="J28" s="48" t="s">
        <v>47</v>
      </c>
      <c r="K28" s="48">
        <v>14.0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58.0</v>
      </c>
      <c r="AB28" s="48" t="s">
        <v>47</v>
      </c>
      <c r="AC28" s="48">
        <v>122.0</v>
      </c>
      <c r="AD28" s="48">
        <v>0.0</v>
      </c>
      <c r="AE28" s="48" t="s">
        <v>47</v>
      </c>
      <c r="AF28" s="48">
        <v>12.0</v>
      </c>
      <c r="AG28" s="48">
        <v>0.0</v>
      </c>
      <c r="AH28" s="48" t="s">
        <v>47</v>
      </c>
      <c r="AI28" s="48" t="s">
        <v>47</v>
      </c>
      <c r="AJ28" s="48">
        <v>19.0</v>
      </c>
      <c r="AK28" s="48">
        <v>0.0</v>
      </c>
      <c r="AL28" s="48">
        <v>9.0</v>
      </c>
      <c r="AM28" s="48" t="s">
        <v>47</v>
      </c>
      <c r="AN28" s="48">
        <v>14.0</v>
      </c>
      <c r="AO28" s="48">
        <v>28.0</v>
      </c>
      <c r="AP28" s="50">
        <v>427.0</v>
      </c>
    </row>
    <row r="29">
      <c r="A29" s="103" t="s">
        <v>186</v>
      </c>
      <c r="B29" s="48">
        <v>0.0</v>
      </c>
      <c r="C29" s="48">
        <v>7.0</v>
      </c>
      <c r="D29" s="48" t="s">
        <v>47</v>
      </c>
      <c r="E29" s="48">
        <v>37.0</v>
      </c>
      <c r="F29" s="48" t="s">
        <v>47</v>
      </c>
      <c r="G29" s="48">
        <v>11.0</v>
      </c>
      <c r="H29" s="48">
        <v>40.0</v>
      </c>
      <c r="I29" s="48">
        <v>13.0</v>
      </c>
      <c r="J29" s="48">
        <v>6.0</v>
      </c>
      <c r="K29" s="48">
        <v>19.0</v>
      </c>
      <c r="L29" s="48" t="s">
        <v>47</v>
      </c>
      <c r="M29" s="48">
        <v>0.0</v>
      </c>
      <c r="N29" s="48" t="s">
        <v>47</v>
      </c>
      <c r="O29" s="48" t="s">
        <v>47</v>
      </c>
      <c r="P29" s="48" t="s">
        <v>47</v>
      </c>
      <c r="Q29" s="48">
        <v>19.0</v>
      </c>
      <c r="R29" s="48">
        <v>5.0</v>
      </c>
      <c r="S29" s="48">
        <v>0.0</v>
      </c>
      <c r="T29" s="48" t="s">
        <v>47</v>
      </c>
      <c r="U29" s="48" t="s">
        <v>47</v>
      </c>
      <c r="V29" s="48" t="s">
        <v>47</v>
      </c>
      <c r="W29" s="48">
        <v>8.0</v>
      </c>
      <c r="X29" s="48">
        <v>6.0</v>
      </c>
      <c r="Y29" s="48">
        <v>31.0</v>
      </c>
      <c r="Z29" s="48" t="s">
        <v>47</v>
      </c>
      <c r="AA29" s="48">
        <v>89.0</v>
      </c>
      <c r="AB29" s="48" t="s">
        <v>47</v>
      </c>
      <c r="AC29" s="48">
        <v>173.0</v>
      </c>
      <c r="AD29" s="48">
        <v>0.0</v>
      </c>
      <c r="AE29" s="48" t="s">
        <v>47</v>
      </c>
      <c r="AF29" s="48">
        <v>9.0</v>
      </c>
      <c r="AG29" s="48" t="s">
        <v>47</v>
      </c>
      <c r="AH29" s="48" t="s">
        <v>47</v>
      </c>
      <c r="AI29" s="48">
        <v>9.0</v>
      </c>
      <c r="AJ29" s="48">
        <v>35.0</v>
      </c>
      <c r="AK29" s="48" t="s">
        <v>47</v>
      </c>
      <c r="AL29" s="48">
        <v>11.0</v>
      </c>
      <c r="AM29" s="48" t="s">
        <v>47</v>
      </c>
      <c r="AN29" s="48">
        <v>14.0</v>
      </c>
      <c r="AO29" s="48">
        <v>55.0</v>
      </c>
      <c r="AP29" s="50">
        <v>625.0</v>
      </c>
    </row>
    <row r="30">
      <c r="A30" s="105" t="s">
        <v>187</v>
      </c>
      <c r="B30" s="48" t="s">
        <v>47</v>
      </c>
      <c r="C30" s="48">
        <v>6.0</v>
      </c>
      <c r="D30" s="48">
        <v>7.0</v>
      </c>
      <c r="E30" s="106">
        <v>38.0</v>
      </c>
      <c r="F30" s="48" t="s">
        <v>47</v>
      </c>
      <c r="G30" s="48">
        <v>6.0</v>
      </c>
      <c r="H30" s="106">
        <v>79.0</v>
      </c>
      <c r="I30" s="48">
        <v>10.0</v>
      </c>
      <c r="J30" s="48">
        <v>5.0</v>
      </c>
      <c r="K30" s="48">
        <v>14.0</v>
      </c>
      <c r="L30" s="48" t="s">
        <v>47</v>
      </c>
      <c r="M30" s="48" t="s">
        <v>47</v>
      </c>
      <c r="N30" s="48" t="s">
        <v>47</v>
      </c>
      <c r="O30" s="48">
        <v>0.0</v>
      </c>
      <c r="P30" s="48" t="s">
        <v>47</v>
      </c>
      <c r="Q30" s="48">
        <v>9.0</v>
      </c>
      <c r="R30" s="48">
        <v>12.0</v>
      </c>
      <c r="S30" s="48">
        <v>0.0</v>
      </c>
      <c r="T30" s="48">
        <v>6.0</v>
      </c>
      <c r="U30" s="48">
        <v>0.0</v>
      </c>
      <c r="V30" s="48" t="s">
        <v>47</v>
      </c>
      <c r="W30" s="48">
        <v>6.0</v>
      </c>
      <c r="X30" s="48">
        <v>6.0</v>
      </c>
      <c r="Y30" s="48">
        <v>33.0</v>
      </c>
      <c r="Z30" s="48" t="s">
        <v>47</v>
      </c>
      <c r="AA30" s="106">
        <v>102.0</v>
      </c>
      <c r="AB30" s="48">
        <v>0.0</v>
      </c>
      <c r="AC30" s="106">
        <v>190.0</v>
      </c>
      <c r="AD30" s="48" t="s">
        <v>47</v>
      </c>
      <c r="AE30" s="48">
        <v>0.0</v>
      </c>
      <c r="AF30" s="48" t="s">
        <v>47</v>
      </c>
      <c r="AG30" s="48" t="s">
        <v>47</v>
      </c>
      <c r="AH30" s="48" t="s">
        <v>47</v>
      </c>
      <c r="AI30" s="48" t="s">
        <v>47</v>
      </c>
      <c r="AJ30" s="48">
        <v>36.0</v>
      </c>
      <c r="AK30" s="48" t="s">
        <v>47</v>
      </c>
      <c r="AL30" s="48">
        <v>21.0</v>
      </c>
      <c r="AM30" s="48" t="s">
        <v>47</v>
      </c>
      <c r="AN30" s="48">
        <v>18.0</v>
      </c>
      <c r="AO30" s="48">
        <v>45.0</v>
      </c>
      <c r="AP30" s="104">
        <v>677.0</v>
      </c>
    </row>
    <row r="31">
      <c r="A31" s="107" t="s">
        <v>188</v>
      </c>
      <c r="B31" s="48" t="s">
        <v>47</v>
      </c>
      <c r="C31" s="48">
        <v>6.0</v>
      </c>
      <c r="D31" s="48" t="s">
        <v>47</v>
      </c>
      <c r="E31" s="106">
        <v>39.0</v>
      </c>
      <c r="F31" s="48">
        <v>0.0</v>
      </c>
      <c r="G31" s="48">
        <v>6.0</v>
      </c>
      <c r="H31" s="106">
        <v>88.0</v>
      </c>
      <c r="I31" s="48">
        <v>11.0</v>
      </c>
      <c r="J31" s="48" t="s">
        <v>47</v>
      </c>
      <c r="K31" s="48">
        <v>15.0</v>
      </c>
      <c r="L31" s="48" t="s">
        <v>47</v>
      </c>
      <c r="M31" s="48" t="s">
        <v>47</v>
      </c>
      <c r="N31" s="48" t="s">
        <v>47</v>
      </c>
      <c r="O31" s="48">
        <v>0.0</v>
      </c>
      <c r="P31" s="48">
        <v>0.0</v>
      </c>
      <c r="Q31" s="48">
        <v>15.0</v>
      </c>
      <c r="R31" s="48">
        <v>12.0</v>
      </c>
      <c r="S31" s="48">
        <v>0.0</v>
      </c>
      <c r="T31" s="48" t="s">
        <v>47</v>
      </c>
      <c r="U31" s="48" t="s">
        <v>47</v>
      </c>
      <c r="V31" s="48" t="s">
        <v>47</v>
      </c>
      <c r="W31" s="48">
        <v>5.0</v>
      </c>
      <c r="X31" s="48">
        <v>5.0</v>
      </c>
      <c r="Y31" s="48">
        <v>26.0</v>
      </c>
      <c r="Z31" s="48" t="s">
        <v>47</v>
      </c>
      <c r="AA31" s="106">
        <v>85.0</v>
      </c>
      <c r="AB31" s="48" t="s">
        <v>47</v>
      </c>
      <c r="AC31" s="106">
        <v>228.0</v>
      </c>
      <c r="AD31" s="48" t="s">
        <v>47</v>
      </c>
      <c r="AE31" s="48" t="s">
        <v>47</v>
      </c>
      <c r="AF31" s="48">
        <v>7.0</v>
      </c>
      <c r="AG31" s="48">
        <v>0.0</v>
      </c>
      <c r="AH31" s="48">
        <v>0.0</v>
      </c>
      <c r="AI31" s="48">
        <v>0.0</v>
      </c>
      <c r="AJ31" s="48">
        <v>27.0</v>
      </c>
      <c r="AK31" s="48">
        <v>0.0</v>
      </c>
      <c r="AL31" s="48">
        <v>9.0</v>
      </c>
      <c r="AM31" s="48" t="s">
        <v>47</v>
      </c>
      <c r="AN31" s="48">
        <v>20.0</v>
      </c>
      <c r="AO31" s="48">
        <v>40.0</v>
      </c>
      <c r="AP31" s="104">
        <v>671.0</v>
      </c>
    </row>
    <row r="32">
      <c r="A32" s="107" t="s">
        <v>189</v>
      </c>
      <c r="B32" s="108" t="s">
        <v>47</v>
      </c>
      <c r="C32" s="108">
        <v>5.0</v>
      </c>
      <c r="D32" s="108" t="s">
        <v>47</v>
      </c>
      <c r="E32" s="109">
        <v>34.0</v>
      </c>
      <c r="F32" s="108" t="s">
        <v>47</v>
      </c>
      <c r="G32" s="108">
        <v>5.0</v>
      </c>
      <c r="H32" s="109">
        <v>38.0</v>
      </c>
      <c r="I32" s="108">
        <v>16.0</v>
      </c>
      <c r="J32" s="108" t="s">
        <v>47</v>
      </c>
      <c r="K32" s="108">
        <v>12.0</v>
      </c>
      <c r="L32" s="108" t="s">
        <v>47</v>
      </c>
      <c r="M32" s="108" t="s">
        <v>47</v>
      </c>
      <c r="N32" s="108" t="s">
        <v>47</v>
      </c>
      <c r="O32" s="108">
        <v>0.0</v>
      </c>
      <c r="P32" s="108" t="s">
        <v>47</v>
      </c>
      <c r="Q32" s="108">
        <v>11.0</v>
      </c>
      <c r="R32" s="108">
        <v>5.0</v>
      </c>
      <c r="S32" s="108">
        <v>0.0</v>
      </c>
      <c r="T32" s="108">
        <v>0.0</v>
      </c>
      <c r="U32" s="108">
        <v>16.0</v>
      </c>
      <c r="V32" s="108" t="s">
        <v>47</v>
      </c>
      <c r="W32" s="108" t="s">
        <v>47</v>
      </c>
      <c r="X32" s="108">
        <v>8.0</v>
      </c>
      <c r="Y32" s="108">
        <v>17.0</v>
      </c>
      <c r="Z32" s="108">
        <v>0.0</v>
      </c>
      <c r="AA32" s="109">
        <v>57.0</v>
      </c>
      <c r="AB32" s="108" t="s">
        <v>47</v>
      </c>
      <c r="AC32" s="109">
        <v>216.0</v>
      </c>
      <c r="AD32" s="108" t="s">
        <v>47</v>
      </c>
      <c r="AE32" s="108" t="s">
        <v>47</v>
      </c>
      <c r="AF32" s="108">
        <v>9.0</v>
      </c>
      <c r="AG32" s="108">
        <v>13.0</v>
      </c>
      <c r="AH32" s="108">
        <v>0.0</v>
      </c>
      <c r="AI32" s="108">
        <v>0.0</v>
      </c>
      <c r="AJ32" s="108">
        <v>22.0</v>
      </c>
      <c r="AK32" s="108">
        <v>0.0</v>
      </c>
      <c r="AL32" s="108">
        <v>14.0</v>
      </c>
      <c r="AM32" s="108">
        <v>0.0</v>
      </c>
      <c r="AN32" s="108">
        <v>19.0</v>
      </c>
      <c r="AO32" s="108">
        <v>33.0</v>
      </c>
      <c r="AP32" s="110">
        <v>580.0</v>
      </c>
    </row>
    <row r="33">
      <c r="A33" s="107" t="s">
        <v>190</v>
      </c>
      <c r="B33" s="108">
        <v>0.0</v>
      </c>
      <c r="C33" s="108">
        <v>16.0</v>
      </c>
      <c r="D33" s="108" t="s">
        <v>47</v>
      </c>
      <c r="E33" s="109">
        <v>36.0</v>
      </c>
      <c r="F33" s="108">
        <v>0.0</v>
      </c>
      <c r="G33" s="108">
        <v>9.0</v>
      </c>
      <c r="H33" s="109">
        <v>48.0</v>
      </c>
      <c r="I33" s="108">
        <v>22.0</v>
      </c>
      <c r="J33" s="108">
        <v>9.0</v>
      </c>
      <c r="K33" s="108">
        <v>14.0</v>
      </c>
      <c r="L33" s="108" t="s">
        <v>47</v>
      </c>
      <c r="M33" s="108" t="s">
        <v>47</v>
      </c>
      <c r="N33" s="108" t="s">
        <v>47</v>
      </c>
      <c r="O33" s="108" t="s">
        <v>47</v>
      </c>
      <c r="P33" s="108" t="s">
        <v>47</v>
      </c>
      <c r="Q33" s="108">
        <v>21.0</v>
      </c>
      <c r="R33" s="108">
        <v>7.0</v>
      </c>
      <c r="S33" s="108">
        <v>0.0</v>
      </c>
      <c r="T33" s="108">
        <v>5.0</v>
      </c>
      <c r="U33" s="108">
        <v>9.0</v>
      </c>
      <c r="V33" s="108">
        <v>0.0</v>
      </c>
      <c r="W33" s="108" t="s">
        <v>47</v>
      </c>
      <c r="X33" s="108">
        <v>13.0</v>
      </c>
      <c r="Y33" s="108">
        <v>18.0</v>
      </c>
      <c r="Z33" s="108" t="s">
        <v>47</v>
      </c>
      <c r="AA33" s="109">
        <v>51.0</v>
      </c>
      <c r="AB33" s="108" t="s">
        <v>47</v>
      </c>
      <c r="AC33" s="109">
        <v>215.0</v>
      </c>
      <c r="AD33" s="108">
        <v>0.0</v>
      </c>
      <c r="AE33" s="108" t="s">
        <v>47</v>
      </c>
      <c r="AF33" s="108">
        <v>8.0</v>
      </c>
      <c r="AG33" s="108" t="s">
        <v>47</v>
      </c>
      <c r="AH33" s="108">
        <v>7.0</v>
      </c>
      <c r="AI33" s="108" t="s">
        <v>47</v>
      </c>
      <c r="AJ33" s="108">
        <v>36.0</v>
      </c>
      <c r="AK33" s="108" t="s">
        <v>47</v>
      </c>
      <c r="AL33" s="108" t="s">
        <v>47</v>
      </c>
      <c r="AM33" s="108" t="s">
        <v>47</v>
      </c>
      <c r="AN33" s="108">
        <v>15.0</v>
      </c>
      <c r="AO33" s="108">
        <v>45.0</v>
      </c>
      <c r="AP33" s="110">
        <v>634.0</v>
      </c>
    </row>
    <row r="34">
      <c r="A34" s="107" t="s">
        <v>191</v>
      </c>
      <c r="B34" s="108" t="s">
        <v>47</v>
      </c>
      <c r="C34" s="108">
        <v>7.0</v>
      </c>
      <c r="D34" s="108" t="s">
        <v>47</v>
      </c>
      <c r="E34" s="109">
        <v>21.0</v>
      </c>
      <c r="F34" s="108" t="s">
        <v>47</v>
      </c>
      <c r="G34" s="108">
        <v>9.0</v>
      </c>
      <c r="H34" s="109">
        <v>42.0</v>
      </c>
      <c r="I34" s="108">
        <v>10.0</v>
      </c>
      <c r="J34" s="108">
        <v>7.0</v>
      </c>
      <c r="K34" s="108">
        <v>5.0</v>
      </c>
      <c r="L34" s="108">
        <v>0.0</v>
      </c>
      <c r="M34" s="108" t="s">
        <v>47</v>
      </c>
      <c r="N34" s="108" t="s">
        <v>47</v>
      </c>
      <c r="O34" s="108" t="s">
        <v>47</v>
      </c>
      <c r="P34" s="108">
        <v>0.0</v>
      </c>
      <c r="Q34" s="108">
        <v>14.0</v>
      </c>
      <c r="R34" s="108">
        <v>8.0</v>
      </c>
      <c r="S34" s="108">
        <v>0.0</v>
      </c>
      <c r="T34" s="108" t="s">
        <v>47</v>
      </c>
      <c r="U34" s="108">
        <v>5.0</v>
      </c>
      <c r="V34" s="108">
        <v>0.0</v>
      </c>
      <c r="W34" s="108">
        <v>5.0</v>
      </c>
      <c r="X34" s="108">
        <v>7.0</v>
      </c>
      <c r="Y34" s="108">
        <v>18.0</v>
      </c>
      <c r="Z34" s="108" t="s">
        <v>47</v>
      </c>
      <c r="AA34" s="109">
        <v>40.0</v>
      </c>
      <c r="AB34" s="108">
        <v>5.0</v>
      </c>
      <c r="AC34" s="109">
        <v>186.0</v>
      </c>
      <c r="AD34" s="108" t="s">
        <v>47</v>
      </c>
      <c r="AE34" s="108" t="s">
        <v>47</v>
      </c>
      <c r="AF34" s="108">
        <v>8.0</v>
      </c>
      <c r="AG34" s="108" t="s">
        <v>47</v>
      </c>
      <c r="AH34" s="108">
        <v>5.0</v>
      </c>
      <c r="AI34" s="108" t="s">
        <v>47</v>
      </c>
      <c r="AJ34" s="108">
        <v>13.0</v>
      </c>
      <c r="AK34" s="108" t="s">
        <v>47</v>
      </c>
      <c r="AL34" s="108">
        <v>6.0</v>
      </c>
      <c r="AM34" s="108" t="s">
        <v>47</v>
      </c>
      <c r="AN34" s="108">
        <v>18.0</v>
      </c>
      <c r="AO34" s="108">
        <v>38.0</v>
      </c>
      <c r="AP34" s="110">
        <v>498.0</v>
      </c>
    </row>
    <row r="35">
      <c r="A35" s="107" t="s">
        <v>192</v>
      </c>
      <c r="B35" s="108" t="s">
        <v>47</v>
      </c>
      <c r="C35" s="108" t="s">
        <v>47</v>
      </c>
      <c r="D35" s="108" t="s">
        <v>47</v>
      </c>
      <c r="E35" s="109">
        <v>6.0</v>
      </c>
      <c r="F35" s="108">
        <v>0.0</v>
      </c>
      <c r="G35" s="108" t="s">
        <v>47</v>
      </c>
      <c r="H35" s="109">
        <v>35.0</v>
      </c>
      <c r="I35" s="108">
        <v>15.0</v>
      </c>
      <c r="J35" s="108">
        <v>0.0</v>
      </c>
      <c r="K35" s="108">
        <v>10.0</v>
      </c>
      <c r="L35" s="108">
        <v>0.0</v>
      </c>
      <c r="M35" s="108" t="s">
        <v>47</v>
      </c>
      <c r="N35" s="108" t="s">
        <v>47</v>
      </c>
      <c r="O35" s="108">
        <v>0.0</v>
      </c>
      <c r="P35" s="108" t="s">
        <v>47</v>
      </c>
      <c r="Q35" s="108">
        <v>13.0</v>
      </c>
      <c r="R35" s="108">
        <v>6.0</v>
      </c>
      <c r="S35" s="108">
        <v>0.0</v>
      </c>
      <c r="T35" s="108" t="s">
        <v>47</v>
      </c>
      <c r="U35" s="108" t="s">
        <v>47</v>
      </c>
      <c r="V35" s="108">
        <v>0.0</v>
      </c>
      <c r="W35" s="108">
        <v>6.0</v>
      </c>
      <c r="X35" s="108" t="s">
        <v>47</v>
      </c>
      <c r="Y35" s="108">
        <v>27.0</v>
      </c>
      <c r="Z35" s="108" t="s">
        <v>47</v>
      </c>
      <c r="AA35" s="109">
        <v>39.0</v>
      </c>
      <c r="AB35" s="108" t="s">
        <v>47</v>
      </c>
      <c r="AC35" s="109">
        <v>176.0</v>
      </c>
      <c r="AD35" s="108">
        <v>0.0</v>
      </c>
      <c r="AE35" s="108" t="s">
        <v>47</v>
      </c>
      <c r="AF35" s="108">
        <v>6.0</v>
      </c>
      <c r="AG35" s="108">
        <v>0.0</v>
      </c>
      <c r="AH35" s="108">
        <v>6.0</v>
      </c>
      <c r="AI35" s="108" t="s">
        <v>47</v>
      </c>
      <c r="AJ35" s="108">
        <v>25.0</v>
      </c>
      <c r="AK35" s="108">
        <v>0.0</v>
      </c>
      <c r="AL35" s="108" t="s">
        <v>47</v>
      </c>
      <c r="AM35" s="108" t="s">
        <v>47</v>
      </c>
      <c r="AN35" s="108">
        <v>13.0</v>
      </c>
      <c r="AO35" s="108">
        <v>34.0</v>
      </c>
      <c r="AP35" s="110">
        <v>457.0</v>
      </c>
    </row>
    <row r="36">
      <c r="A36" s="107" t="s">
        <v>193</v>
      </c>
      <c r="B36" s="108">
        <v>5.0</v>
      </c>
      <c r="C36" s="108">
        <v>9.0</v>
      </c>
      <c r="D36" s="108">
        <v>7.0</v>
      </c>
      <c r="E36" s="109">
        <v>19.0</v>
      </c>
      <c r="F36" s="108" t="s">
        <v>47</v>
      </c>
      <c r="G36" s="108">
        <v>5.0</v>
      </c>
      <c r="H36" s="109">
        <v>35.0</v>
      </c>
      <c r="I36" s="108">
        <v>28.0</v>
      </c>
      <c r="J36" s="108" t="s">
        <v>47</v>
      </c>
      <c r="K36" s="108">
        <v>12.0</v>
      </c>
      <c r="L36" s="108">
        <v>0.0</v>
      </c>
      <c r="M36" s="108" t="s">
        <v>47</v>
      </c>
      <c r="N36" s="108" t="s">
        <v>47</v>
      </c>
      <c r="O36" s="108">
        <v>0.0</v>
      </c>
      <c r="P36" s="108">
        <v>0.0</v>
      </c>
      <c r="Q36" s="108">
        <v>9.0</v>
      </c>
      <c r="R36" s="108" t="s">
        <v>47</v>
      </c>
      <c r="S36" s="108">
        <v>0.0</v>
      </c>
      <c r="T36" s="108" t="s">
        <v>47</v>
      </c>
      <c r="U36" s="108" t="s">
        <v>47</v>
      </c>
      <c r="V36" s="108">
        <v>0.0</v>
      </c>
      <c r="W36" s="108">
        <v>13.0</v>
      </c>
      <c r="X36" s="108">
        <v>7.0</v>
      </c>
      <c r="Y36" s="108">
        <v>13.0</v>
      </c>
      <c r="Z36" s="108" t="s">
        <v>47</v>
      </c>
      <c r="AA36" s="109">
        <v>50.0</v>
      </c>
      <c r="AB36" s="108" t="s">
        <v>47</v>
      </c>
      <c r="AC36" s="109">
        <v>137.0</v>
      </c>
      <c r="AD36" s="108">
        <v>0.0</v>
      </c>
      <c r="AE36" s="108" t="s">
        <v>47</v>
      </c>
      <c r="AF36" s="108">
        <v>11.0</v>
      </c>
      <c r="AG36" s="108" t="s">
        <v>47</v>
      </c>
      <c r="AH36" s="108" t="s">
        <v>47</v>
      </c>
      <c r="AI36" s="108">
        <v>0.0</v>
      </c>
      <c r="AJ36" s="108">
        <v>22.0</v>
      </c>
      <c r="AK36" s="108" t="s">
        <v>47</v>
      </c>
      <c r="AL36" s="108">
        <v>11.0</v>
      </c>
      <c r="AM36" s="108" t="s">
        <v>47</v>
      </c>
      <c r="AN36" s="108">
        <v>17.0</v>
      </c>
      <c r="AO36" s="108">
        <v>28.0</v>
      </c>
      <c r="AP36" s="110">
        <v>468.0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194</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122</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195</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44090.0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124</v>
      </c>
      <c r="B6" s="97"/>
      <c r="C6" s="97"/>
      <c r="D6" s="97"/>
      <c r="E6" s="97"/>
      <c r="F6" s="97"/>
      <c r="G6" s="97"/>
      <c r="H6" s="97"/>
      <c r="I6" s="97"/>
      <c r="J6" s="97"/>
      <c r="K6" s="35"/>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125</v>
      </c>
      <c r="B8" s="118" t="s">
        <v>126</v>
      </c>
      <c r="C8" s="118" t="s">
        <v>127</v>
      </c>
      <c r="D8" s="118" t="s">
        <v>128</v>
      </c>
      <c r="E8" s="118" t="s">
        <v>129</v>
      </c>
      <c r="F8" s="118" t="s">
        <v>130</v>
      </c>
      <c r="G8" s="118" t="s">
        <v>131</v>
      </c>
      <c r="H8" s="118" t="s">
        <v>132</v>
      </c>
      <c r="I8" s="118" t="s">
        <v>133</v>
      </c>
      <c r="J8" s="118" t="s">
        <v>134</v>
      </c>
      <c r="K8" s="118" t="s">
        <v>135</v>
      </c>
      <c r="L8" s="118" t="s">
        <v>136</v>
      </c>
      <c r="M8" s="118" t="s">
        <v>137</v>
      </c>
      <c r="N8" s="118" t="s">
        <v>138</v>
      </c>
      <c r="O8" s="118" t="s">
        <v>139</v>
      </c>
      <c r="P8" s="118" t="s">
        <v>140</v>
      </c>
      <c r="Q8" s="118" t="s">
        <v>141</v>
      </c>
      <c r="R8" s="118" t="s">
        <v>142</v>
      </c>
      <c r="S8" s="118" t="s">
        <v>143</v>
      </c>
      <c r="T8" s="118" t="s">
        <v>144</v>
      </c>
      <c r="U8" s="118" t="s">
        <v>145</v>
      </c>
      <c r="V8" s="118" t="s">
        <v>146</v>
      </c>
      <c r="W8" s="118" t="s">
        <v>147</v>
      </c>
      <c r="X8" s="118" t="s">
        <v>148</v>
      </c>
      <c r="Y8" s="118" t="s">
        <v>149</v>
      </c>
      <c r="Z8" s="118" t="s">
        <v>150</v>
      </c>
      <c r="AA8" s="118" t="s">
        <v>151</v>
      </c>
      <c r="AB8" s="118" t="s">
        <v>152</v>
      </c>
      <c r="AC8" s="118" t="s">
        <v>153</v>
      </c>
      <c r="AD8" s="118" t="s">
        <v>154</v>
      </c>
      <c r="AE8" s="118" t="s">
        <v>155</v>
      </c>
      <c r="AF8" s="118" t="s">
        <v>156</v>
      </c>
      <c r="AG8" s="118" t="s">
        <v>157</v>
      </c>
      <c r="AH8" s="118" t="s">
        <v>158</v>
      </c>
      <c r="AI8" s="118" t="s">
        <v>159</v>
      </c>
      <c r="AJ8" s="118" t="s">
        <v>160</v>
      </c>
      <c r="AK8" s="118" t="s">
        <v>161</v>
      </c>
      <c r="AL8" s="118" t="s">
        <v>162</v>
      </c>
      <c r="AM8" s="118" t="s">
        <v>163</v>
      </c>
      <c r="AN8" s="118" t="s">
        <v>164</v>
      </c>
      <c r="AO8" s="118" t="s">
        <v>118</v>
      </c>
    </row>
    <row r="9">
      <c r="A9" s="119" t="s">
        <v>196</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166</v>
      </c>
      <c r="B10" s="121">
        <v>0.0</v>
      </c>
      <c r="C10" s="121">
        <v>0.0</v>
      </c>
      <c r="D10" s="121">
        <v>0.0</v>
      </c>
      <c r="E10" s="121">
        <v>0.0</v>
      </c>
      <c r="F10" s="121">
        <v>0.0</v>
      </c>
      <c r="G10" s="121" t="s">
        <v>197</v>
      </c>
      <c r="H10" s="121">
        <v>0.0</v>
      </c>
      <c r="I10" s="121" t="s">
        <v>197</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197</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197</v>
      </c>
    </row>
    <row r="11">
      <c r="A11" s="119" t="s">
        <v>167</v>
      </c>
      <c r="B11" s="121" t="s">
        <v>197</v>
      </c>
      <c r="C11" s="121">
        <v>0.0</v>
      </c>
      <c r="D11" s="121" t="s">
        <v>197</v>
      </c>
      <c r="E11" s="121">
        <v>0.0</v>
      </c>
      <c r="F11" s="121">
        <v>0.0</v>
      </c>
      <c r="G11" s="121">
        <v>0.0</v>
      </c>
      <c r="H11" s="121" t="s">
        <v>197</v>
      </c>
      <c r="I11" s="121">
        <v>0.0</v>
      </c>
      <c r="J11" s="121">
        <v>0.0</v>
      </c>
      <c r="K11" s="121" t="s">
        <v>197</v>
      </c>
      <c r="L11" s="121">
        <v>0.0</v>
      </c>
      <c r="M11" s="121">
        <v>0.0</v>
      </c>
      <c r="N11" s="121">
        <v>0.0</v>
      </c>
      <c r="O11" s="121">
        <v>0.0</v>
      </c>
      <c r="P11" s="121">
        <v>0.0</v>
      </c>
      <c r="Q11" s="121">
        <v>0.0</v>
      </c>
      <c r="R11" s="121" t="s">
        <v>197</v>
      </c>
      <c r="S11" s="121">
        <v>0.0</v>
      </c>
      <c r="T11" s="121" t="s">
        <v>197</v>
      </c>
      <c r="U11" s="121" t="s">
        <v>197</v>
      </c>
      <c r="V11" s="121">
        <v>0.0</v>
      </c>
      <c r="W11" s="121">
        <v>0.0</v>
      </c>
      <c r="X11" s="121">
        <v>0.0</v>
      </c>
      <c r="Y11" s="121">
        <v>0.0</v>
      </c>
      <c r="Z11" s="121">
        <v>0.0</v>
      </c>
      <c r="AA11" s="121">
        <v>0.0</v>
      </c>
      <c r="AB11" s="121">
        <v>0.0</v>
      </c>
      <c r="AC11" s="121" t="s">
        <v>197</v>
      </c>
      <c r="AD11" s="121">
        <v>0.0</v>
      </c>
      <c r="AE11" s="121" t="s">
        <v>197</v>
      </c>
      <c r="AF11" s="121">
        <v>0.0</v>
      </c>
      <c r="AG11" s="121">
        <v>0.0</v>
      </c>
      <c r="AH11" s="121">
        <v>0.0</v>
      </c>
      <c r="AI11" s="121">
        <v>0.0</v>
      </c>
      <c r="AJ11" s="121" t="s">
        <v>197</v>
      </c>
      <c r="AK11" s="121">
        <v>0.0</v>
      </c>
      <c r="AL11" s="121">
        <v>0.0</v>
      </c>
      <c r="AM11" s="121" t="s">
        <v>197</v>
      </c>
      <c r="AN11" s="121">
        <v>0.0</v>
      </c>
      <c r="AO11" s="121">
        <v>1.0</v>
      </c>
    </row>
    <row r="12">
      <c r="A12" s="119" t="s">
        <v>168</v>
      </c>
      <c r="B12" s="121" t="s">
        <v>197</v>
      </c>
      <c r="C12" s="121" t="s">
        <v>197</v>
      </c>
      <c r="D12" s="121">
        <v>0.0</v>
      </c>
      <c r="E12" s="121" t="s">
        <v>197</v>
      </c>
      <c r="F12" s="121">
        <v>0.0</v>
      </c>
      <c r="G12" s="121" t="s">
        <v>197</v>
      </c>
      <c r="H12" s="121" t="s">
        <v>197</v>
      </c>
      <c r="I12" s="121" t="s">
        <v>197</v>
      </c>
      <c r="J12" s="121">
        <v>0.0</v>
      </c>
      <c r="K12" s="121" t="s">
        <v>197</v>
      </c>
      <c r="L12" s="121">
        <v>0.0</v>
      </c>
      <c r="M12" s="121" t="s">
        <v>197</v>
      </c>
      <c r="N12" s="121">
        <v>0.0</v>
      </c>
      <c r="O12" s="121">
        <v>0.0</v>
      </c>
      <c r="P12" s="121" t="s">
        <v>197</v>
      </c>
      <c r="Q12" s="121" t="s">
        <v>197</v>
      </c>
      <c r="R12" s="121">
        <v>0.0</v>
      </c>
      <c r="S12" s="121" t="s">
        <v>197</v>
      </c>
      <c r="T12" s="121" t="s">
        <v>197</v>
      </c>
      <c r="U12" s="121">
        <v>0.0</v>
      </c>
      <c r="V12" s="121">
        <v>0.0</v>
      </c>
      <c r="W12" s="121" t="s">
        <v>197</v>
      </c>
      <c r="X12" s="121">
        <v>0.0</v>
      </c>
      <c r="Y12" s="121">
        <v>0.0</v>
      </c>
      <c r="Z12" s="121" t="s">
        <v>197</v>
      </c>
      <c r="AA12" s="121" t="s">
        <v>197</v>
      </c>
      <c r="AB12" s="121" t="s">
        <v>197</v>
      </c>
      <c r="AC12" s="121">
        <v>14.0</v>
      </c>
      <c r="AD12" s="121">
        <v>0.0</v>
      </c>
      <c r="AE12" s="121" t="s">
        <v>197</v>
      </c>
      <c r="AF12" s="121">
        <v>0.0</v>
      </c>
      <c r="AG12" s="121" t="s">
        <v>197</v>
      </c>
      <c r="AH12" s="121">
        <v>0.0</v>
      </c>
      <c r="AI12" s="121" t="s">
        <v>197</v>
      </c>
      <c r="AJ12" s="121" t="s">
        <v>197</v>
      </c>
      <c r="AK12" s="121">
        <v>0.0</v>
      </c>
      <c r="AL12" s="121">
        <v>0.0</v>
      </c>
      <c r="AM12" s="121" t="s">
        <v>197</v>
      </c>
      <c r="AN12" s="121">
        <v>0.0</v>
      </c>
      <c r="AO12" s="121">
        <v>6.0</v>
      </c>
    </row>
    <row r="13">
      <c r="A13" s="119" t="s">
        <v>169</v>
      </c>
      <c r="B13" s="121">
        <v>31.0</v>
      </c>
      <c r="C13" s="121" t="s">
        <v>197</v>
      </c>
      <c r="D13" s="121">
        <v>30.0</v>
      </c>
      <c r="E13" s="121" t="s">
        <v>197</v>
      </c>
      <c r="F13" s="121" t="s">
        <v>197</v>
      </c>
      <c r="G13" s="121" t="s">
        <v>197</v>
      </c>
      <c r="H13" s="121">
        <v>32.0</v>
      </c>
      <c r="I13" s="121">
        <v>17.0</v>
      </c>
      <c r="J13" s="121">
        <v>0.0</v>
      </c>
      <c r="K13" s="121">
        <v>17.0</v>
      </c>
      <c r="L13" s="121" t="s">
        <v>197</v>
      </c>
      <c r="M13" s="121">
        <v>0.0</v>
      </c>
      <c r="N13" s="121">
        <v>0.0</v>
      </c>
      <c r="O13" s="121" t="s">
        <v>197</v>
      </c>
      <c r="P13" s="121">
        <v>0.0</v>
      </c>
      <c r="Q13" s="121" t="s">
        <v>197</v>
      </c>
      <c r="R13" s="121" t="s">
        <v>197</v>
      </c>
      <c r="S13" s="121">
        <v>0.0</v>
      </c>
      <c r="T13" s="121">
        <v>0.0</v>
      </c>
      <c r="U13" s="121" t="s">
        <v>197</v>
      </c>
      <c r="V13" s="121">
        <v>0.0</v>
      </c>
      <c r="W13" s="121" t="s">
        <v>197</v>
      </c>
      <c r="X13" s="121">
        <v>27.0</v>
      </c>
      <c r="Y13" s="121">
        <v>15.0</v>
      </c>
      <c r="Z13" s="121" t="s">
        <v>197</v>
      </c>
      <c r="AA13" s="121">
        <v>22.0</v>
      </c>
      <c r="AB13" s="121" t="s">
        <v>197</v>
      </c>
      <c r="AC13" s="121">
        <v>26.0</v>
      </c>
      <c r="AD13" s="121">
        <v>0.0</v>
      </c>
      <c r="AE13" s="121">
        <v>47.0</v>
      </c>
      <c r="AF13" s="121" t="s">
        <v>197</v>
      </c>
      <c r="AG13" s="121" t="s">
        <v>197</v>
      </c>
      <c r="AH13" s="121">
        <v>38.0</v>
      </c>
      <c r="AI13" s="121">
        <v>0.0</v>
      </c>
      <c r="AJ13" s="121">
        <v>19.0</v>
      </c>
      <c r="AK13" s="121">
        <v>0.0</v>
      </c>
      <c r="AL13" s="121">
        <v>21.0</v>
      </c>
      <c r="AM13" s="121" t="s">
        <v>197</v>
      </c>
      <c r="AN13" s="121" t="s">
        <v>197</v>
      </c>
      <c r="AO13" s="121">
        <v>19.0</v>
      </c>
    </row>
    <row r="14">
      <c r="A14" s="119" t="s">
        <v>170</v>
      </c>
      <c r="B14" s="121" t="s">
        <v>197</v>
      </c>
      <c r="C14" s="121">
        <v>27.0</v>
      </c>
      <c r="D14" s="121">
        <v>30.0</v>
      </c>
      <c r="E14" s="121">
        <v>52.0</v>
      </c>
      <c r="F14" s="121" t="s">
        <v>197</v>
      </c>
      <c r="G14" s="121">
        <v>35.0</v>
      </c>
      <c r="H14" s="121">
        <v>52.0</v>
      </c>
      <c r="I14" s="121">
        <v>49.0</v>
      </c>
      <c r="J14" s="121">
        <v>38.0</v>
      </c>
      <c r="K14" s="121">
        <v>34.0</v>
      </c>
      <c r="L14" s="121" t="s">
        <v>197</v>
      </c>
      <c r="M14" s="121">
        <v>0.0</v>
      </c>
      <c r="N14" s="121" t="s">
        <v>197</v>
      </c>
      <c r="O14" s="121" t="s">
        <v>197</v>
      </c>
      <c r="P14" s="121" t="s">
        <v>197</v>
      </c>
      <c r="Q14" s="121">
        <v>38.0</v>
      </c>
      <c r="R14" s="121">
        <v>42.0</v>
      </c>
      <c r="S14" s="121" t="s">
        <v>197</v>
      </c>
      <c r="T14" s="121" t="s">
        <v>197</v>
      </c>
      <c r="U14" s="121" t="s">
        <v>197</v>
      </c>
      <c r="V14" s="121" t="s">
        <v>197</v>
      </c>
      <c r="W14" s="121">
        <v>24.0</v>
      </c>
      <c r="X14" s="121">
        <v>31.0</v>
      </c>
      <c r="Y14" s="121">
        <v>77.0</v>
      </c>
      <c r="Z14" s="121" t="s">
        <v>197</v>
      </c>
      <c r="AA14" s="121">
        <v>78.0</v>
      </c>
      <c r="AB14" s="121">
        <v>40.0</v>
      </c>
      <c r="AC14" s="121">
        <v>63.0</v>
      </c>
      <c r="AD14" s="121">
        <v>0.0</v>
      </c>
      <c r="AE14" s="121" t="s">
        <v>197</v>
      </c>
      <c r="AF14" s="121">
        <v>37.0</v>
      </c>
      <c r="AG14" s="121">
        <v>26.0</v>
      </c>
      <c r="AH14" s="121">
        <v>32.0</v>
      </c>
      <c r="AI14" s="121" t="s">
        <v>197</v>
      </c>
      <c r="AJ14" s="121">
        <v>36.0</v>
      </c>
      <c r="AK14" s="121" t="s">
        <v>197</v>
      </c>
      <c r="AL14" s="121">
        <v>52.0</v>
      </c>
      <c r="AM14" s="121">
        <v>40.0</v>
      </c>
      <c r="AN14" s="121">
        <v>26.0</v>
      </c>
      <c r="AO14" s="121">
        <v>46.0</v>
      </c>
    </row>
    <row r="15">
      <c r="A15" s="119" t="s">
        <v>171</v>
      </c>
      <c r="B15" s="121">
        <v>37.0</v>
      </c>
      <c r="C15" s="121">
        <v>40.0</v>
      </c>
      <c r="D15" s="121">
        <v>85.0</v>
      </c>
      <c r="E15" s="121">
        <v>248.0</v>
      </c>
      <c r="F15" s="121" t="s">
        <v>197</v>
      </c>
      <c r="G15" s="121">
        <v>67.0</v>
      </c>
      <c r="H15" s="121">
        <v>133.0</v>
      </c>
      <c r="I15" s="121">
        <v>118.0</v>
      </c>
      <c r="J15" s="121">
        <v>99.0</v>
      </c>
      <c r="K15" s="121">
        <v>126.0</v>
      </c>
      <c r="L15" s="121" t="s">
        <v>197</v>
      </c>
      <c r="M15" s="121">
        <v>107.0</v>
      </c>
      <c r="N15" s="121" t="s">
        <v>197</v>
      </c>
      <c r="O15" s="121" t="s">
        <v>197</v>
      </c>
      <c r="P15" s="121" t="s">
        <v>197</v>
      </c>
      <c r="Q15" s="121">
        <v>130.0</v>
      </c>
      <c r="R15" s="121">
        <v>88.0</v>
      </c>
      <c r="S15" s="121" t="s">
        <v>197</v>
      </c>
      <c r="T15" s="121">
        <v>37.0</v>
      </c>
      <c r="U15" s="121">
        <v>84.0</v>
      </c>
      <c r="V15" s="121">
        <v>0.0</v>
      </c>
      <c r="W15" s="121">
        <v>32.0</v>
      </c>
      <c r="X15" s="121">
        <v>84.0</v>
      </c>
      <c r="Y15" s="121">
        <v>185.0</v>
      </c>
      <c r="Z15" s="121">
        <v>40.0</v>
      </c>
      <c r="AA15" s="121">
        <v>202.0</v>
      </c>
      <c r="AB15" s="121" t="s">
        <v>197</v>
      </c>
      <c r="AC15" s="121">
        <v>293.0</v>
      </c>
      <c r="AD15" s="121" t="s">
        <v>197</v>
      </c>
      <c r="AE15" s="121">
        <v>57.0</v>
      </c>
      <c r="AF15" s="121">
        <v>79.0</v>
      </c>
      <c r="AG15" s="121">
        <v>62.0</v>
      </c>
      <c r="AH15" s="121">
        <v>95.0</v>
      </c>
      <c r="AI15" s="121" t="s">
        <v>197</v>
      </c>
      <c r="AJ15" s="121">
        <v>80.0</v>
      </c>
      <c r="AK15" s="121">
        <v>81.0</v>
      </c>
      <c r="AL15" s="121">
        <v>73.0</v>
      </c>
      <c r="AM15" s="121">
        <v>35.0</v>
      </c>
      <c r="AN15" s="121">
        <v>91.0</v>
      </c>
      <c r="AO15" s="121">
        <v>137.0</v>
      </c>
    </row>
    <row r="16">
      <c r="A16" s="119" t="s">
        <v>172</v>
      </c>
      <c r="B16" s="121" t="s">
        <v>197</v>
      </c>
      <c r="C16" s="121">
        <v>58.0</v>
      </c>
      <c r="D16" s="121">
        <v>49.0</v>
      </c>
      <c r="E16" s="121">
        <v>578.0</v>
      </c>
      <c r="F16" s="121" t="s">
        <v>197</v>
      </c>
      <c r="G16" s="121">
        <v>52.0</v>
      </c>
      <c r="H16" s="121">
        <v>172.0</v>
      </c>
      <c r="I16" s="121">
        <v>81.0</v>
      </c>
      <c r="J16" s="121">
        <v>38.0</v>
      </c>
      <c r="K16" s="121">
        <v>116.0</v>
      </c>
      <c r="L16" s="121" t="s">
        <v>197</v>
      </c>
      <c r="M16" s="121" t="s">
        <v>197</v>
      </c>
      <c r="N16" s="121">
        <v>60.0</v>
      </c>
      <c r="O16" s="121">
        <v>0.0</v>
      </c>
      <c r="P16" s="121" t="s">
        <v>197</v>
      </c>
      <c r="Q16" s="121">
        <v>137.0</v>
      </c>
      <c r="R16" s="121">
        <v>92.0</v>
      </c>
      <c r="S16" s="121" t="s">
        <v>197</v>
      </c>
      <c r="T16" s="121" t="s">
        <v>197</v>
      </c>
      <c r="U16" s="121" t="s">
        <v>197</v>
      </c>
      <c r="V16" s="121">
        <v>0.0</v>
      </c>
      <c r="W16" s="121">
        <v>0.0</v>
      </c>
      <c r="X16" s="121">
        <v>23.0</v>
      </c>
      <c r="Y16" s="121">
        <v>256.0</v>
      </c>
      <c r="Z16" s="121" t="s">
        <v>197</v>
      </c>
      <c r="AA16" s="121">
        <v>293.0</v>
      </c>
      <c r="AB16" s="121" t="s">
        <v>197</v>
      </c>
      <c r="AC16" s="121">
        <v>352.0</v>
      </c>
      <c r="AD16" s="121" t="s">
        <v>197</v>
      </c>
      <c r="AE16" s="121">
        <v>57.0</v>
      </c>
      <c r="AF16" s="121">
        <v>37.0</v>
      </c>
      <c r="AG16" s="121">
        <v>33.0</v>
      </c>
      <c r="AH16" s="121">
        <v>51.0</v>
      </c>
      <c r="AI16" s="121" t="s">
        <v>197</v>
      </c>
      <c r="AJ16" s="121">
        <v>74.0</v>
      </c>
      <c r="AK16" s="121" t="s">
        <v>197</v>
      </c>
      <c r="AL16" s="121">
        <v>107.0</v>
      </c>
      <c r="AM16" s="121">
        <v>27.0</v>
      </c>
      <c r="AN16" s="121">
        <v>113.0</v>
      </c>
      <c r="AO16" s="121">
        <v>154.0</v>
      </c>
    </row>
    <row r="17">
      <c r="A17" s="119" t="s">
        <v>173</v>
      </c>
      <c r="B17" s="121">
        <v>37.0</v>
      </c>
      <c r="C17" s="121">
        <v>49.0</v>
      </c>
      <c r="D17" s="121">
        <v>61.0</v>
      </c>
      <c r="E17" s="121">
        <v>918.0</v>
      </c>
      <c r="F17" s="121" t="s">
        <v>197</v>
      </c>
      <c r="G17" s="121">
        <v>49.0</v>
      </c>
      <c r="H17" s="121">
        <v>160.0</v>
      </c>
      <c r="I17" s="121">
        <v>110.0</v>
      </c>
      <c r="J17" s="121">
        <v>92.0</v>
      </c>
      <c r="K17" s="121">
        <v>107.0</v>
      </c>
      <c r="L17" s="121">
        <v>74.0</v>
      </c>
      <c r="M17" s="121" t="s">
        <v>197</v>
      </c>
      <c r="N17" s="121">
        <v>80.0</v>
      </c>
      <c r="O17" s="121" t="s">
        <v>197</v>
      </c>
      <c r="P17" s="121" t="s">
        <v>197</v>
      </c>
      <c r="Q17" s="121">
        <v>154.0</v>
      </c>
      <c r="R17" s="121">
        <v>106.0</v>
      </c>
      <c r="S17" s="121">
        <v>0.0</v>
      </c>
      <c r="T17" s="121">
        <v>37.0</v>
      </c>
      <c r="U17" s="121">
        <v>71.0</v>
      </c>
      <c r="V17" s="121">
        <v>0.0</v>
      </c>
      <c r="W17" s="121">
        <v>40.0</v>
      </c>
      <c r="X17" s="121">
        <v>61.0</v>
      </c>
      <c r="Y17" s="121">
        <v>246.0</v>
      </c>
      <c r="Z17" s="121">
        <v>49.0</v>
      </c>
      <c r="AA17" s="121">
        <v>373.0</v>
      </c>
      <c r="AB17" s="121">
        <v>29.0</v>
      </c>
      <c r="AC17" s="121">
        <v>458.0</v>
      </c>
      <c r="AD17" s="121">
        <v>66.0</v>
      </c>
      <c r="AE17" s="121">
        <v>57.0</v>
      </c>
      <c r="AF17" s="121">
        <v>79.0</v>
      </c>
      <c r="AG17" s="121">
        <v>26.0</v>
      </c>
      <c r="AH17" s="121">
        <v>76.0</v>
      </c>
      <c r="AI17" s="121">
        <v>143.0</v>
      </c>
      <c r="AJ17" s="121">
        <v>73.0</v>
      </c>
      <c r="AK17" s="121" t="s">
        <v>197</v>
      </c>
      <c r="AL17" s="121">
        <v>124.0</v>
      </c>
      <c r="AM17" s="121">
        <v>66.0</v>
      </c>
      <c r="AN17" s="121">
        <v>120.0</v>
      </c>
      <c r="AO17" s="121">
        <v>193.0</v>
      </c>
    </row>
    <row r="18">
      <c r="A18" s="119" t="s">
        <v>174</v>
      </c>
      <c r="B18" s="121" t="s">
        <v>197</v>
      </c>
      <c r="C18" s="121">
        <v>49.0</v>
      </c>
      <c r="D18" s="121">
        <v>61.0</v>
      </c>
      <c r="E18" s="121">
        <v>717.0</v>
      </c>
      <c r="F18" s="121">
        <v>64.0</v>
      </c>
      <c r="G18" s="121">
        <v>35.0</v>
      </c>
      <c r="H18" s="121">
        <v>132.0</v>
      </c>
      <c r="I18" s="121">
        <v>61.0</v>
      </c>
      <c r="J18" s="121">
        <v>84.0</v>
      </c>
      <c r="K18" s="121">
        <v>93.0</v>
      </c>
      <c r="L18" s="121" t="s">
        <v>197</v>
      </c>
      <c r="M18" s="121" t="s">
        <v>197</v>
      </c>
      <c r="N18" s="121" t="s">
        <v>197</v>
      </c>
      <c r="O18" s="121">
        <v>0.0</v>
      </c>
      <c r="P18" s="121">
        <v>0.0</v>
      </c>
      <c r="Q18" s="121">
        <v>86.0</v>
      </c>
      <c r="R18" s="121">
        <v>92.0</v>
      </c>
      <c r="S18" s="121">
        <v>0.0</v>
      </c>
      <c r="T18" s="121" t="s">
        <v>197</v>
      </c>
      <c r="U18" s="121" t="s">
        <v>197</v>
      </c>
      <c r="V18" s="121">
        <v>0.0</v>
      </c>
      <c r="W18" s="121">
        <v>32.0</v>
      </c>
      <c r="X18" s="121">
        <v>19.0</v>
      </c>
      <c r="Y18" s="121">
        <v>169.0</v>
      </c>
      <c r="Z18" s="121" t="s">
        <v>197</v>
      </c>
      <c r="AA18" s="121">
        <v>283.0</v>
      </c>
      <c r="AB18" s="121" t="s">
        <v>197</v>
      </c>
      <c r="AC18" s="121">
        <v>386.0</v>
      </c>
      <c r="AD18" s="121">
        <v>66.0</v>
      </c>
      <c r="AE18" s="121" t="s">
        <v>197</v>
      </c>
      <c r="AF18" s="121">
        <v>55.0</v>
      </c>
      <c r="AG18" s="121" t="s">
        <v>197</v>
      </c>
      <c r="AH18" s="121">
        <v>38.0</v>
      </c>
      <c r="AI18" s="121" t="s">
        <v>197</v>
      </c>
      <c r="AJ18" s="121">
        <v>74.0</v>
      </c>
      <c r="AK18" s="121" t="s">
        <v>197</v>
      </c>
      <c r="AL18" s="121">
        <v>86.0</v>
      </c>
      <c r="AM18" s="121">
        <v>31.0</v>
      </c>
      <c r="AN18" s="121">
        <v>132.0</v>
      </c>
      <c r="AO18" s="121">
        <v>154.0</v>
      </c>
    </row>
    <row r="19">
      <c r="A19" s="119" t="s">
        <v>175</v>
      </c>
      <c r="B19" s="121" t="s">
        <v>197</v>
      </c>
      <c r="C19" s="121">
        <v>45.0</v>
      </c>
      <c r="D19" s="121" t="s">
        <v>197</v>
      </c>
      <c r="E19" s="121">
        <v>671.0</v>
      </c>
      <c r="F19" s="121" t="s">
        <v>197</v>
      </c>
      <c r="G19" s="121">
        <v>38.0</v>
      </c>
      <c r="H19" s="121">
        <v>99.0</v>
      </c>
      <c r="I19" s="121">
        <v>61.0</v>
      </c>
      <c r="J19" s="121">
        <v>61.0</v>
      </c>
      <c r="K19" s="121">
        <v>137.0</v>
      </c>
      <c r="L19" s="121">
        <v>88.0</v>
      </c>
      <c r="M19" s="121" t="s">
        <v>197</v>
      </c>
      <c r="N19" s="121" t="s">
        <v>197</v>
      </c>
      <c r="O19" s="121" t="s">
        <v>197</v>
      </c>
      <c r="P19" s="121" t="s">
        <v>197</v>
      </c>
      <c r="Q19" s="121">
        <v>120.0</v>
      </c>
      <c r="R19" s="121">
        <v>88.0</v>
      </c>
      <c r="S19" s="121" t="s">
        <v>197</v>
      </c>
      <c r="T19" s="121" t="s">
        <v>197</v>
      </c>
      <c r="U19" s="121" t="s">
        <v>197</v>
      </c>
      <c r="V19" s="121">
        <v>0.0</v>
      </c>
      <c r="W19" s="121">
        <v>32.0</v>
      </c>
      <c r="X19" s="121">
        <v>34.0</v>
      </c>
      <c r="Y19" s="121">
        <v>206.0</v>
      </c>
      <c r="Z19" s="121">
        <v>73.0</v>
      </c>
      <c r="AA19" s="121">
        <v>263.0</v>
      </c>
      <c r="AB19" s="121" t="s">
        <v>197</v>
      </c>
      <c r="AC19" s="121">
        <v>304.0</v>
      </c>
      <c r="AD19" s="121" t="s">
        <v>197</v>
      </c>
      <c r="AE19" s="121" t="s">
        <v>197</v>
      </c>
      <c r="AF19" s="121">
        <v>60.0</v>
      </c>
      <c r="AG19" s="121" t="s">
        <v>197</v>
      </c>
      <c r="AH19" s="121">
        <v>38.0</v>
      </c>
      <c r="AI19" s="121">
        <v>48.0</v>
      </c>
      <c r="AJ19" s="121">
        <v>52.0</v>
      </c>
      <c r="AK19" s="121">
        <v>0.0</v>
      </c>
      <c r="AL19" s="121">
        <v>93.0</v>
      </c>
      <c r="AM19" s="121" t="s">
        <v>197</v>
      </c>
      <c r="AN19" s="121">
        <v>164.0</v>
      </c>
      <c r="AO19" s="121">
        <v>138.0</v>
      </c>
    </row>
    <row r="20">
      <c r="A20" s="119" t="s">
        <v>176</v>
      </c>
      <c r="B20" s="121">
        <v>37.0</v>
      </c>
      <c r="C20" s="121">
        <v>27.0</v>
      </c>
      <c r="D20" s="121" t="s">
        <v>197</v>
      </c>
      <c r="E20" s="121">
        <v>500.0</v>
      </c>
      <c r="F20" s="121">
        <v>0.0</v>
      </c>
      <c r="G20" s="121">
        <v>35.0</v>
      </c>
      <c r="H20" s="121">
        <v>90.0</v>
      </c>
      <c r="I20" s="121">
        <v>43.0</v>
      </c>
      <c r="J20" s="121">
        <v>46.0</v>
      </c>
      <c r="K20" s="121">
        <v>112.0</v>
      </c>
      <c r="L20" s="121" t="s">
        <v>197</v>
      </c>
      <c r="M20" s="121" t="s">
        <v>197</v>
      </c>
      <c r="N20" s="121">
        <v>89.0</v>
      </c>
      <c r="O20" s="121" t="s">
        <v>197</v>
      </c>
      <c r="P20" s="121">
        <v>0.0</v>
      </c>
      <c r="Q20" s="121">
        <v>68.0</v>
      </c>
      <c r="R20" s="121">
        <v>55.0</v>
      </c>
      <c r="S20" s="121">
        <v>0.0</v>
      </c>
      <c r="T20" s="121">
        <v>0.0</v>
      </c>
      <c r="U20" s="121" t="s">
        <v>197</v>
      </c>
      <c r="V20" s="121">
        <v>0.0</v>
      </c>
      <c r="W20" s="121" t="s">
        <v>197</v>
      </c>
      <c r="X20" s="121">
        <v>38.0</v>
      </c>
      <c r="Y20" s="121">
        <v>154.0</v>
      </c>
      <c r="Z20" s="121">
        <v>130.0</v>
      </c>
      <c r="AA20" s="121">
        <v>159.0</v>
      </c>
      <c r="AB20" s="121" t="s">
        <v>197</v>
      </c>
      <c r="AC20" s="121">
        <v>270.0</v>
      </c>
      <c r="AD20" s="121">
        <v>0.0</v>
      </c>
      <c r="AE20" s="121">
        <v>47.0</v>
      </c>
      <c r="AF20" s="121">
        <v>51.0</v>
      </c>
      <c r="AG20" s="121" t="s">
        <v>197</v>
      </c>
      <c r="AH20" s="121">
        <v>44.0</v>
      </c>
      <c r="AI20" s="121">
        <v>124.0</v>
      </c>
      <c r="AJ20" s="121">
        <v>43.0</v>
      </c>
      <c r="AK20" s="121" t="s">
        <v>197</v>
      </c>
      <c r="AL20" s="121">
        <v>52.0</v>
      </c>
      <c r="AM20" s="121" t="s">
        <v>197</v>
      </c>
      <c r="AN20" s="121">
        <v>144.0</v>
      </c>
      <c r="AO20" s="121">
        <v>113.0</v>
      </c>
    </row>
    <row r="21">
      <c r="A21" s="119" t="s">
        <v>177</v>
      </c>
      <c r="B21" s="121">
        <v>43.0</v>
      </c>
      <c r="C21" s="121">
        <v>40.0</v>
      </c>
      <c r="D21" s="121">
        <v>43.0</v>
      </c>
      <c r="E21" s="121">
        <v>335.0</v>
      </c>
      <c r="F21" s="121">
        <v>0.0</v>
      </c>
      <c r="G21" s="121">
        <v>49.0</v>
      </c>
      <c r="H21" s="121">
        <v>91.0</v>
      </c>
      <c r="I21" s="121">
        <v>38.0</v>
      </c>
      <c r="J21" s="121" t="s">
        <v>197</v>
      </c>
      <c r="K21" s="121">
        <v>61.0</v>
      </c>
      <c r="L21" s="121" t="s">
        <v>197</v>
      </c>
      <c r="M21" s="121" t="s">
        <v>197</v>
      </c>
      <c r="N21" s="121" t="s">
        <v>197</v>
      </c>
      <c r="O21" s="121" t="s">
        <v>197</v>
      </c>
      <c r="P21" s="121" t="s">
        <v>197</v>
      </c>
      <c r="Q21" s="121">
        <v>68.0</v>
      </c>
      <c r="R21" s="121">
        <v>55.0</v>
      </c>
      <c r="S21" s="121" t="s">
        <v>197</v>
      </c>
      <c r="T21" s="121" t="s">
        <v>197</v>
      </c>
      <c r="U21" s="121" t="s">
        <v>197</v>
      </c>
      <c r="V21" s="121">
        <v>0.0</v>
      </c>
      <c r="W21" s="121" t="s">
        <v>197</v>
      </c>
      <c r="X21" s="121">
        <v>23.0</v>
      </c>
      <c r="Y21" s="121">
        <v>83.0</v>
      </c>
      <c r="Z21" s="121">
        <v>49.0</v>
      </c>
      <c r="AA21" s="121">
        <v>164.0</v>
      </c>
      <c r="AB21" s="121">
        <v>40.0</v>
      </c>
      <c r="AC21" s="121">
        <v>234.0</v>
      </c>
      <c r="AD21" s="121" t="s">
        <v>197</v>
      </c>
      <c r="AE21" s="121" t="s">
        <v>197</v>
      </c>
      <c r="AF21" s="121">
        <v>32.0</v>
      </c>
      <c r="AG21" s="121" t="s">
        <v>197</v>
      </c>
      <c r="AH21" s="121">
        <v>57.0</v>
      </c>
      <c r="AI21" s="121">
        <v>48.0</v>
      </c>
      <c r="AJ21" s="121">
        <v>42.0</v>
      </c>
      <c r="AK21" s="121" t="s">
        <v>197</v>
      </c>
      <c r="AL21" s="121">
        <v>41.0</v>
      </c>
      <c r="AM21" s="121" t="s">
        <v>197</v>
      </c>
      <c r="AN21" s="121">
        <v>87.0</v>
      </c>
      <c r="AO21" s="121">
        <v>95.0</v>
      </c>
    </row>
    <row r="22">
      <c r="A22" s="119" t="s">
        <v>178</v>
      </c>
      <c r="B22" s="121" t="s">
        <v>197</v>
      </c>
      <c r="C22" s="121">
        <v>40.0</v>
      </c>
      <c r="D22" s="121" t="s">
        <v>197</v>
      </c>
      <c r="E22" s="121">
        <v>165.0</v>
      </c>
      <c r="F22" s="121" t="s">
        <v>197</v>
      </c>
      <c r="G22" s="121">
        <v>29.0</v>
      </c>
      <c r="H22" s="121">
        <v>57.0</v>
      </c>
      <c r="I22" s="121">
        <v>17.0</v>
      </c>
      <c r="J22" s="121">
        <v>0.0</v>
      </c>
      <c r="K22" s="121">
        <v>70.0</v>
      </c>
      <c r="L22" s="121">
        <v>0.0</v>
      </c>
      <c r="M22" s="121" t="s">
        <v>197</v>
      </c>
      <c r="N22" s="121" t="s">
        <v>197</v>
      </c>
      <c r="O22" s="121">
        <v>0.0</v>
      </c>
      <c r="P22" s="121" t="s">
        <v>197</v>
      </c>
      <c r="Q22" s="121">
        <v>130.0</v>
      </c>
      <c r="R22" s="121">
        <v>46.0</v>
      </c>
      <c r="S22" s="121">
        <v>0.0</v>
      </c>
      <c r="T22" s="121">
        <v>31.0</v>
      </c>
      <c r="U22" s="121" t="s">
        <v>197</v>
      </c>
      <c r="V22" s="121">
        <v>0.0</v>
      </c>
      <c r="W22" s="121">
        <v>32.0</v>
      </c>
      <c r="X22" s="121">
        <v>23.0</v>
      </c>
      <c r="Y22" s="121">
        <v>52.0</v>
      </c>
      <c r="Z22" s="121">
        <v>40.0</v>
      </c>
      <c r="AA22" s="121">
        <v>99.0</v>
      </c>
      <c r="AB22" s="121">
        <v>34.0</v>
      </c>
      <c r="AC22" s="121">
        <v>183.0</v>
      </c>
      <c r="AD22" s="121" t="s">
        <v>197</v>
      </c>
      <c r="AE22" s="121" t="s">
        <v>197</v>
      </c>
      <c r="AF22" s="121">
        <v>0.0</v>
      </c>
      <c r="AG22" s="121">
        <v>0.0</v>
      </c>
      <c r="AH22" s="121" t="s">
        <v>197</v>
      </c>
      <c r="AI22" s="121">
        <v>0.0</v>
      </c>
      <c r="AJ22" s="121">
        <v>23.0</v>
      </c>
      <c r="AK22" s="121" t="s">
        <v>197</v>
      </c>
      <c r="AL22" s="121">
        <v>38.0</v>
      </c>
      <c r="AM22" s="121" t="s">
        <v>197</v>
      </c>
      <c r="AN22" s="121">
        <v>101.0</v>
      </c>
      <c r="AO22" s="121">
        <v>72.0</v>
      </c>
    </row>
    <row r="23">
      <c r="A23" s="119" t="s">
        <v>179</v>
      </c>
      <c r="B23" s="121" t="s">
        <v>197</v>
      </c>
      <c r="C23" s="121" t="s">
        <v>197</v>
      </c>
      <c r="D23" s="121" t="s">
        <v>197</v>
      </c>
      <c r="E23" s="121">
        <v>165.0</v>
      </c>
      <c r="F23" s="121">
        <v>0.0</v>
      </c>
      <c r="G23" s="121" t="s">
        <v>197</v>
      </c>
      <c r="H23" s="121">
        <v>47.0</v>
      </c>
      <c r="I23" s="121">
        <v>32.0</v>
      </c>
      <c r="J23" s="121" t="s">
        <v>197</v>
      </c>
      <c r="K23" s="121">
        <v>36.0</v>
      </c>
      <c r="L23" s="121" t="s">
        <v>197</v>
      </c>
      <c r="M23" s="121">
        <v>0.0</v>
      </c>
      <c r="N23" s="121" t="s">
        <v>197</v>
      </c>
      <c r="O23" s="121">
        <v>0.0</v>
      </c>
      <c r="P23" s="121" t="s">
        <v>197</v>
      </c>
      <c r="Q23" s="121">
        <v>41.0</v>
      </c>
      <c r="R23" s="121" t="s">
        <v>197</v>
      </c>
      <c r="S23" s="121">
        <v>0.0</v>
      </c>
      <c r="T23" s="121" t="s">
        <v>197</v>
      </c>
      <c r="U23" s="121" t="s">
        <v>197</v>
      </c>
      <c r="V23" s="121">
        <v>0.0</v>
      </c>
      <c r="W23" s="121" t="s">
        <v>197</v>
      </c>
      <c r="X23" s="121" t="s">
        <v>197</v>
      </c>
      <c r="Y23" s="121">
        <v>68.0</v>
      </c>
      <c r="Z23" s="121" t="s">
        <v>197</v>
      </c>
      <c r="AA23" s="121">
        <v>72.0</v>
      </c>
      <c r="AB23" s="121">
        <v>29.0</v>
      </c>
      <c r="AC23" s="121">
        <v>154.0</v>
      </c>
      <c r="AD23" s="121">
        <v>0.0</v>
      </c>
      <c r="AE23" s="121" t="s">
        <v>197</v>
      </c>
      <c r="AF23" s="121" t="s">
        <v>197</v>
      </c>
      <c r="AG23" s="121">
        <v>0.0</v>
      </c>
      <c r="AH23" s="121" t="s">
        <v>197</v>
      </c>
      <c r="AI23" s="121" t="s">
        <v>197</v>
      </c>
      <c r="AJ23" s="121">
        <v>25.0</v>
      </c>
      <c r="AK23" s="121">
        <v>0.0</v>
      </c>
      <c r="AL23" s="121">
        <v>35.0</v>
      </c>
      <c r="AM23" s="121">
        <v>0.0</v>
      </c>
      <c r="AN23" s="121">
        <v>72.0</v>
      </c>
      <c r="AO23" s="121">
        <v>55.0</v>
      </c>
    </row>
    <row r="24">
      <c r="A24" s="119" t="s">
        <v>180</v>
      </c>
      <c r="B24" s="121" t="s">
        <v>197</v>
      </c>
      <c r="C24" s="121" t="s">
        <v>197</v>
      </c>
      <c r="D24" s="121" t="s">
        <v>197</v>
      </c>
      <c r="E24" s="121">
        <v>114.0</v>
      </c>
      <c r="F24" s="121" t="s">
        <v>197</v>
      </c>
      <c r="G24" s="121" t="s">
        <v>197</v>
      </c>
      <c r="H24" s="121">
        <v>41.0</v>
      </c>
      <c r="I24" s="121">
        <v>26.0</v>
      </c>
      <c r="J24" s="121" t="s">
        <v>197</v>
      </c>
      <c r="K24" s="121">
        <v>25.0</v>
      </c>
      <c r="L24" s="121" t="s">
        <v>197</v>
      </c>
      <c r="M24" s="121" t="s">
        <v>197</v>
      </c>
      <c r="N24" s="121">
        <v>0.0</v>
      </c>
      <c r="O24" s="121">
        <v>0.0</v>
      </c>
      <c r="P24" s="121">
        <v>0.0</v>
      </c>
      <c r="Q24" s="121">
        <v>48.0</v>
      </c>
      <c r="R24" s="121">
        <v>42.0</v>
      </c>
      <c r="S24" s="121">
        <v>0.0</v>
      </c>
      <c r="T24" s="121" t="s">
        <v>197</v>
      </c>
      <c r="U24" s="121">
        <v>0.0</v>
      </c>
      <c r="V24" s="121">
        <v>0.0</v>
      </c>
      <c r="W24" s="121" t="s">
        <v>197</v>
      </c>
      <c r="X24" s="121" t="s">
        <v>197</v>
      </c>
      <c r="Y24" s="121">
        <v>31.0</v>
      </c>
      <c r="Z24" s="121">
        <v>57.0</v>
      </c>
      <c r="AA24" s="121">
        <v>59.0</v>
      </c>
      <c r="AB24" s="121">
        <v>0.0</v>
      </c>
      <c r="AC24" s="121">
        <v>91.0</v>
      </c>
      <c r="AD24" s="121">
        <v>0.0</v>
      </c>
      <c r="AE24" s="121" t="s">
        <v>197</v>
      </c>
      <c r="AF24" s="121" t="s">
        <v>197</v>
      </c>
      <c r="AG24" s="121" t="s">
        <v>197</v>
      </c>
      <c r="AH24" s="121" t="s">
        <v>197</v>
      </c>
      <c r="AI24" s="121" t="s">
        <v>197</v>
      </c>
      <c r="AJ24" s="121">
        <v>12.0</v>
      </c>
      <c r="AK24" s="121">
        <v>0.0</v>
      </c>
      <c r="AL24" s="121" t="s">
        <v>197</v>
      </c>
      <c r="AM24" s="121">
        <v>0.0</v>
      </c>
      <c r="AN24" s="121">
        <v>46.0</v>
      </c>
      <c r="AO24" s="121">
        <v>37.0</v>
      </c>
    </row>
    <row r="25">
      <c r="A25" s="119" t="s">
        <v>181</v>
      </c>
      <c r="B25" s="121">
        <v>0.0</v>
      </c>
      <c r="C25" s="121" t="s">
        <v>197</v>
      </c>
      <c r="D25" s="121" t="s">
        <v>197</v>
      </c>
      <c r="E25" s="121">
        <v>114.0</v>
      </c>
      <c r="F25" s="121" t="s">
        <v>197</v>
      </c>
      <c r="G25" s="121" t="s">
        <v>197</v>
      </c>
      <c r="H25" s="121">
        <v>21.0</v>
      </c>
      <c r="I25" s="121" t="s">
        <v>197</v>
      </c>
      <c r="J25" s="121" t="s">
        <v>197</v>
      </c>
      <c r="K25" s="121">
        <v>15.0</v>
      </c>
      <c r="L25" s="121">
        <v>0.0</v>
      </c>
      <c r="M25" s="121">
        <v>0.0</v>
      </c>
      <c r="N25" s="121">
        <v>0.0</v>
      </c>
      <c r="O25" s="121">
        <v>0.0</v>
      </c>
      <c r="P25" s="121" t="s">
        <v>197</v>
      </c>
      <c r="Q25" s="121">
        <v>17.0</v>
      </c>
      <c r="R25" s="121" t="s">
        <v>197</v>
      </c>
      <c r="S25" s="121">
        <v>0.0</v>
      </c>
      <c r="T25" s="121" t="s">
        <v>197</v>
      </c>
      <c r="U25" s="121" t="s">
        <v>197</v>
      </c>
      <c r="V25" s="121">
        <v>0.0</v>
      </c>
      <c r="W25" s="121">
        <v>24.0</v>
      </c>
      <c r="X25" s="121" t="s">
        <v>197</v>
      </c>
      <c r="Y25" s="121">
        <v>15.0</v>
      </c>
      <c r="Z25" s="121" t="s">
        <v>197</v>
      </c>
      <c r="AA25" s="121">
        <v>36.0</v>
      </c>
      <c r="AB25" s="121" t="s">
        <v>197</v>
      </c>
      <c r="AC25" s="121">
        <v>72.0</v>
      </c>
      <c r="AD25" s="121">
        <v>0.0</v>
      </c>
      <c r="AE25" s="121" t="s">
        <v>197</v>
      </c>
      <c r="AF25" s="121" t="s">
        <v>197</v>
      </c>
      <c r="AG25" s="121">
        <v>0.0</v>
      </c>
      <c r="AH25" s="121">
        <v>0.0</v>
      </c>
      <c r="AI25" s="121" t="s">
        <v>197</v>
      </c>
      <c r="AJ25" s="121">
        <v>15.0</v>
      </c>
      <c r="AK25" s="121">
        <v>0.0</v>
      </c>
      <c r="AL25" s="121">
        <v>35.0</v>
      </c>
      <c r="AM25" s="121" t="s">
        <v>197</v>
      </c>
      <c r="AN25" s="121">
        <v>34.0</v>
      </c>
      <c r="AO25" s="121">
        <v>28.0</v>
      </c>
    </row>
    <row r="26">
      <c r="A26" s="119" t="s">
        <v>182</v>
      </c>
      <c r="B26" s="121" t="s">
        <v>197</v>
      </c>
      <c r="C26" s="121">
        <v>22.0</v>
      </c>
      <c r="D26" s="121" t="s">
        <v>197</v>
      </c>
      <c r="E26" s="121">
        <v>46.0</v>
      </c>
      <c r="F26" s="121" t="s">
        <v>197</v>
      </c>
      <c r="G26" s="121" t="s">
        <v>197</v>
      </c>
      <c r="H26" s="121">
        <v>17.0</v>
      </c>
      <c r="I26" s="121">
        <v>26.0</v>
      </c>
      <c r="J26" s="121" t="s">
        <v>197</v>
      </c>
      <c r="K26" s="121">
        <v>17.0</v>
      </c>
      <c r="L26" s="121">
        <v>0.0</v>
      </c>
      <c r="M26" s="121" t="s">
        <v>197</v>
      </c>
      <c r="N26" s="121" t="s">
        <v>197</v>
      </c>
      <c r="O26" s="121" t="s">
        <v>197</v>
      </c>
      <c r="P26" s="121">
        <v>0.0</v>
      </c>
      <c r="Q26" s="121">
        <v>34.0</v>
      </c>
      <c r="R26" s="121">
        <v>28.0</v>
      </c>
      <c r="S26" s="121">
        <v>0.0</v>
      </c>
      <c r="T26" s="121">
        <v>37.0</v>
      </c>
      <c r="U26" s="121">
        <v>0.0</v>
      </c>
      <c r="V26" s="121">
        <v>0.0</v>
      </c>
      <c r="W26" s="121">
        <v>44.0</v>
      </c>
      <c r="X26" s="121" t="s">
        <v>197</v>
      </c>
      <c r="Y26" s="121">
        <v>37.0</v>
      </c>
      <c r="Z26" s="121">
        <v>0.0</v>
      </c>
      <c r="AA26" s="121">
        <v>56.0</v>
      </c>
      <c r="AB26" s="121" t="s">
        <v>197</v>
      </c>
      <c r="AC26" s="121">
        <v>71.0</v>
      </c>
      <c r="AD26" s="121">
        <v>0.0</v>
      </c>
      <c r="AE26" s="121" t="s">
        <v>197</v>
      </c>
      <c r="AF26" s="121" t="s">
        <v>197</v>
      </c>
      <c r="AG26" s="121" t="s">
        <v>197</v>
      </c>
      <c r="AH26" s="121" t="s">
        <v>197</v>
      </c>
      <c r="AI26" s="121" t="s">
        <v>197</v>
      </c>
      <c r="AJ26" s="121">
        <v>15.0</v>
      </c>
      <c r="AK26" s="121" t="s">
        <v>197</v>
      </c>
      <c r="AL26" s="121">
        <v>31.0</v>
      </c>
      <c r="AM26" s="121" t="s">
        <v>197</v>
      </c>
      <c r="AN26" s="121">
        <v>36.0</v>
      </c>
      <c r="AO26" s="121">
        <v>32.0</v>
      </c>
    </row>
    <row r="27">
      <c r="A27" s="119" t="s">
        <v>183</v>
      </c>
      <c r="B27" s="121" t="s">
        <v>197</v>
      </c>
      <c r="C27" s="121" t="s">
        <v>197</v>
      </c>
      <c r="D27" s="121" t="s">
        <v>197</v>
      </c>
      <c r="E27" s="121">
        <v>41.0</v>
      </c>
      <c r="F27" s="121" t="s">
        <v>197</v>
      </c>
      <c r="G27" s="121">
        <v>26.0</v>
      </c>
      <c r="H27" s="121">
        <v>41.0</v>
      </c>
      <c r="I27" s="121" t="s">
        <v>197</v>
      </c>
      <c r="J27" s="121" t="s">
        <v>197</v>
      </c>
      <c r="K27" s="121">
        <v>13.0</v>
      </c>
      <c r="L27" s="121">
        <v>0.0</v>
      </c>
      <c r="M27" s="121" t="s">
        <v>197</v>
      </c>
      <c r="N27" s="121" t="s">
        <v>197</v>
      </c>
      <c r="O27" s="121">
        <v>0.0</v>
      </c>
      <c r="P27" s="121" t="s">
        <v>197</v>
      </c>
      <c r="Q27" s="121">
        <v>34.0</v>
      </c>
      <c r="R27" s="121" t="s">
        <v>197</v>
      </c>
      <c r="S27" s="121" t="s">
        <v>197</v>
      </c>
      <c r="T27" s="121">
        <v>31.0</v>
      </c>
      <c r="U27" s="121">
        <v>0.0</v>
      </c>
      <c r="V27" s="121">
        <v>0.0</v>
      </c>
      <c r="W27" s="121">
        <v>36.0</v>
      </c>
      <c r="X27" s="121" t="s">
        <v>197</v>
      </c>
      <c r="Y27" s="121">
        <v>28.0</v>
      </c>
      <c r="Z27" s="121" t="s">
        <v>197</v>
      </c>
      <c r="AA27" s="121">
        <v>18.0</v>
      </c>
      <c r="AB27" s="121" t="s">
        <v>197</v>
      </c>
      <c r="AC27" s="121">
        <v>48.0</v>
      </c>
      <c r="AD27" s="121">
        <v>0.0</v>
      </c>
      <c r="AE27" s="121" t="s">
        <v>197</v>
      </c>
      <c r="AF27" s="121">
        <v>23.0</v>
      </c>
      <c r="AG27" s="121">
        <v>0.0</v>
      </c>
      <c r="AH27" s="121" t="s">
        <v>197</v>
      </c>
      <c r="AI27" s="121" t="s">
        <v>197</v>
      </c>
      <c r="AJ27" s="121">
        <v>11.0</v>
      </c>
      <c r="AK27" s="121">
        <v>0.0</v>
      </c>
      <c r="AL27" s="121">
        <v>28.0</v>
      </c>
      <c r="AM27" s="121" t="s">
        <v>197</v>
      </c>
      <c r="AN27" s="121">
        <v>17.0</v>
      </c>
      <c r="AO27" s="121">
        <v>25.0</v>
      </c>
    </row>
    <row r="28">
      <c r="A28" s="119" t="s">
        <v>184</v>
      </c>
      <c r="B28" s="121" t="s">
        <v>197</v>
      </c>
      <c r="C28" s="121">
        <v>27.0</v>
      </c>
      <c r="D28" s="121" t="s">
        <v>197</v>
      </c>
      <c r="E28" s="121">
        <v>67.0</v>
      </c>
      <c r="F28" s="121" t="s">
        <v>197</v>
      </c>
      <c r="G28" s="121">
        <v>26.0</v>
      </c>
      <c r="H28" s="121">
        <v>32.0</v>
      </c>
      <c r="I28" s="121" t="s">
        <v>197</v>
      </c>
      <c r="J28" s="121">
        <v>54.0</v>
      </c>
      <c r="K28" s="121">
        <v>13.0</v>
      </c>
      <c r="L28" s="121">
        <v>0.0</v>
      </c>
      <c r="M28" s="121">
        <v>0.0</v>
      </c>
      <c r="N28" s="121" t="s">
        <v>197</v>
      </c>
      <c r="O28" s="121" t="s">
        <v>197</v>
      </c>
      <c r="P28" s="121" t="s">
        <v>197</v>
      </c>
      <c r="Q28" s="121">
        <v>24.0</v>
      </c>
      <c r="R28" s="121">
        <v>28.0</v>
      </c>
      <c r="S28" s="121">
        <v>0.0</v>
      </c>
      <c r="T28" s="121">
        <v>50.0</v>
      </c>
      <c r="U28" s="121" t="s">
        <v>197</v>
      </c>
      <c r="V28" s="121" t="s">
        <v>197</v>
      </c>
      <c r="W28" s="121">
        <v>48.0</v>
      </c>
      <c r="X28" s="121">
        <v>0.0</v>
      </c>
      <c r="Y28" s="121">
        <v>46.0</v>
      </c>
      <c r="Z28" s="121" t="s">
        <v>197</v>
      </c>
      <c r="AA28" s="121">
        <v>39.0</v>
      </c>
      <c r="AB28" s="121" t="s">
        <v>197</v>
      </c>
      <c r="AC28" s="121">
        <v>56.0</v>
      </c>
      <c r="AD28" s="121">
        <v>0.0</v>
      </c>
      <c r="AE28" s="121" t="s">
        <v>197</v>
      </c>
      <c r="AF28" s="121" t="s">
        <v>197</v>
      </c>
      <c r="AG28" s="121" t="s">
        <v>197</v>
      </c>
      <c r="AH28" s="121" t="s">
        <v>197</v>
      </c>
      <c r="AI28" s="121" t="s">
        <v>197</v>
      </c>
      <c r="AJ28" s="121">
        <v>20.0</v>
      </c>
      <c r="AK28" s="121" t="s">
        <v>197</v>
      </c>
      <c r="AL28" s="121">
        <v>48.0</v>
      </c>
      <c r="AM28" s="121" t="s">
        <v>197</v>
      </c>
      <c r="AN28" s="121">
        <v>31.0</v>
      </c>
      <c r="AO28" s="121">
        <v>32.0</v>
      </c>
    </row>
    <row r="29">
      <c r="A29" s="119" t="s">
        <v>185</v>
      </c>
      <c r="B29" s="121">
        <v>37.0</v>
      </c>
      <c r="C29" s="121">
        <v>31.0</v>
      </c>
      <c r="D29" s="121" t="s">
        <v>197</v>
      </c>
      <c r="E29" s="121">
        <v>103.0</v>
      </c>
      <c r="F29" s="121" t="s">
        <v>197</v>
      </c>
      <c r="G29" s="121" t="s">
        <v>197</v>
      </c>
      <c r="H29" s="121">
        <v>48.0</v>
      </c>
      <c r="I29" s="121">
        <v>32.0</v>
      </c>
      <c r="J29" s="121" t="s">
        <v>197</v>
      </c>
      <c r="K29" s="121">
        <v>30.0</v>
      </c>
      <c r="L29" s="121">
        <v>0.0</v>
      </c>
      <c r="M29" s="121">
        <v>0.0</v>
      </c>
      <c r="N29" s="121">
        <v>0.0</v>
      </c>
      <c r="O29" s="121">
        <v>0.0</v>
      </c>
      <c r="P29" s="121">
        <v>0.0</v>
      </c>
      <c r="Q29" s="121">
        <v>38.0</v>
      </c>
      <c r="R29" s="121">
        <v>23.0</v>
      </c>
      <c r="S29" s="121" t="s">
        <v>197</v>
      </c>
      <c r="T29" s="121" t="s">
        <v>197</v>
      </c>
      <c r="U29" s="121" t="s">
        <v>197</v>
      </c>
      <c r="V29" s="121">
        <v>0.0</v>
      </c>
      <c r="W29" s="121" t="s">
        <v>197</v>
      </c>
      <c r="X29" s="121" t="s">
        <v>197</v>
      </c>
      <c r="Y29" s="121">
        <v>43.0</v>
      </c>
      <c r="Z29" s="121" t="s">
        <v>197</v>
      </c>
      <c r="AA29" s="121">
        <v>81.0</v>
      </c>
      <c r="AB29" s="121" t="s">
        <v>197</v>
      </c>
      <c r="AC29" s="121">
        <v>68.0</v>
      </c>
      <c r="AD29" s="121">
        <v>0.0</v>
      </c>
      <c r="AE29" s="121" t="s">
        <v>197</v>
      </c>
      <c r="AF29" s="121">
        <v>55.0</v>
      </c>
      <c r="AG29" s="121">
        <v>0.0</v>
      </c>
      <c r="AH29" s="121" t="s">
        <v>197</v>
      </c>
      <c r="AI29" s="121" t="s">
        <v>197</v>
      </c>
      <c r="AJ29" s="121">
        <v>23.0</v>
      </c>
      <c r="AK29" s="121">
        <v>0.0</v>
      </c>
      <c r="AL29" s="121">
        <v>31.0</v>
      </c>
      <c r="AM29" s="121" t="s">
        <v>197</v>
      </c>
      <c r="AN29" s="121">
        <v>34.0</v>
      </c>
      <c r="AO29" s="121">
        <v>40.0</v>
      </c>
    </row>
    <row r="30">
      <c r="A30" s="119" t="s">
        <v>186</v>
      </c>
      <c r="B30" s="121">
        <v>0.0</v>
      </c>
      <c r="C30" s="121">
        <v>31.0</v>
      </c>
      <c r="D30" s="121" t="s">
        <v>197</v>
      </c>
      <c r="E30" s="121">
        <v>191.0</v>
      </c>
      <c r="F30" s="121" t="s">
        <v>197</v>
      </c>
      <c r="G30" s="121">
        <v>32.0</v>
      </c>
      <c r="H30" s="121">
        <v>49.0</v>
      </c>
      <c r="I30" s="121">
        <v>38.0</v>
      </c>
      <c r="J30" s="121">
        <v>46.0</v>
      </c>
      <c r="K30" s="121">
        <v>40.0</v>
      </c>
      <c r="L30" s="121" t="s">
        <v>197</v>
      </c>
      <c r="M30" s="121">
        <v>0.0</v>
      </c>
      <c r="N30" s="121" t="s">
        <v>197</v>
      </c>
      <c r="O30" s="121" t="s">
        <v>197</v>
      </c>
      <c r="P30" s="121" t="s">
        <v>197</v>
      </c>
      <c r="Q30" s="121">
        <v>65.0</v>
      </c>
      <c r="R30" s="121">
        <v>23.0</v>
      </c>
      <c r="S30" s="121">
        <v>0.0</v>
      </c>
      <c r="T30" s="121" t="s">
        <v>197</v>
      </c>
      <c r="U30" s="121" t="s">
        <v>197</v>
      </c>
      <c r="V30" s="121" t="s">
        <v>197</v>
      </c>
      <c r="W30" s="121">
        <v>32.0</v>
      </c>
      <c r="X30" s="121">
        <v>23.0</v>
      </c>
      <c r="Y30" s="121">
        <v>96.0</v>
      </c>
      <c r="Z30" s="121" t="s">
        <v>197</v>
      </c>
      <c r="AA30" s="121">
        <v>124.0</v>
      </c>
      <c r="AB30" s="121" t="s">
        <v>197</v>
      </c>
      <c r="AC30" s="121">
        <v>96.0</v>
      </c>
      <c r="AD30" s="121">
        <v>0.0</v>
      </c>
      <c r="AE30" s="121" t="s">
        <v>197</v>
      </c>
      <c r="AF30" s="121">
        <v>42.0</v>
      </c>
      <c r="AG30" s="121" t="s">
        <v>197</v>
      </c>
      <c r="AH30" s="121" t="s">
        <v>197</v>
      </c>
      <c r="AI30" s="121">
        <v>86.0</v>
      </c>
      <c r="AJ30" s="121">
        <v>43.0</v>
      </c>
      <c r="AK30" s="121" t="s">
        <v>197</v>
      </c>
      <c r="AL30" s="121">
        <v>38.0</v>
      </c>
      <c r="AM30" s="121" t="s">
        <v>197</v>
      </c>
      <c r="AN30" s="121">
        <v>34.0</v>
      </c>
      <c r="AO30" s="121">
        <v>59.0</v>
      </c>
    </row>
    <row r="31">
      <c r="A31" s="122" t="s">
        <v>187</v>
      </c>
      <c r="B31" s="121" t="s">
        <v>197</v>
      </c>
      <c r="C31" s="121">
        <v>27.0</v>
      </c>
      <c r="D31" s="121">
        <v>43.0</v>
      </c>
      <c r="E31" s="121">
        <v>196.0</v>
      </c>
      <c r="F31" s="121" t="s">
        <v>197</v>
      </c>
      <c r="G31" s="121">
        <v>17.0</v>
      </c>
      <c r="H31" s="121">
        <v>97.0</v>
      </c>
      <c r="I31" s="121">
        <v>29.0</v>
      </c>
      <c r="J31" s="121">
        <v>38.0</v>
      </c>
      <c r="K31" s="121">
        <v>30.0</v>
      </c>
      <c r="L31" s="121" t="s">
        <v>197</v>
      </c>
      <c r="M31" s="121" t="s">
        <v>197</v>
      </c>
      <c r="N31" s="121" t="s">
        <v>197</v>
      </c>
      <c r="O31" s="121">
        <v>0.0</v>
      </c>
      <c r="P31" s="121" t="s">
        <v>197</v>
      </c>
      <c r="Q31" s="121">
        <v>31.0</v>
      </c>
      <c r="R31" s="121">
        <v>55.0</v>
      </c>
      <c r="S31" s="121">
        <v>0.0</v>
      </c>
      <c r="T31" s="121">
        <v>37.0</v>
      </c>
      <c r="U31" s="121">
        <v>0.0</v>
      </c>
      <c r="V31" s="121" t="s">
        <v>197</v>
      </c>
      <c r="W31" s="121">
        <v>24.0</v>
      </c>
      <c r="X31" s="121">
        <v>23.0</v>
      </c>
      <c r="Y31" s="121">
        <v>102.0</v>
      </c>
      <c r="Z31" s="121" t="s">
        <v>197</v>
      </c>
      <c r="AA31" s="121">
        <v>142.0</v>
      </c>
      <c r="AB31" s="121">
        <v>0.0</v>
      </c>
      <c r="AC31" s="121">
        <v>106.0</v>
      </c>
      <c r="AD31" s="121" t="s">
        <v>197</v>
      </c>
      <c r="AE31" s="121">
        <v>0.0</v>
      </c>
      <c r="AF31" s="121" t="s">
        <v>197</v>
      </c>
      <c r="AG31" s="121" t="s">
        <v>197</v>
      </c>
      <c r="AH31" s="121" t="s">
        <v>197</v>
      </c>
      <c r="AI31" s="121" t="s">
        <v>197</v>
      </c>
      <c r="AJ31" s="121">
        <v>44.0</v>
      </c>
      <c r="AK31" s="121" t="s">
        <v>197</v>
      </c>
      <c r="AL31" s="121">
        <v>73.0</v>
      </c>
      <c r="AM31" s="121" t="s">
        <v>197</v>
      </c>
      <c r="AN31" s="121">
        <v>43.0</v>
      </c>
      <c r="AO31" s="121">
        <v>64.0</v>
      </c>
    </row>
    <row r="32">
      <c r="A32" s="122" t="s">
        <v>188</v>
      </c>
      <c r="B32" s="121" t="s">
        <v>197</v>
      </c>
      <c r="C32" s="121">
        <v>27.0</v>
      </c>
      <c r="D32" s="121" t="s">
        <v>197</v>
      </c>
      <c r="E32" s="121">
        <v>201.0</v>
      </c>
      <c r="F32" s="121">
        <v>0.0</v>
      </c>
      <c r="G32" s="121">
        <v>17.0</v>
      </c>
      <c r="H32" s="121">
        <v>108.0</v>
      </c>
      <c r="I32" s="121">
        <v>32.0</v>
      </c>
      <c r="J32" s="121" t="s">
        <v>197</v>
      </c>
      <c r="K32" s="121">
        <v>32.0</v>
      </c>
      <c r="L32" s="121" t="s">
        <v>197</v>
      </c>
      <c r="M32" s="121" t="s">
        <v>197</v>
      </c>
      <c r="N32" s="121" t="s">
        <v>197</v>
      </c>
      <c r="O32" s="121">
        <v>0.0</v>
      </c>
      <c r="P32" s="121">
        <v>0.0</v>
      </c>
      <c r="Q32" s="121">
        <v>51.0</v>
      </c>
      <c r="R32" s="121">
        <v>55.0</v>
      </c>
      <c r="S32" s="121">
        <v>0.0</v>
      </c>
      <c r="T32" s="121" t="s">
        <v>197</v>
      </c>
      <c r="U32" s="121" t="s">
        <v>197</v>
      </c>
      <c r="V32" s="121" t="s">
        <v>197</v>
      </c>
      <c r="W32" s="121">
        <v>20.0</v>
      </c>
      <c r="X32" s="121">
        <v>19.0</v>
      </c>
      <c r="Y32" s="121">
        <v>80.0</v>
      </c>
      <c r="Z32" s="121" t="s">
        <v>197</v>
      </c>
      <c r="AA32" s="121">
        <v>118.0</v>
      </c>
      <c r="AB32" s="121" t="s">
        <v>197</v>
      </c>
      <c r="AC32" s="121">
        <v>127.0</v>
      </c>
      <c r="AD32" s="121" t="s">
        <v>197</v>
      </c>
      <c r="AE32" s="121" t="s">
        <v>197</v>
      </c>
      <c r="AF32" s="121">
        <v>32.0</v>
      </c>
      <c r="AG32" s="121">
        <v>0.0</v>
      </c>
      <c r="AH32" s="121">
        <v>0.0</v>
      </c>
      <c r="AI32" s="121">
        <v>0.0</v>
      </c>
      <c r="AJ32" s="121">
        <v>33.0</v>
      </c>
      <c r="AK32" s="121">
        <v>0.0</v>
      </c>
      <c r="AL32" s="121">
        <v>31.0</v>
      </c>
      <c r="AM32" s="121" t="s">
        <v>197</v>
      </c>
      <c r="AN32" s="121">
        <v>48.0</v>
      </c>
      <c r="AO32" s="121">
        <v>64.0</v>
      </c>
    </row>
    <row r="33">
      <c r="A33" s="122" t="s">
        <v>189</v>
      </c>
      <c r="B33" s="121" t="s">
        <v>197</v>
      </c>
      <c r="C33" s="121">
        <v>22.0</v>
      </c>
      <c r="D33" s="121" t="s">
        <v>197</v>
      </c>
      <c r="E33" s="121">
        <v>175.0</v>
      </c>
      <c r="F33" s="121" t="s">
        <v>197</v>
      </c>
      <c r="G33" s="121">
        <v>14.0</v>
      </c>
      <c r="H33" s="121">
        <v>47.0</v>
      </c>
      <c r="I33" s="121">
        <v>46.0</v>
      </c>
      <c r="J33" s="121" t="s">
        <v>197</v>
      </c>
      <c r="K33" s="121">
        <v>25.0</v>
      </c>
      <c r="L33" s="121" t="s">
        <v>197</v>
      </c>
      <c r="M33" s="121" t="s">
        <v>197</v>
      </c>
      <c r="N33" s="121" t="s">
        <v>197</v>
      </c>
      <c r="O33" s="121">
        <v>0.0</v>
      </c>
      <c r="P33" s="121" t="s">
        <v>197</v>
      </c>
      <c r="Q33" s="121">
        <v>38.0</v>
      </c>
      <c r="R33" s="121">
        <v>23.0</v>
      </c>
      <c r="S33" s="121">
        <v>0.0</v>
      </c>
      <c r="T33" s="121">
        <v>0.0</v>
      </c>
      <c r="U33" s="121">
        <v>103.0</v>
      </c>
      <c r="V33" s="121" t="s">
        <v>197</v>
      </c>
      <c r="W33" s="121" t="s">
        <v>197</v>
      </c>
      <c r="X33" s="121">
        <v>31.0</v>
      </c>
      <c r="Y33" s="121">
        <v>52.0</v>
      </c>
      <c r="Z33" s="121">
        <v>0.0</v>
      </c>
      <c r="AA33" s="121">
        <v>79.0</v>
      </c>
      <c r="AB33" s="121" t="s">
        <v>197</v>
      </c>
      <c r="AC33" s="121">
        <v>120.0</v>
      </c>
      <c r="AD33" s="121" t="s">
        <v>197</v>
      </c>
      <c r="AE33" s="121" t="s">
        <v>197</v>
      </c>
      <c r="AF33" s="121">
        <v>42.0</v>
      </c>
      <c r="AG33" s="121">
        <v>42.0</v>
      </c>
      <c r="AH33" s="121">
        <v>0.0</v>
      </c>
      <c r="AI33" s="121">
        <v>0.0</v>
      </c>
      <c r="AJ33" s="121">
        <v>27.0</v>
      </c>
      <c r="AK33" s="121">
        <v>0.0</v>
      </c>
      <c r="AL33" s="121">
        <v>48.0</v>
      </c>
      <c r="AM33" s="121">
        <v>0.0</v>
      </c>
      <c r="AN33" s="121">
        <v>46.0</v>
      </c>
      <c r="AO33" s="121">
        <v>55.0</v>
      </c>
    </row>
    <row r="34">
      <c r="A34" s="122" t="s">
        <v>190</v>
      </c>
      <c r="B34" s="121">
        <v>0.0</v>
      </c>
      <c r="C34" s="121">
        <v>72.0</v>
      </c>
      <c r="D34" s="121" t="s">
        <v>197</v>
      </c>
      <c r="E34" s="121">
        <v>186.0</v>
      </c>
      <c r="F34" s="121">
        <v>0.0</v>
      </c>
      <c r="G34" s="121">
        <v>26.0</v>
      </c>
      <c r="H34" s="121">
        <v>59.0</v>
      </c>
      <c r="I34" s="121">
        <v>63.0</v>
      </c>
      <c r="J34" s="121">
        <v>69.0</v>
      </c>
      <c r="K34" s="121">
        <v>30.0</v>
      </c>
      <c r="L34" s="121" t="s">
        <v>197</v>
      </c>
      <c r="M34" s="121" t="s">
        <v>197</v>
      </c>
      <c r="N34" s="121" t="s">
        <v>197</v>
      </c>
      <c r="O34" s="121" t="s">
        <v>197</v>
      </c>
      <c r="P34" s="121" t="s">
        <v>197</v>
      </c>
      <c r="Q34" s="121">
        <v>72.0</v>
      </c>
      <c r="R34" s="121">
        <v>32.0</v>
      </c>
      <c r="S34" s="121">
        <v>0.0</v>
      </c>
      <c r="T34" s="121">
        <v>31.0</v>
      </c>
      <c r="U34" s="121">
        <v>58.0</v>
      </c>
      <c r="V34" s="121">
        <v>0.0</v>
      </c>
      <c r="W34" s="121" t="s">
        <v>197</v>
      </c>
      <c r="X34" s="121">
        <v>50.0</v>
      </c>
      <c r="Y34" s="121">
        <v>55.0</v>
      </c>
      <c r="Z34" s="121" t="s">
        <v>197</v>
      </c>
      <c r="AA34" s="121">
        <v>71.0</v>
      </c>
      <c r="AB34" s="121" t="s">
        <v>197</v>
      </c>
      <c r="AC34" s="121">
        <v>120.0</v>
      </c>
      <c r="AD34" s="121">
        <v>0.0</v>
      </c>
      <c r="AE34" s="121" t="s">
        <v>197</v>
      </c>
      <c r="AF34" s="121">
        <v>37.0</v>
      </c>
      <c r="AG34" s="121" t="s">
        <v>197</v>
      </c>
      <c r="AH34" s="121">
        <v>44.0</v>
      </c>
      <c r="AI34" s="121" t="s">
        <v>197</v>
      </c>
      <c r="AJ34" s="121">
        <v>44.0</v>
      </c>
      <c r="AK34" s="121" t="s">
        <v>197</v>
      </c>
      <c r="AL34" s="121" t="s">
        <v>197</v>
      </c>
      <c r="AM34" s="121" t="s">
        <v>197</v>
      </c>
      <c r="AN34" s="121">
        <v>36.0</v>
      </c>
      <c r="AO34" s="121">
        <v>60.0</v>
      </c>
    </row>
    <row r="35">
      <c r="A35" s="122" t="s">
        <v>191</v>
      </c>
      <c r="B35" s="121" t="s">
        <v>197</v>
      </c>
      <c r="C35" s="121">
        <v>31.0</v>
      </c>
      <c r="D35" s="121" t="s">
        <v>197</v>
      </c>
      <c r="E35" s="121">
        <v>108.0</v>
      </c>
      <c r="F35" s="121" t="s">
        <v>197</v>
      </c>
      <c r="G35" s="121">
        <v>26.0</v>
      </c>
      <c r="H35" s="121">
        <v>52.0</v>
      </c>
      <c r="I35" s="121">
        <v>29.0</v>
      </c>
      <c r="J35" s="121">
        <v>54.0</v>
      </c>
      <c r="K35" s="121">
        <v>11.0</v>
      </c>
      <c r="L35" s="121">
        <v>0.0</v>
      </c>
      <c r="M35" s="121" t="s">
        <v>197</v>
      </c>
      <c r="N35" s="121" t="s">
        <v>197</v>
      </c>
      <c r="O35" s="121" t="s">
        <v>197</v>
      </c>
      <c r="P35" s="121">
        <v>0.0</v>
      </c>
      <c r="Q35" s="121">
        <v>48.0</v>
      </c>
      <c r="R35" s="121">
        <v>37.0</v>
      </c>
      <c r="S35" s="121">
        <v>0.0</v>
      </c>
      <c r="T35" s="121" t="s">
        <v>197</v>
      </c>
      <c r="U35" s="121">
        <v>32.0</v>
      </c>
      <c r="V35" s="121">
        <v>0.0</v>
      </c>
      <c r="W35" s="121">
        <v>20.0</v>
      </c>
      <c r="X35" s="121">
        <v>27.0</v>
      </c>
      <c r="Y35" s="121">
        <v>55.0</v>
      </c>
      <c r="Z35" s="121" t="s">
        <v>197</v>
      </c>
      <c r="AA35" s="121">
        <v>56.0</v>
      </c>
      <c r="AB35" s="121">
        <v>29.0</v>
      </c>
      <c r="AC35" s="121">
        <v>104.0</v>
      </c>
      <c r="AD35" s="121" t="s">
        <v>197</v>
      </c>
      <c r="AE35" s="121" t="s">
        <v>197</v>
      </c>
      <c r="AF35" s="121">
        <v>37.0</v>
      </c>
      <c r="AG35" s="121" t="s">
        <v>197</v>
      </c>
      <c r="AH35" s="121">
        <v>32.0</v>
      </c>
      <c r="AI35" s="121" t="s">
        <v>197</v>
      </c>
      <c r="AJ35" s="121">
        <v>16.0</v>
      </c>
      <c r="AK35" s="121" t="s">
        <v>197</v>
      </c>
      <c r="AL35" s="121">
        <v>21.0</v>
      </c>
      <c r="AM35" s="121" t="s">
        <v>197</v>
      </c>
      <c r="AN35" s="121">
        <v>43.0</v>
      </c>
      <c r="AO35" s="121">
        <v>47.0</v>
      </c>
    </row>
    <row r="36">
      <c r="A36" s="122" t="s">
        <v>192</v>
      </c>
      <c r="B36" s="121" t="s">
        <v>197</v>
      </c>
      <c r="C36" s="121" t="s">
        <v>197</v>
      </c>
      <c r="D36" s="121" t="s">
        <v>197</v>
      </c>
      <c r="E36" s="121">
        <v>31.0</v>
      </c>
      <c r="F36" s="121">
        <v>0.0</v>
      </c>
      <c r="G36" s="121" t="s">
        <v>197</v>
      </c>
      <c r="H36" s="121">
        <v>43.0</v>
      </c>
      <c r="I36" s="121">
        <v>43.0</v>
      </c>
      <c r="J36" s="121">
        <v>0.0</v>
      </c>
      <c r="K36" s="121">
        <v>21.0</v>
      </c>
      <c r="L36" s="121">
        <v>0.0</v>
      </c>
      <c r="M36" s="121" t="s">
        <v>197</v>
      </c>
      <c r="N36" s="121" t="s">
        <v>197</v>
      </c>
      <c r="O36" s="121">
        <v>0.0</v>
      </c>
      <c r="P36" s="121" t="s">
        <v>197</v>
      </c>
      <c r="Q36" s="121">
        <v>44.0</v>
      </c>
      <c r="R36" s="121">
        <v>28.0</v>
      </c>
      <c r="S36" s="121">
        <v>0.0</v>
      </c>
      <c r="T36" s="121" t="s">
        <v>197</v>
      </c>
      <c r="U36" s="121" t="s">
        <v>197</v>
      </c>
      <c r="V36" s="121">
        <v>0.0</v>
      </c>
      <c r="W36" s="121">
        <v>24.0</v>
      </c>
      <c r="X36" s="121" t="s">
        <v>197</v>
      </c>
      <c r="Y36" s="121">
        <v>83.0</v>
      </c>
      <c r="Z36" s="121" t="s">
        <v>197</v>
      </c>
      <c r="AA36" s="121">
        <v>54.0</v>
      </c>
      <c r="AB36" s="121" t="s">
        <v>197</v>
      </c>
      <c r="AC36" s="121">
        <v>98.0</v>
      </c>
      <c r="AD36" s="121">
        <v>0.0</v>
      </c>
      <c r="AE36" s="121" t="s">
        <v>197</v>
      </c>
      <c r="AF36" s="121">
        <v>28.0</v>
      </c>
      <c r="AG36" s="121">
        <v>0.0</v>
      </c>
      <c r="AH36" s="121">
        <v>38.0</v>
      </c>
      <c r="AI36" s="121" t="s">
        <v>197</v>
      </c>
      <c r="AJ36" s="121">
        <v>31.0</v>
      </c>
      <c r="AK36" s="121">
        <v>0.0</v>
      </c>
      <c r="AL36" s="121" t="s">
        <v>197</v>
      </c>
      <c r="AM36" s="121" t="s">
        <v>197</v>
      </c>
      <c r="AN36" s="121">
        <v>31.0</v>
      </c>
      <c r="AO36" s="121">
        <v>43.0</v>
      </c>
    </row>
    <row r="37">
      <c r="A37" s="122" t="s">
        <v>193</v>
      </c>
      <c r="B37" s="121">
        <v>31.0</v>
      </c>
      <c r="C37" s="121">
        <v>40.0</v>
      </c>
      <c r="D37" s="121">
        <v>43.0</v>
      </c>
      <c r="E37" s="121">
        <v>98.0</v>
      </c>
      <c r="F37" s="121" t="s">
        <v>197</v>
      </c>
      <c r="G37" s="121">
        <v>14.0</v>
      </c>
      <c r="H37" s="121">
        <v>43.0</v>
      </c>
      <c r="I37" s="121">
        <v>81.0</v>
      </c>
      <c r="J37" s="121" t="s">
        <v>197</v>
      </c>
      <c r="K37" s="121">
        <v>25.0</v>
      </c>
      <c r="L37" s="121">
        <v>0.0</v>
      </c>
      <c r="M37" s="121" t="s">
        <v>197</v>
      </c>
      <c r="N37" s="121" t="s">
        <v>197</v>
      </c>
      <c r="O37" s="121">
        <v>0.0</v>
      </c>
      <c r="P37" s="121">
        <v>0.0</v>
      </c>
      <c r="Q37" s="121">
        <v>31.0</v>
      </c>
      <c r="R37" s="121" t="s">
        <v>197</v>
      </c>
      <c r="S37" s="121">
        <v>0.0</v>
      </c>
      <c r="T37" s="121" t="s">
        <v>197</v>
      </c>
      <c r="U37" s="121" t="s">
        <v>197</v>
      </c>
      <c r="V37" s="121">
        <v>0.0</v>
      </c>
      <c r="W37" s="121">
        <v>52.0</v>
      </c>
      <c r="X37" s="121">
        <v>27.0</v>
      </c>
      <c r="Y37" s="121">
        <v>40.0</v>
      </c>
      <c r="Z37" s="121" t="s">
        <v>197</v>
      </c>
      <c r="AA37" s="121">
        <v>70.0</v>
      </c>
      <c r="AB37" s="121" t="s">
        <v>197</v>
      </c>
      <c r="AC37" s="121">
        <v>76.0</v>
      </c>
      <c r="AD37" s="121">
        <v>0.0</v>
      </c>
      <c r="AE37" s="121" t="s">
        <v>197</v>
      </c>
      <c r="AF37" s="121">
        <v>51.0</v>
      </c>
      <c r="AG37" s="121" t="s">
        <v>197</v>
      </c>
      <c r="AH37" s="121" t="s">
        <v>197</v>
      </c>
      <c r="AI37" s="121">
        <v>0.0</v>
      </c>
      <c r="AJ37" s="121">
        <v>27.0</v>
      </c>
      <c r="AK37" s="121" t="s">
        <v>197</v>
      </c>
      <c r="AL37" s="121">
        <v>38.0</v>
      </c>
      <c r="AM37" s="121" t="s">
        <v>197</v>
      </c>
      <c r="AN37" s="121">
        <v>41.0</v>
      </c>
      <c r="AO37" s="121">
        <v>44.0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198</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199</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200</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44090.0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201</v>
      </c>
      <c r="B6" s="97"/>
      <c r="C6" s="97"/>
      <c r="D6" s="97"/>
      <c r="E6" s="97"/>
      <c r="F6" s="97"/>
      <c r="G6" s="97"/>
      <c r="H6" s="97"/>
      <c r="I6" s="97"/>
      <c r="J6" s="97"/>
      <c r="K6" s="35"/>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125</v>
      </c>
      <c r="B8" s="129" t="s">
        <v>126</v>
      </c>
      <c r="C8" s="129" t="s">
        <v>127</v>
      </c>
      <c r="D8" s="129" t="s">
        <v>128</v>
      </c>
      <c r="E8" s="129" t="s">
        <v>129</v>
      </c>
      <c r="F8" s="129" t="s">
        <v>130</v>
      </c>
      <c r="G8" s="129" t="s">
        <v>131</v>
      </c>
      <c r="H8" s="129" t="s">
        <v>132</v>
      </c>
      <c r="I8" s="129" t="s">
        <v>133</v>
      </c>
      <c r="J8" s="129" t="s">
        <v>134</v>
      </c>
      <c r="K8" s="129" t="s">
        <v>135</v>
      </c>
      <c r="L8" s="129" t="s">
        <v>136</v>
      </c>
      <c r="M8" s="129" t="s">
        <v>137</v>
      </c>
      <c r="N8" s="129" t="s">
        <v>138</v>
      </c>
      <c r="O8" s="129" t="s">
        <v>139</v>
      </c>
      <c r="P8" s="129" t="s">
        <v>140</v>
      </c>
      <c r="Q8" s="129" t="s">
        <v>141</v>
      </c>
      <c r="R8" s="129" t="s">
        <v>142</v>
      </c>
      <c r="S8" s="129" t="s">
        <v>143</v>
      </c>
      <c r="T8" s="129" t="s">
        <v>144</v>
      </c>
      <c r="U8" s="129" t="s">
        <v>145</v>
      </c>
      <c r="V8" s="129" t="s">
        <v>146</v>
      </c>
      <c r="W8" s="129" t="s">
        <v>147</v>
      </c>
      <c r="X8" s="129" t="s">
        <v>148</v>
      </c>
      <c r="Y8" s="129" t="s">
        <v>149</v>
      </c>
      <c r="Z8" s="129" t="s">
        <v>150</v>
      </c>
      <c r="AA8" s="129" t="s">
        <v>151</v>
      </c>
      <c r="AB8" s="129" t="s">
        <v>152</v>
      </c>
      <c r="AC8" s="129" t="s">
        <v>153</v>
      </c>
      <c r="AD8" s="129" t="s">
        <v>154</v>
      </c>
      <c r="AE8" s="129" t="s">
        <v>155</v>
      </c>
      <c r="AF8" s="129" t="s">
        <v>156</v>
      </c>
      <c r="AG8" s="129" t="s">
        <v>157</v>
      </c>
      <c r="AH8" s="129" t="s">
        <v>158</v>
      </c>
      <c r="AI8" s="129" t="s">
        <v>159</v>
      </c>
      <c r="AJ8" s="129" t="s">
        <v>160</v>
      </c>
      <c r="AK8" s="129" t="s">
        <v>161</v>
      </c>
      <c r="AL8" s="129" t="s">
        <v>162</v>
      </c>
      <c r="AM8" s="129" t="s">
        <v>163</v>
      </c>
      <c r="AN8" s="129" t="s">
        <v>164</v>
      </c>
      <c r="AO8" s="129" t="s">
        <v>165</v>
      </c>
      <c r="AP8" s="129" t="s">
        <v>118</v>
      </c>
    </row>
    <row r="9">
      <c r="A9" s="130" t="s">
        <v>166</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167</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168</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169</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170</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171</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172</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173</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174</v>
      </c>
      <c r="B17" s="132">
        <v>128.0</v>
      </c>
      <c r="C17" s="132">
        <v>198.0</v>
      </c>
      <c r="D17" s="132">
        <v>191.0</v>
      </c>
      <c r="E17" s="132">
        <v>590.0</v>
      </c>
      <c r="F17" s="132">
        <v>48.0</v>
      </c>
      <c r="G17" s="132">
        <v>276.0</v>
      </c>
      <c r="H17" s="133">
        <v>1063.0</v>
      </c>
      <c r="I17" s="132">
        <v>426.0</v>
      </c>
      <c r="J17" s="132">
        <v>150.0</v>
      </c>
      <c r="K17" s="132">
        <v>750.0</v>
      </c>
      <c r="L17" s="132">
        <v>56.0</v>
      </c>
      <c r="M17" s="132">
        <v>39.0</v>
      </c>
      <c r="N17" s="132">
        <v>72.0</v>
      </c>
      <c r="O17" s="132">
        <v>56.0</v>
      </c>
      <c r="P17" s="132">
        <v>35.0</v>
      </c>
      <c r="Q17" s="132">
        <v>352.0</v>
      </c>
      <c r="R17" s="132">
        <v>259.0</v>
      </c>
      <c r="S17" s="132">
        <v>17.0</v>
      </c>
      <c r="T17" s="132">
        <v>171.0</v>
      </c>
      <c r="U17" s="132">
        <v>93.0</v>
      </c>
      <c r="V17" s="132">
        <v>5.0</v>
      </c>
      <c r="W17" s="132">
        <v>215.0</v>
      </c>
      <c r="X17" s="132">
        <v>239.0</v>
      </c>
      <c r="Y17" s="132">
        <v>580.0</v>
      </c>
      <c r="Z17" s="132">
        <v>146.0</v>
      </c>
      <c r="AA17" s="133">
        <v>1301.0</v>
      </c>
      <c r="AB17" s="132">
        <v>129.0</v>
      </c>
      <c r="AC17" s="133">
        <v>3552.0</v>
      </c>
      <c r="AD17" s="132">
        <v>43.0</v>
      </c>
      <c r="AE17" s="132">
        <v>115.0</v>
      </c>
      <c r="AF17" s="132">
        <v>200.0</v>
      </c>
      <c r="AG17" s="132">
        <v>169.0</v>
      </c>
      <c r="AH17" s="132">
        <v>144.0</v>
      </c>
      <c r="AI17" s="132">
        <v>115.0</v>
      </c>
      <c r="AJ17" s="132">
        <v>769.0</v>
      </c>
      <c r="AK17" s="132">
        <v>38.0</v>
      </c>
      <c r="AL17" s="132">
        <v>293.0</v>
      </c>
      <c r="AM17" s="132">
        <v>95.0</v>
      </c>
      <c r="AN17" s="132">
        <v>507.0</v>
      </c>
      <c r="AO17" s="132">
        <v>772.0</v>
      </c>
      <c r="AP17" s="134">
        <v>14397.0</v>
      </c>
    </row>
    <row r="18">
      <c r="A18" s="130" t="s">
        <v>175</v>
      </c>
      <c r="B18" s="132">
        <v>133.0</v>
      </c>
      <c r="C18" s="132">
        <v>255.0</v>
      </c>
      <c r="D18" s="132">
        <v>141.0</v>
      </c>
      <c r="E18" s="132">
        <v>657.0</v>
      </c>
      <c r="F18" s="132">
        <v>63.0</v>
      </c>
      <c r="G18" s="132">
        <v>329.0</v>
      </c>
      <c r="H18" s="133">
        <v>1171.0</v>
      </c>
      <c r="I18" s="132">
        <v>353.0</v>
      </c>
      <c r="J18" s="132">
        <v>157.0</v>
      </c>
      <c r="K18" s="132">
        <v>773.0</v>
      </c>
      <c r="L18" s="132">
        <v>45.0</v>
      </c>
      <c r="M18" s="132">
        <v>25.0</v>
      </c>
      <c r="N18" s="132">
        <v>78.0</v>
      </c>
      <c r="O18" s="132">
        <v>55.0</v>
      </c>
      <c r="P18" s="132">
        <v>50.0</v>
      </c>
      <c r="Q18" s="132">
        <v>434.0</v>
      </c>
      <c r="R18" s="132">
        <v>317.0</v>
      </c>
      <c r="S18" s="132">
        <v>23.0</v>
      </c>
      <c r="T18" s="132">
        <v>166.0</v>
      </c>
      <c r="U18" s="132">
        <v>78.0</v>
      </c>
      <c r="V18" s="132">
        <v>7.0</v>
      </c>
      <c r="W18" s="132">
        <v>233.0</v>
      </c>
      <c r="X18" s="132">
        <v>233.0</v>
      </c>
      <c r="Y18" s="132">
        <v>582.0</v>
      </c>
      <c r="Z18" s="132">
        <v>107.0</v>
      </c>
      <c r="AA18" s="133">
        <v>1517.0</v>
      </c>
      <c r="AB18" s="132">
        <v>136.0</v>
      </c>
      <c r="AC18" s="133">
        <v>3862.0</v>
      </c>
      <c r="AD18" s="132">
        <v>51.0</v>
      </c>
      <c r="AE18" s="132">
        <v>118.0</v>
      </c>
      <c r="AF18" s="132">
        <v>195.0</v>
      </c>
      <c r="AG18" s="132">
        <v>240.0</v>
      </c>
      <c r="AH18" s="132">
        <v>180.0</v>
      </c>
      <c r="AI18" s="132">
        <v>170.0</v>
      </c>
      <c r="AJ18" s="132">
        <v>932.0</v>
      </c>
      <c r="AK18" s="132">
        <v>54.0</v>
      </c>
      <c r="AL18" s="132">
        <v>338.0</v>
      </c>
      <c r="AM18" s="132">
        <v>188.0</v>
      </c>
      <c r="AN18" s="132">
        <v>503.0</v>
      </c>
      <c r="AO18" s="132">
        <v>885.0</v>
      </c>
      <c r="AP18" s="134">
        <v>15834.0</v>
      </c>
    </row>
    <row r="19">
      <c r="A19" s="130" t="s">
        <v>176</v>
      </c>
      <c r="B19" s="132">
        <v>121.0</v>
      </c>
      <c r="C19" s="132">
        <v>212.0</v>
      </c>
      <c r="D19" s="132">
        <v>249.0</v>
      </c>
      <c r="E19" s="132">
        <v>608.0</v>
      </c>
      <c r="F19" s="132">
        <v>106.0</v>
      </c>
      <c r="G19" s="132">
        <v>475.0</v>
      </c>
      <c r="H19" s="133">
        <v>1153.0</v>
      </c>
      <c r="I19" s="132">
        <v>380.0</v>
      </c>
      <c r="J19" s="132">
        <v>208.0</v>
      </c>
      <c r="K19" s="132">
        <v>789.0</v>
      </c>
      <c r="L19" s="132">
        <v>49.0</v>
      </c>
      <c r="M19" s="132">
        <v>48.0</v>
      </c>
      <c r="N19" s="132">
        <v>103.0</v>
      </c>
      <c r="O19" s="132">
        <v>131.0</v>
      </c>
      <c r="P19" s="132">
        <v>45.0</v>
      </c>
      <c r="Q19" s="132">
        <v>434.0</v>
      </c>
      <c r="R19" s="132">
        <v>305.0</v>
      </c>
      <c r="S19" s="132">
        <v>28.0</v>
      </c>
      <c r="T19" s="132">
        <v>296.0</v>
      </c>
      <c r="U19" s="132">
        <v>131.0</v>
      </c>
      <c r="V19" s="132" t="s">
        <v>47</v>
      </c>
      <c r="W19" s="132">
        <v>281.0</v>
      </c>
      <c r="X19" s="132">
        <v>312.0</v>
      </c>
      <c r="Y19" s="132">
        <v>638.0</v>
      </c>
      <c r="Z19" s="132">
        <v>293.0</v>
      </c>
      <c r="AA19" s="133">
        <v>1426.0</v>
      </c>
      <c r="AB19" s="132">
        <v>155.0</v>
      </c>
      <c r="AC19" s="133">
        <v>3988.0</v>
      </c>
      <c r="AD19" s="132">
        <v>65.0</v>
      </c>
      <c r="AE19" s="132">
        <v>138.0</v>
      </c>
      <c r="AF19" s="132">
        <v>222.0</v>
      </c>
      <c r="AG19" s="132">
        <v>276.0</v>
      </c>
      <c r="AH19" s="132">
        <v>140.0</v>
      </c>
      <c r="AI19" s="132">
        <v>169.0</v>
      </c>
      <c r="AJ19" s="132">
        <v>990.0</v>
      </c>
      <c r="AK19" s="132">
        <v>55.0</v>
      </c>
      <c r="AL19" s="132">
        <v>341.0</v>
      </c>
      <c r="AM19" s="132">
        <v>378.0</v>
      </c>
      <c r="AN19" s="132">
        <v>531.0</v>
      </c>
      <c r="AO19" s="132">
        <v>776.0</v>
      </c>
      <c r="AP19" s="134">
        <v>17049.0</v>
      </c>
    </row>
    <row r="20">
      <c r="A20" s="130" t="s">
        <v>177</v>
      </c>
      <c r="B20" s="132">
        <v>134.0</v>
      </c>
      <c r="C20" s="132">
        <v>284.0</v>
      </c>
      <c r="D20" s="132">
        <v>227.0</v>
      </c>
      <c r="E20" s="132">
        <v>526.0</v>
      </c>
      <c r="F20" s="132">
        <v>74.0</v>
      </c>
      <c r="G20" s="132">
        <v>408.0</v>
      </c>
      <c r="H20" s="133">
        <v>1287.0</v>
      </c>
      <c r="I20" s="132">
        <v>433.0</v>
      </c>
      <c r="J20" s="132">
        <v>247.0</v>
      </c>
      <c r="K20" s="132">
        <v>745.0</v>
      </c>
      <c r="L20" s="132">
        <v>53.0</v>
      </c>
      <c r="M20" s="132">
        <v>72.0</v>
      </c>
      <c r="N20" s="132">
        <v>133.0</v>
      </c>
      <c r="O20" s="132">
        <v>68.0</v>
      </c>
      <c r="P20" s="132">
        <v>80.0</v>
      </c>
      <c r="Q20" s="132">
        <v>418.0</v>
      </c>
      <c r="R20" s="132">
        <v>314.0</v>
      </c>
      <c r="S20" s="132">
        <v>34.0</v>
      </c>
      <c r="T20" s="132">
        <v>276.0</v>
      </c>
      <c r="U20" s="132">
        <v>117.0</v>
      </c>
      <c r="V20" s="132">
        <v>6.0</v>
      </c>
      <c r="W20" s="132">
        <v>384.0</v>
      </c>
      <c r="X20" s="132">
        <v>290.0</v>
      </c>
      <c r="Y20" s="132">
        <v>582.0</v>
      </c>
      <c r="Z20" s="132">
        <v>170.0</v>
      </c>
      <c r="AA20" s="133">
        <v>1570.0</v>
      </c>
      <c r="AB20" s="132">
        <v>151.0</v>
      </c>
      <c r="AC20" s="133">
        <v>4064.0</v>
      </c>
      <c r="AD20" s="132">
        <v>57.0</v>
      </c>
      <c r="AE20" s="132">
        <v>125.0</v>
      </c>
      <c r="AF20" s="132">
        <v>220.0</v>
      </c>
      <c r="AG20" s="132">
        <v>282.0</v>
      </c>
      <c r="AH20" s="132">
        <v>172.0</v>
      </c>
      <c r="AI20" s="132">
        <v>176.0</v>
      </c>
      <c r="AJ20" s="132">
        <v>944.0</v>
      </c>
      <c r="AK20" s="132">
        <v>55.0</v>
      </c>
      <c r="AL20" s="132">
        <v>348.0</v>
      </c>
      <c r="AM20" s="132">
        <v>145.0</v>
      </c>
      <c r="AN20" s="132">
        <v>604.0</v>
      </c>
      <c r="AO20" s="132">
        <v>400.0</v>
      </c>
      <c r="AP20" s="134">
        <v>16675.0</v>
      </c>
    </row>
    <row r="21">
      <c r="A21" s="130" t="s">
        <v>178</v>
      </c>
      <c r="B21" s="132">
        <v>95.0</v>
      </c>
      <c r="C21" s="132">
        <v>314.0</v>
      </c>
      <c r="D21" s="132">
        <v>197.0</v>
      </c>
      <c r="E21" s="132">
        <v>356.0</v>
      </c>
      <c r="F21" s="132">
        <v>94.0</v>
      </c>
      <c r="G21" s="132">
        <v>455.0</v>
      </c>
      <c r="H21" s="133">
        <v>1030.0</v>
      </c>
      <c r="I21" s="132">
        <v>324.0</v>
      </c>
      <c r="J21" s="132">
        <v>157.0</v>
      </c>
      <c r="K21" s="132">
        <v>658.0</v>
      </c>
      <c r="L21" s="132">
        <v>65.0</v>
      </c>
      <c r="M21" s="132">
        <v>56.0</v>
      </c>
      <c r="N21" s="132">
        <v>85.0</v>
      </c>
      <c r="O21" s="132">
        <v>103.0</v>
      </c>
      <c r="P21" s="132">
        <v>47.0</v>
      </c>
      <c r="Q21" s="132">
        <v>365.0</v>
      </c>
      <c r="R21" s="132">
        <v>221.0</v>
      </c>
      <c r="S21" s="132">
        <v>27.0</v>
      </c>
      <c r="T21" s="132">
        <v>200.0</v>
      </c>
      <c r="U21" s="132">
        <v>127.0</v>
      </c>
      <c r="V21" s="132">
        <v>30.0</v>
      </c>
      <c r="W21" s="132">
        <v>218.0</v>
      </c>
      <c r="X21" s="132">
        <v>318.0</v>
      </c>
      <c r="Y21" s="132">
        <v>444.0</v>
      </c>
      <c r="Z21" s="132">
        <v>160.0</v>
      </c>
      <c r="AA21" s="133">
        <v>1081.0</v>
      </c>
      <c r="AB21" s="132">
        <v>150.0</v>
      </c>
      <c r="AC21" s="133">
        <v>3119.0</v>
      </c>
      <c r="AD21" s="132">
        <v>71.0</v>
      </c>
      <c r="AE21" s="132">
        <v>132.0</v>
      </c>
      <c r="AF21" s="132">
        <v>207.0</v>
      </c>
      <c r="AG21" s="132">
        <v>268.0</v>
      </c>
      <c r="AH21" s="132">
        <v>155.0</v>
      </c>
      <c r="AI21" s="132">
        <v>194.0</v>
      </c>
      <c r="AJ21" s="133">
        <v>1005.0</v>
      </c>
      <c r="AK21" s="132">
        <v>65.0</v>
      </c>
      <c r="AL21" s="132">
        <v>352.0</v>
      </c>
      <c r="AM21" s="132">
        <v>237.0</v>
      </c>
      <c r="AN21" s="132">
        <v>560.0</v>
      </c>
      <c r="AO21" s="132">
        <v>165.0</v>
      </c>
      <c r="AP21" s="134">
        <v>13907.0</v>
      </c>
    </row>
    <row r="22">
      <c r="A22" s="130" t="s">
        <v>179</v>
      </c>
      <c r="B22" s="132">
        <v>135.0</v>
      </c>
      <c r="C22" s="132">
        <v>236.0</v>
      </c>
      <c r="D22" s="132">
        <v>221.0</v>
      </c>
      <c r="E22" s="132">
        <v>339.0</v>
      </c>
      <c r="F22" s="132">
        <v>95.0</v>
      </c>
      <c r="G22" s="132">
        <v>540.0</v>
      </c>
      <c r="H22" s="133">
        <v>1125.0</v>
      </c>
      <c r="I22" s="132">
        <v>371.0</v>
      </c>
      <c r="J22" s="132">
        <v>231.0</v>
      </c>
      <c r="K22" s="132">
        <v>867.0</v>
      </c>
      <c r="L22" s="132">
        <v>97.0</v>
      </c>
      <c r="M22" s="132">
        <v>59.0</v>
      </c>
      <c r="N22" s="132">
        <v>101.0</v>
      </c>
      <c r="O22" s="132">
        <v>78.0</v>
      </c>
      <c r="P22" s="132">
        <v>71.0</v>
      </c>
      <c r="Q22" s="132">
        <v>427.0</v>
      </c>
      <c r="R22" s="132">
        <v>328.0</v>
      </c>
      <c r="S22" s="132">
        <v>32.0</v>
      </c>
      <c r="T22" s="132">
        <v>309.0</v>
      </c>
      <c r="U22" s="132">
        <v>137.0</v>
      </c>
      <c r="V22" s="132">
        <v>11.0</v>
      </c>
      <c r="W22" s="132">
        <v>359.0</v>
      </c>
      <c r="X22" s="132">
        <v>364.0</v>
      </c>
      <c r="Y22" s="132">
        <v>557.0</v>
      </c>
      <c r="Z22" s="132">
        <v>166.0</v>
      </c>
      <c r="AA22" s="133">
        <v>1244.0</v>
      </c>
      <c r="AB22" s="132">
        <v>189.0</v>
      </c>
      <c r="AC22" s="133">
        <v>3558.0</v>
      </c>
      <c r="AD22" s="132">
        <v>85.0</v>
      </c>
      <c r="AE22" s="132">
        <v>138.0</v>
      </c>
      <c r="AF22" s="132">
        <v>260.0</v>
      </c>
      <c r="AG22" s="132">
        <v>334.0</v>
      </c>
      <c r="AH22" s="132">
        <v>170.0</v>
      </c>
      <c r="AI22" s="132">
        <v>147.0</v>
      </c>
      <c r="AJ22" s="133">
        <v>1129.0</v>
      </c>
      <c r="AK22" s="132">
        <v>52.0</v>
      </c>
      <c r="AL22" s="132">
        <v>442.0</v>
      </c>
      <c r="AM22" s="132">
        <v>168.0</v>
      </c>
      <c r="AN22" s="132">
        <v>587.0</v>
      </c>
      <c r="AO22" s="132">
        <v>147.0</v>
      </c>
      <c r="AP22" s="134">
        <v>15906.0</v>
      </c>
    </row>
    <row r="23">
      <c r="A23" s="130" t="s">
        <v>180</v>
      </c>
      <c r="B23" s="132">
        <v>159.0</v>
      </c>
      <c r="C23" s="132">
        <v>292.0</v>
      </c>
      <c r="D23" s="132">
        <v>139.0</v>
      </c>
      <c r="E23" s="132">
        <v>280.0</v>
      </c>
      <c r="F23" s="132">
        <v>81.0</v>
      </c>
      <c r="G23" s="132">
        <v>366.0</v>
      </c>
      <c r="H23" s="132">
        <v>986.0</v>
      </c>
      <c r="I23" s="132">
        <v>449.0</v>
      </c>
      <c r="J23" s="132">
        <v>252.0</v>
      </c>
      <c r="K23" s="132">
        <v>640.0</v>
      </c>
      <c r="L23" s="132">
        <v>56.0</v>
      </c>
      <c r="M23" s="132">
        <v>53.0</v>
      </c>
      <c r="N23" s="132">
        <v>82.0</v>
      </c>
      <c r="O23" s="132">
        <v>45.0</v>
      </c>
      <c r="P23" s="132">
        <v>82.0</v>
      </c>
      <c r="Q23" s="132">
        <v>407.0</v>
      </c>
      <c r="R23" s="132">
        <v>337.0</v>
      </c>
      <c r="S23" s="132">
        <v>36.0</v>
      </c>
      <c r="T23" s="132">
        <v>254.0</v>
      </c>
      <c r="U23" s="132">
        <v>123.0</v>
      </c>
      <c r="V23" s="132">
        <v>6.0</v>
      </c>
      <c r="W23" s="132">
        <v>429.0</v>
      </c>
      <c r="X23" s="132">
        <v>266.0</v>
      </c>
      <c r="Y23" s="132">
        <v>491.0</v>
      </c>
      <c r="Z23" s="132">
        <v>140.0</v>
      </c>
      <c r="AA23" s="133">
        <v>1118.0</v>
      </c>
      <c r="AB23" s="132">
        <v>188.0</v>
      </c>
      <c r="AC23" s="133">
        <v>3356.0</v>
      </c>
      <c r="AD23" s="132">
        <v>37.0</v>
      </c>
      <c r="AE23" s="132">
        <v>112.0</v>
      </c>
      <c r="AF23" s="132">
        <v>237.0</v>
      </c>
      <c r="AG23" s="132">
        <v>389.0</v>
      </c>
      <c r="AH23" s="132">
        <v>176.0</v>
      </c>
      <c r="AI23" s="132">
        <v>146.0</v>
      </c>
      <c r="AJ23" s="132">
        <v>941.0</v>
      </c>
      <c r="AK23" s="132">
        <v>46.0</v>
      </c>
      <c r="AL23" s="132">
        <v>295.0</v>
      </c>
      <c r="AM23" s="132">
        <v>120.0</v>
      </c>
      <c r="AN23" s="132">
        <v>512.0</v>
      </c>
      <c r="AO23" s="132">
        <v>229.0</v>
      </c>
      <c r="AP23" s="134">
        <v>14353.0</v>
      </c>
    </row>
    <row r="24">
      <c r="A24" s="130" t="s">
        <v>181</v>
      </c>
      <c r="B24" s="132">
        <v>182.0</v>
      </c>
      <c r="C24" s="132">
        <v>231.0</v>
      </c>
      <c r="D24" s="132">
        <v>149.0</v>
      </c>
      <c r="E24" s="132">
        <v>302.0</v>
      </c>
      <c r="F24" s="132">
        <v>95.0</v>
      </c>
      <c r="G24" s="132">
        <v>363.0</v>
      </c>
      <c r="H24" s="132">
        <v>926.0</v>
      </c>
      <c r="I24" s="132">
        <v>320.0</v>
      </c>
      <c r="J24" s="132">
        <v>285.0</v>
      </c>
      <c r="K24" s="132">
        <v>575.0</v>
      </c>
      <c r="L24" s="132">
        <v>61.0</v>
      </c>
      <c r="M24" s="132">
        <v>54.0</v>
      </c>
      <c r="N24" s="132">
        <v>84.0</v>
      </c>
      <c r="O24" s="132">
        <v>78.0</v>
      </c>
      <c r="P24" s="132">
        <v>72.0</v>
      </c>
      <c r="Q24" s="132">
        <v>398.0</v>
      </c>
      <c r="R24" s="132">
        <v>207.0</v>
      </c>
      <c r="S24" s="132">
        <v>28.0</v>
      </c>
      <c r="T24" s="132">
        <v>307.0</v>
      </c>
      <c r="U24" s="132">
        <v>158.0</v>
      </c>
      <c r="V24" s="132">
        <v>8.0</v>
      </c>
      <c r="W24" s="132">
        <v>439.0</v>
      </c>
      <c r="X24" s="132">
        <v>420.0</v>
      </c>
      <c r="Y24" s="132">
        <v>452.0</v>
      </c>
      <c r="Z24" s="132">
        <v>142.0</v>
      </c>
      <c r="AA24" s="132">
        <v>814.0</v>
      </c>
      <c r="AB24" s="132">
        <v>220.0</v>
      </c>
      <c r="AC24" s="133">
        <v>3244.0</v>
      </c>
      <c r="AD24" s="132">
        <v>63.0</v>
      </c>
      <c r="AE24" s="132">
        <v>132.0</v>
      </c>
      <c r="AF24" s="132">
        <v>205.0</v>
      </c>
      <c r="AG24" s="132">
        <v>448.0</v>
      </c>
      <c r="AH24" s="132">
        <v>112.0</v>
      </c>
      <c r="AI24" s="132">
        <v>159.0</v>
      </c>
      <c r="AJ24" s="132">
        <v>859.0</v>
      </c>
      <c r="AK24" s="132">
        <v>48.0</v>
      </c>
      <c r="AL24" s="132">
        <v>374.0</v>
      </c>
      <c r="AM24" s="132">
        <v>244.0</v>
      </c>
      <c r="AN24" s="132">
        <v>442.0</v>
      </c>
      <c r="AO24" s="132">
        <v>213.0</v>
      </c>
      <c r="AP24" s="134">
        <v>13913.0</v>
      </c>
    </row>
    <row r="25">
      <c r="A25" s="130" t="s">
        <v>182</v>
      </c>
      <c r="B25" s="132">
        <v>194.0</v>
      </c>
      <c r="C25" s="132">
        <v>258.0</v>
      </c>
      <c r="D25" s="132">
        <v>171.0</v>
      </c>
      <c r="E25" s="132">
        <v>277.0</v>
      </c>
      <c r="F25" s="132">
        <v>129.0</v>
      </c>
      <c r="G25" s="132">
        <v>487.0</v>
      </c>
      <c r="H25" s="133">
        <v>1070.0</v>
      </c>
      <c r="I25" s="132">
        <v>457.0</v>
      </c>
      <c r="J25" s="132">
        <v>326.0</v>
      </c>
      <c r="K25" s="132">
        <v>736.0</v>
      </c>
      <c r="L25" s="132">
        <v>59.0</v>
      </c>
      <c r="M25" s="132">
        <v>51.0</v>
      </c>
      <c r="N25" s="132">
        <v>96.0</v>
      </c>
      <c r="O25" s="132">
        <v>82.0</v>
      </c>
      <c r="P25" s="132">
        <v>87.0</v>
      </c>
      <c r="Q25" s="132">
        <v>424.0</v>
      </c>
      <c r="R25" s="132">
        <v>310.0</v>
      </c>
      <c r="S25" s="132">
        <v>31.0</v>
      </c>
      <c r="T25" s="132">
        <v>242.0</v>
      </c>
      <c r="U25" s="132">
        <v>174.0</v>
      </c>
      <c r="V25" s="132">
        <v>19.0</v>
      </c>
      <c r="W25" s="132">
        <v>414.0</v>
      </c>
      <c r="X25" s="132">
        <v>405.0</v>
      </c>
      <c r="Y25" s="132">
        <v>534.0</v>
      </c>
      <c r="Z25" s="132">
        <v>155.0</v>
      </c>
      <c r="AA25" s="133">
        <v>1066.0</v>
      </c>
      <c r="AB25" s="132">
        <v>192.0</v>
      </c>
      <c r="AC25" s="133">
        <v>3583.0</v>
      </c>
      <c r="AD25" s="132">
        <v>55.0</v>
      </c>
      <c r="AE25" s="132">
        <v>187.0</v>
      </c>
      <c r="AF25" s="132">
        <v>295.0</v>
      </c>
      <c r="AG25" s="132">
        <v>485.0</v>
      </c>
      <c r="AH25" s="132">
        <v>155.0</v>
      </c>
      <c r="AI25" s="132">
        <v>139.0</v>
      </c>
      <c r="AJ25" s="133">
        <v>1122.0</v>
      </c>
      <c r="AK25" s="132">
        <v>94.0</v>
      </c>
      <c r="AL25" s="132">
        <v>372.0</v>
      </c>
      <c r="AM25" s="132">
        <v>319.0</v>
      </c>
      <c r="AN25" s="132">
        <v>617.0</v>
      </c>
      <c r="AO25" s="132">
        <v>188.0</v>
      </c>
      <c r="AP25" s="134">
        <v>16057.0</v>
      </c>
    </row>
    <row r="26">
      <c r="A26" s="130" t="s">
        <v>183</v>
      </c>
      <c r="B26" s="132">
        <v>212.0</v>
      </c>
      <c r="C26" s="132">
        <v>323.0</v>
      </c>
      <c r="D26" s="132">
        <v>163.0</v>
      </c>
      <c r="E26" s="132">
        <v>252.0</v>
      </c>
      <c r="F26" s="132">
        <v>107.0</v>
      </c>
      <c r="G26" s="132">
        <v>430.0</v>
      </c>
      <c r="H26" s="132">
        <v>880.0</v>
      </c>
      <c r="I26" s="132">
        <v>309.0</v>
      </c>
      <c r="J26" s="132">
        <v>382.0</v>
      </c>
      <c r="K26" s="132">
        <v>634.0</v>
      </c>
      <c r="L26" s="132">
        <v>59.0</v>
      </c>
      <c r="M26" s="132">
        <v>44.0</v>
      </c>
      <c r="N26" s="132">
        <v>84.0</v>
      </c>
      <c r="O26" s="132">
        <v>80.0</v>
      </c>
      <c r="P26" s="132">
        <v>86.0</v>
      </c>
      <c r="Q26" s="132">
        <v>303.0</v>
      </c>
      <c r="R26" s="132">
        <v>207.0</v>
      </c>
      <c r="S26" s="132">
        <v>22.0</v>
      </c>
      <c r="T26" s="132">
        <v>261.0</v>
      </c>
      <c r="U26" s="132">
        <v>190.0</v>
      </c>
      <c r="V26" s="132">
        <v>21.0</v>
      </c>
      <c r="W26" s="132">
        <v>463.0</v>
      </c>
      <c r="X26" s="132">
        <v>369.0</v>
      </c>
      <c r="Y26" s="132">
        <v>384.0</v>
      </c>
      <c r="Z26" s="132">
        <v>180.0</v>
      </c>
      <c r="AA26" s="132">
        <v>861.0</v>
      </c>
      <c r="AB26" s="132">
        <v>160.0</v>
      </c>
      <c r="AC26" s="133">
        <v>2972.0</v>
      </c>
      <c r="AD26" s="132">
        <v>49.0</v>
      </c>
      <c r="AE26" s="132">
        <v>150.0</v>
      </c>
      <c r="AF26" s="132">
        <v>208.0</v>
      </c>
      <c r="AG26" s="132">
        <v>368.0</v>
      </c>
      <c r="AH26" s="132">
        <v>87.0</v>
      </c>
      <c r="AI26" s="132">
        <v>145.0</v>
      </c>
      <c r="AJ26" s="132">
        <v>967.0</v>
      </c>
      <c r="AK26" s="132">
        <v>63.0</v>
      </c>
      <c r="AL26" s="132">
        <v>395.0</v>
      </c>
      <c r="AM26" s="132">
        <v>286.0</v>
      </c>
      <c r="AN26" s="132">
        <v>512.0</v>
      </c>
      <c r="AO26" s="132">
        <v>197.0</v>
      </c>
      <c r="AP26" s="134">
        <v>13865.0</v>
      </c>
    </row>
    <row r="27">
      <c r="A27" s="130" t="s">
        <v>184</v>
      </c>
      <c r="B27" s="132">
        <v>265.0</v>
      </c>
      <c r="C27" s="132">
        <v>412.0</v>
      </c>
      <c r="D27" s="132">
        <v>184.0</v>
      </c>
      <c r="E27" s="132">
        <v>327.0</v>
      </c>
      <c r="F27" s="132">
        <v>156.0</v>
      </c>
      <c r="G27" s="132">
        <v>599.0</v>
      </c>
      <c r="H27" s="133">
        <v>1271.0</v>
      </c>
      <c r="I27" s="132">
        <v>484.0</v>
      </c>
      <c r="J27" s="132">
        <v>433.0</v>
      </c>
      <c r="K27" s="132">
        <v>915.0</v>
      </c>
      <c r="L27" s="132">
        <v>78.0</v>
      </c>
      <c r="M27" s="132">
        <v>77.0</v>
      </c>
      <c r="N27" s="132">
        <v>108.0</v>
      </c>
      <c r="O27" s="132">
        <v>105.0</v>
      </c>
      <c r="P27" s="132">
        <v>119.0</v>
      </c>
      <c r="Q27" s="132">
        <v>430.0</v>
      </c>
      <c r="R27" s="132">
        <v>312.0</v>
      </c>
      <c r="S27" s="132">
        <v>47.0</v>
      </c>
      <c r="T27" s="132">
        <v>375.0</v>
      </c>
      <c r="U27" s="132">
        <v>236.0</v>
      </c>
      <c r="V27" s="132">
        <v>31.0</v>
      </c>
      <c r="W27" s="132">
        <v>644.0</v>
      </c>
      <c r="X27" s="132">
        <v>484.0</v>
      </c>
      <c r="Y27" s="132">
        <v>576.0</v>
      </c>
      <c r="Z27" s="132">
        <v>147.0</v>
      </c>
      <c r="AA27" s="133">
        <v>1168.0</v>
      </c>
      <c r="AB27" s="132">
        <v>272.0</v>
      </c>
      <c r="AC27" s="133">
        <v>4001.0</v>
      </c>
      <c r="AD27" s="132">
        <v>59.0</v>
      </c>
      <c r="AE27" s="132">
        <v>191.0</v>
      </c>
      <c r="AF27" s="132">
        <v>344.0</v>
      </c>
      <c r="AG27" s="132">
        <v>597.0</v>
      </c>
      <c r="AH27" s="132">
        <v>139.0</v>
      </c>
      <c r="AI27" s="132">
        <v>175.0</v>
      </c>
      <c r="AJ27" s="133">
        <v>1206.0</v>
      </c>
      <c r="AK27" s="132">
        <v>102.0</v>
      </c>
      <c r="AL27" s="132">
        <v>494.0</v>
      </c>
      <c r="AM27" s="132">
        <v>274.0</v>
      </c>
      <c r="AN27" s="132">
        <v>581.0</v>
      </c>
      <c r="AO27" s="132">
        <v>402.0</v>
      </c>
      <c r="AP27" s="134">
        <v>18820.0</v>
      </c>
    </row>
    <row r="28">
      <c r="A28" s="130" t="s">
        <v>185</v>
      </c>
      <c r="B28" s="132">
        <v>280.0</v>
      </c>
      <c r="C28" s="132">
        <v>355.0</v>
      </c>
      <c r="D28" s="132">
        <v>173.0</v>
      </c>
      <c r="E28" s="132">
        <v>348.0</v>
      </c>
      <c r="F28" s="132">
        <v>171.0</v>
      </c>
      <c r="G28" s="132">
        <v>567.0</v>
      </c>
      <c r="H28" s="133">
        <v>1126.0</v>
      </c>
      <c r="I28" s="132">
        <v>480.0</v>
      </c>
      <c r="J28" s="132">
        <v>406.0</v>
      </c>
      <c r="K28" s="132">
        <v>745.0</v>
      </c>
      <c r="L28" s="132">
        <v>79.0</v>
      </c>
      <c r="M28" s="132">
        <v>75.0</v>
      </c>
      <c r="N28" s="132">
        <v>98.0</v>
      </c>
      <c r="O28" s="132">
        <v>94.0</v>
      </c>
      <c r="P28" s="132">
        <v>108.0</v>
      </c>
      <c r="Q28" s="132">
        <v>396.0</v>
      </c>
      <c r="R28" s="132">
        <v>294.0</v>
      </c>
      <c r="S28" s="132">
        <v>51.0</v>
      </c>
      <c r="T28" s="132">
        <v>346.0</v>
      </c>
      <c r="U28" s="132">
        <v>186.0</v>
      </c>
      <c r="V28" s="132">
        <v>40.0</v>
      </c>
      <c r="W28" s="132">
        <v>437.0</v>
      </c>
      <c r="X28" s="132">
        <v>465.0</v>
      </c>
      <c r="Y28" s="132">
        <v>527.0</v>
      </c>
      <c r="Z28" s="132">
        <v>132.0</v>
      </c>
      <c r="AA28" s="133">
        <v>1301.0</v>
      </c>
      <c r="AB28" s="132">
        <v>217.0</v>
      </c>
      <c r="AC28" s="133">
        <v>3550.0</v>
      </c>
      <c r="AD28" s="132">
        <v>73.0</v>
      </c>
      <c r="AE28" s="132">
        <v>177.0</v>
      </c>
      <c r="AF28" s="132">
        <v>312.0</v>
      </c>
      <c r="AG28" s="132">
        <v>528.0</v>
      </c>
      <c r="AH28" s="132">
        <v>157.0</v>
      </c>
      <c r="AI28" s="132">
        <v>179.0</v>
      </c>
      <c r="AJ28" s="133">
        <v>1164.0</v>
      </c>
      <c r="AK28" s="132">
        <v>79.0</v>
      </c>
      <c r="AL28" s="132">
        <v>468.0</v>
      </c>
      <c r="AM28" s="132">
        <v>306.0</v>
      </c>
      <c r="AN28" s="132">
        <v>551.0</v>
      </c>
      <c r="AO28" s="132">
        <v>571.0</v>
      </c>
      <c r="AP28" s="134">
        <v>17612.0</v>
      </c>
    </row>
    <row r="29">
      <c r="A29" s="135" t="s">
        <v>186</v>
      </c>
      <c r="B29" s="132">
        <v>280.0</v>
      </c>
      <c r="C29" s="132">
        <v>461.0</v>
      </c>
      <c r="D29" s="132">
        <v>197.0</v>
      </c>
      <c r="E29" s="132">
        <v>456.0</v>
      </c>
      <c r="F29" s="132">
        <v>151.0</v>
      </c>
      <c r="G29" s="132">
        <v>846.0</v>
      </c>
      <c r="H29" s="133">
        <v>1498.0</v>
      </c>
      <c r="I29" s="132">
        <v>498.0</v>
      </c>
      <c r="J29" s="132">
        <v>558.0</v>
      </c>
      <c r="K29" s="133">
        <v>1055.0</v>
      </c>
      <c r="L29" s="132">
        <v>106.0</v>
      </c>
      <c r="M29" s="132">
        <v>88.0</v>
      </c>
      <c r="N29" s="132">
        <v>129.0</v>
      </c>
      <c r="O29" s="132">
        <v>121.0</v>
      </c>
      <c r="P29" s="132">
        <v>114.0</v>
      </c>
      <c r="Q29" s="132">
        <v>525.0</v>
      </c>
      <c r="R29" s="132">
        <v>335.0</v>
      </c>
      <c r="S29" s="132">
        <v>54.0</v>
      </c>
      <c r="T29" s="132">
        <v>404.0</v>
      </c>
      <c r="U29" s="132">
        <v>269.0</v>
      </c>
      <c r="V29" s="132">
        <v>49.0</v>
      </c>
      <c r="W29" s="132">
        <v>637.0</v>
      </c>
      <c r="X29" s="132">
        <v>591.0</v>
      </c>
      <c r="Y29" s="132">
        <v>647.0</v>
      </c>
      <c r="Z29" s="132">
        <v>157.0</v>
      </c>
      <c r="AA29" s="133">
        <v>1626.0</v>
      </c>
      <c r="AB29" s="132">
        <v>211.0</v>
      </c>
      <c r="AC29" s="133">
        <v>4532.0</v>
      </c>
      <c r="AD29" s="132">
        <v>68.0</v>
      </c>
      <c r="AE29" s="132">
        <v>219.0</v>
      </c>
      <c r="AF29" s="132">
        <v>354.0</v>
      </c>
      <c r="AG29" s="132">
        <v>681.0</v>
      </c>
      <c r="AH29" s="132">
        <v>181.0</v>
      </c>
      <c r="AI29" s="132">
        <v>238.0</v>
      </c>
      <c r="AJ29" s="133">
        <v>1499.0</v>
      </c>
      <c r="AK29" s="132">
        <v>129.0</v>
      </c>
      <c r="AL29" s="132">
        <v>601.0</v>
      </c>
      <c r="AM29" s="132">
        <v>395.0</v>
      </c>
      <c r="AN29" s="132">
        <v>741.0</v>
      </c>
      <c r="AO29" s="133">
        <v>1129.0</v>
      </c>
      <c r="AP29" s="134">
        <v>22830.0</v>
      </c>
    </row>
    <row r="30">
      <c r="A30" s="136" t="s">
        <v>187</v>
      </c>
      <c r="B30" s="134">
        <v>342.0</v>
      </c>
      <c r="C30" s="134">
        <v>431.0</v>
      </c>
      <c r="D30" s="134">
        <v>200.0</v>
      </c>
      <c r="E30" s="134">
        <v>540.0</v>
      </c>
      <c r="F30" s="134">
        <v>145.0</v>
      </c>
      <c r="G30" s="134">
        <v>869.0</v>
      </c>
      <c r="H30" s="134">
        <v>1442.0</v>
      </c>
      <c r="I30" s="134">
        <v>597.0</v>
      </c>
      <c r="J30" s="134">
        <v>324.0</v>
      </c>
      <c r="K30" s="134">
        <v>1133.0</v>
      </c>
      <c r="L30" s="134">
        <v>84.0</v>
      </c>
      <c r="M30" s="131">
        <v>68.0</v>
      </c>
      <c r="N30" s="134">
        <v>88.0</v>
      </c>
      <c r="O30" s="134">
        <v>120.0</v>
      </c>
      <c r="P30" s="134">
        <v>95.0</v>
      </c>
      <c r="Q30" s="134">
        <v>430.0</v>
      </c>
      <c r="R30" s="134">
        <v>321.0</v>
      </c>
      <c r="S30" s="131">
        <v>47.0</v>
      </c>
      <c r="T30" s="134">
        <v>329.0</v>
      </c>
      <c r="U30" s="134">
        <v>216.0</v>
      </c>
      <c r="V30" s="131">
        <v>39.0</v>
      </c>
      <c r="W30" s="134">
        <v>535.0</v>
      </c>
      <c r="X30" s="134">
        <v>451.0</v>
      </c>
      <c r="Y30" s="134">
        <v>634.0</v>
      </c>
      <c r="Z30" s="134">
        <v>161.0</v>
      </c>
      <c r="AA30" s="134">
        <v>1843.0</v>
      </c>
      <c r="AB30" s="134">
        <v>249.0</v>
      </c>
      <c r="AC30" s="134">
        <v>4638.0</v>
      </c>
      <c r="AD30" s="131">
        <v>94.0</v>
      </c>
      <c r="AE30" s="134">
        <v>222.0</v>
      </c>
      <c r="AF30" s="134">
        <v>325.0</v>
      </c>
      <c r="AG30" s="134">
        <v>537.0</v>
      </c>
      <c r="AH30" s="134">
        <v>197.0</v>
      </c>
      <c r="AI30" s="134">
        <v>235.0</v>
      </c>
      <c r="AJ30" s="134">
        <v>1721.0</v>
      </c>
      <c r="AK30" s="134">
        <v>127.0</v>
      </c>
      <c r="AL30" s="134">
        <v>614.0</v>
      </c>
      <c r="AM30" s="134">
        <v>351.0</v>
      </c>
      <c r="AN30" s="134">
        <v>885.0</v>
      </c>
      <c r="AO30" s="137">
        <v>1801.0</v>
      </c>
      <c r="AP30" s="134">
        <v>23480.0</v>
      </c>
    </row>
    <row r="31">
      <c r="A31" s="105" t="s">
        <v>188</v>
      </c>
      <c r="B31" s="134">
        <v>384.0</v>
      </c>
      <c r="C31" s="134">
        <v>1070.0</v>
      </c>
      <c r="D31" s="134">
        <v>226.0</v>
      </c>
      <c r="E31" s="134">
        <v>549.0</v>
      </c>
      <c r="F31" s="134">
        <v>158.0</v>
      </c>
      <c r="G31" s="134">
        <v>757.0</v>
      </c>
      <c r="H31" s="134">
        <v>1555.0</v>
      </c>
      <c r="I31" s="134">
        <v>626.0</v>
      </c>
      <c r="J31" s="134">
        <v>320.0</v>
      </c>
      <c r="K31" s="134">
        <v>1105.0</v>
      </c>
      <c r="L31" s="134">
        <v>83.0</v>
      </c>
      <c r="M31" s="131">
        <v>83.0</v>
      </c>
      <c r="N31" s="134">
        <v>112.0</v>
      </c>
      <c r="O31" s="134">
        <v>98.0</v>
      </c>
      <c r="P31" s="134">
        <v>96.0</v>
      </c>
      <c r="Q31" s="134">
        <v>509.0</v>
      </c>
      <c r="R31" s="134">
        <v>394.0</v>
      </c>
      <c r="S31" s="131">
        <v>54.0</v>
      </c>
      <c r="T31" s="134">
        <v>517.0</v>
      </c>
      <c r="U31" s="134">
        <v>217.0</v>
      </c>
      <c r="V31" s="131">
        <v>32.0</v>
      </c>
      <c r="W31" s="134">
        <v>652.0</v>
      </c>
      <c r="X31" s="134">
        <v>474.0</v>
      </c>
      <c r="Y31" s="134">
        <v>641.0</v>
      </c>
      <c r="Z31" s="134">
        <v>173.0</v>
      </c>
      <c r="AA31" s="134">
        <v>1677.0</v>
      </c>
      <c r="AB31" s="134">
        <v>265.0</v>
      </c>
      <c r="AC31" s="134">
        <v>5107.0</v>
      </c>
      <c r="AD31" s="131">
        <v>74.0</v>
      </c>
      <c r="AE31" s="134">
        <v>208.0</v>
      </c>
      <c r="AF31" s="134">
        <v>326.0</v>
      </c>
      <c r="AG31" s="134">
        <v>555.0</v>
      </c>
      <c r="AH31" s="134">
        <v>257.0</v>
      </c>
      <c r="AI31" s="134">
        <v>230.0</v>
      </c>
      <c r="AJ31" s="134">
        <v>1449.0</v>
      </c>
      <c r="AK31" s="134">
        <v>91.0</v>
      </c>
      <c r="AL31" s="134">
        <v>528.0</v>
      </c>
      <c r="AM31" s="134">
        <v>391.0</v>
      </c>
      <c r="AN31" s="134">
        <v>777.0</v>
      </c>
      <c r="AO31" s="137">
        <v>2503.0</v>
      </c>
      <c r="AP31" s="134">
        <v>25323.0</v>
      </c>
    </row>
    <row r="32">
      <c r="A32" s="105" t="s">
        <v>189</v>
      </c>
      <c r="B32" s="134">
        <v>417.0</v>
      </c>
      <c r="C32" s="134">
        <v>712.0</v>
      </c>
      <c r="D32" s="134">
        <v>302.0</v>
      </c>
      <c r="E32" s="134">
        <v>540.0</v>
      </c>
      <c r="F32" s="134">
        <v>147.0</v>
      </c>
      <c r="G32" s="134">
        <v>555.0</v>
      </c>
      <c r="H32" s="134">
        <v>1438.0</v>
      </c>
      <c r="I32" s="134">
        <v>743.0</v>
      </c>
      <c r="J32" s="134">
        <v>367.0</v>
      </c>
      <c r="K32" s="134">
        <v>1019.0</v>
      </c>
      <c r="L32" s="134">
        <v>86.0</v>
      </c>
      <c r="M32" s="131">
        <v>70.0</v>
      </c>
      <c r="N32" s="134">
        <v>116.0</v>
      </c>
      <c r="O32" s="134">
        <v>127.0</v>
      </c>
      <c r="P32" s="134">
        <v>122.0</v>
      </c>
      <c r="Q32" s="134">
        <v>489.0</v>
      </c>
      <c r="R32" s="134">
        <v>420.0</v>
      </c>
      <c r="S32" s="131">
        <v>58.0</v>
      </c>
      <c r="T32" s="134">
        <v>369.0</v>
      </c>
      <c r="U32" s="134">
        <v>253.0</v>
      </c>
      <c r="V32" s="131">
        <v>56.0</v>
      </c>
      <c r="W32" s="134">
        <v>551.0</v>
      </c>
      <c r="X32" s="134">
        <v>473.0</v>
      </c>
      <c r="Y32" s="134">
        <v>702.0</v>
      </c>
      <c r="Z32" s="134">
        <v>176.0</v>
      </c>
      <c r="AA32" s="134">
        <v>1683.0</v>
      </c>
      <c r="AB32" s="134">
        <v>311.0</v>
      </c>
      <c r="AC32" s="134">
        <v>4724.0</v>
      </c>
      <c r="AD32" s="131">
        <v>77.0</v>
      </c>
      <c r="AE32" s="134">
        <v>179.0</v>
      </c>
      <c r="AF32" s="134">
        <v>414.0</v>
      </c>
      <c r="AG32" s="134">
        <v>535.0</v>
      </c>
      <c r="AH32" s="134">
        <v>191.0</v>
      </c>
      <c r="AI32" s="134">
        <v>220.0</v>
      </c>
      <c r="AJ32" s="134">
        <v>1402.0</v>
      </c>
      <c r="AK32" s="134">
        <v>84.0</v>
      </c>
      <c r="AL32" s="134">
        <v>537.0</v>
      </c>
      <c r="AM32" s="134">
        <v>354.0</v>
      </c>
      <c r="AN32" s="134">
        <v>921.0</v>
      </c>
      <c r="AO32" s="137">
        <v>2254.0</v>
      </c>
      <c r="AP32" s="134">
        <v>24194.0</v>
      </c>
    </row>
    <row r="33">
      <c r="A33" s="105" t="s">
        <v>190</v>
      </c>
      <c r="B33" s="134">
        <v>446.0</v>
      </c>
      <c r="C33" s="134">
        <v>3650.0</v>
      </c>
      <c r="D33" s="134">
        <v>364.0</v>
      </c>
      <c r="E33" s="134">
        <v>441.0</v>
      </c>
      <c r="F33" s="134">
        <v>144.0</v>
      </c>
      <c r="G33" s="134">
        <v>568.0</v>
      </c>
      <c r="H33" s="134">
        <v>1397.0</v>
      </c>
      <c r="I33" s="134">
        <v>837.0</v>
      </c>
      <c r="J33" s="134">
        <v>410.0</v>
      </c>
      <c r="K33" s="134">
        <v>1008.0</v>
      </c>
      <c r="L33" s="134">
        <v>101.0</v>
      </c>
      <c r="M33" s="131">
        <v>85.0</v>
      </c>
      <c r="N33" s="134">
        <v>174.0</v>
      </c>
      <c r="O33" s="134">
        <v>122.0</v>
      </c>
      <c r="P33" s="134">
        <v>119.0</v>
      </c>
      <c r="Q33" s="134">
        <v>465.0</v>
      </c>
      <c r="R33" s="134">
        <v>443.0</v>
      </c>
      <c r="S33" s="131">
        <v>80.0</v>
      </c>
      <c r="T33" s="134">
        <v>392.0</v>
      </c>
      <c r="U33" s="134">
        <v>316.0</v>
      </c>
      <c r="V33" s="131">
        <v>47.0</v>
      </c>
      <c r="W33" s="134">
        <v>535.0</v>
      </c>
      <c r="X33" s="134">
        <v>720.0</v>
      </c>
      <c r="Y33" s="134">
        <v>600.0</v>
      </c>
      <c r="Z33" s="134">
        <v>218.0</v>
      </c>
      <c r="AA33" s="134">
        <v>1623.0</v>
      </c>
      <c r="AB33" s="134">
        <v>288.0</v>
      </c>
      <c r="AC33" s="134">
        <v>5432.0</v>
      </c>
      <c r="AD33" s="131">
        <v>71.0</v>
      </c>
      <c r="AE33" s="134">
        <v>208.0</v>
      </c>
      <c r="AF33" s="134">
        <v>2094.0</v>
      </c>
      <c r="AG33" s="134">
        <v>520.0</v>
      </c>
      <c r="AH33" s="134">
        <v>259.0</v>
      </c>
      <c r="AI33" s="134">
        <v>234.0</v>
      </c>
      <c r="AJ33" s="134">
        <v>1484.0</v>
      </c>
      <c r="AK33" s="134">
        <v>87.0</v>
      </c>
      <c r="AL33" s="134">
        <v>510.0</v>
      </c>
      <c r="AM33" s="134">
        <v>396.0</v>
      </c>
      <c r="AN33" s="134">
        <v>794.0</v>
      </c>
      <c r="AO33" s="137">
        <v>2213.0</v>
      </c>
      <c r="AP33" s="134">
        <v>29895.0</v>
      </c>
    </row>
    <row r="34">
      <c r="A34" s="105" t="s">
        <v>191</v>
      </c>
      <c r="B34" s="134">
        <v>462.0</v>
      </c>
      <c r="C34" s="134">
        <v>6359.0</v>
      </c>
      <c r="D34" s="134">
        <v>263.0</v>
      </c>
      <c r="E34" s="134">
        <v>462.0</v>
      </c>
      <c r="F34" s="134">
        <v>184.0</v>
      </c>
      <c r="G34" s="134">
        <v>699.0</v>
      </c>
      <c r="H34" s="134">
        <v>1588.0</v>
      </c>
      <c r="I34" s="134">
        <v>793.0</v>
      </c>
      <c r="J34" s="134">
        <v>472.0</v>
      </c>
      <c r="K34" s="134">
        <v>1017.0</v>
      </c>
      <c r="L34" s="134">
        <v>86.0</v>
      </c>
      <c r="M34" s="131">
        <v>110.0</v>
      </c>
      <c r="N34" s="134">
        <v>142.0</v>
      </c>
      <c r="O34" s="134">
        <v>132.0</v>
      </c>
      <c r="P34" s="134">
        <v>139.0</v>
      </c>
      <c r="Q34" s="134">
        <v>527.0</v>
      </c>
      <c r="R34" s="134">
        <v>481.0</v>
      </c>
      <c r="S34" s="131">
        <v>60.0</v>
      </c>
      <c r="T34" s="134">
        <v>305.0</v>
      </c>
      <c r="U34" s="134">
        <v>289.0</v>
      </c>
      <c r="V34" s="131">
        <v>44.0</v>
      </c>
      <c r="W34" s="134">
        <v>805.0</v>
      </c>
      <c r="X34" s="134">
        <v>695.0</v>
      </c>
      <c r="Y34" s="134">
        <v>655.0</v>
      </c>
      <c r="Z34" s="134">
        <v>327.0</v>
      </c>
      <c r="AA34" s="134">
        <v>1532.0</v>
      </c>
      <c r="AB34" s="134">
        <v>274.0</v>
      </c>
      <c r="AC34" s="134">
        <v>7187.0</v>
      </c>
      <c r="AD34" s="131">
        <v>66.0</v>
      </c>
      <c r="AE34" s="134">
        <v>246.0</v>
      </c>
      <c r="AF34" s="134">
        <v>4278.0</v>
      </c>
      <c r="AG34" s="134">
        <v>660.0</v>
      </c>
      <c r="AH34" s="134">
        <v>233.0</v>
      </c>
      <c r="AI34" s="134">
        <v>197.0</v>
      </c>
      <c r="AJ34" s="134">
        <v>1547.0</v>
      </c>
      <c r="AK34" s="134">
        <v>107.0</v>
      </c>
      <c r="AL34" s="134">
        <v>546.0</v>
      </c>
      <c r="AM34" s="134">
        <v>374.0</v>
      </c>
      <c r="AN34" s="134">
        <v>868.0</v>
      </c>
      <c r="AO34" s="137">
        <v>2128.0</v>
      </c>
      <c r="AP34" s="134">
        <v>37339.0</v>
      </c>
    </row>
    <row r="35">
      <c r="A35" s="105" t="s">
        <v>192</v>
      </c>
      <c r="B35" s="134">
        <v>573.0</v>
      </c>
      <c r="C35" s="134">
        <v>6995.0</v>
      </c>
      <c r="D35" s="134">
        <v>416.0</v>
      </c>
      <c r="E35" s="134">
        <v>404.0</v>
      </c>
      <c r="F35" s="134">
        <v>169.0</v>
      </c>
      <c r="G35" s="134">
        <v>715.0</v>
      </c>
      <c r="H35" s="134">
        <v>1770.0</v>
      </c>
      <c r="I35" s="134">
        <v>945.0</v>
      </c>
      <c r="J35" s="134">
        <v>536.0</v>
      </c>
      <c r="K35" s="134">
        <v>1137.0</v>
      </c>
      <c r="L35" s="134">
        <v>110.0</v>
      </c>
      <c r="M35" s="131">
        <v>126.0</v>
      </c>
      <c r="N35" s="134">
        <v>170.0</v>
      </c>
      <c r="O35" s="134">
        <v>137.0</v>
      </c>
      <c r="P35" s="134">
        <v>164.0</v>
      </c>
      <c r="Q35" s="134">
        <v>617.0</v>
      </c>
      <c r="R35" s="134">
        <v>559.0</v>
      </c>
      <c r="S35" s="131">
        <v>77.0</v>
      </c>
      <c r="T35" s="134">
        <v>417.0</v>
      </c>
      <c r="U35" s="134">
        <v>308.0</v>
      </c>
      <c r="V35" s="131">
        <v>28.0</v>
      </c>
      <c r="W35" s="134">
        <v>1135.0</v>
      </c>
      <c r="X35" s="134">
        <v>790.0</v>
      </c>
      <c r="Y35" s="134">
        <v>749.0</v>
      </c>
      <c r="Z35" s="134">
        <v>411.0</v>
      </c>
      <c r="AA35" s="134">
        <v>1848.0</v>
      </c>
      <c r="AB35" s="134">
        <v>360.0</v>
      </c>
      <c r="AC35" s="134">
        <v>12393.0</v>
      </c>
      <c r="AD35" s="131">
        <v>78.0</v>
      </c>
      <c r="AE35" s="134">
        <v>288.0</v>
      </c>
      <c r="AF35" s="134">
        <v>3404.0</v>
      </c>
      <c r="AG35" s="134">
        <v>652.0</v>
      </c>
      <c r="AH35" s="134">
        <v>271.0</v>
      </c>
      <c r="AI35" s="134">
        <v>259.0</v>
      </c>
      <c r="AJ35" s="134">
        <v>1554.0</v>
      </c>
      <c r="AK35" s="134">
        <v>137.0</v>
      </c>
      <c r="AL35" s="134">
        <v>507.0</v>
      </c>
      <c r="AM35" s="134">
        <v>367.0</v>
      </c>
      <c r="AN35" s="134">
        <v>1106.0</v>
      </c>
      <c r="AO35" s="137">
        <v>985.0</v>
      </c>
      <c r="AP35" s="134">
        <v>43667.0</v>
      </c>
    </row>
    <row r="36">
      <c r="A36" s="105" t="s">
        <v>193</v>
      </c>
      <c r="B36" s="134">
        <v>454.0</v>
      </c>
      <c r="C36" s="134">
        <v>7493.0</v>
      </c>
      <c r="D36" s="134">
        <v>272.0</v>
      </c>
      <c r="E36" s="134">
        <v>363.0</v>
      </c>
      <c r="F36" s="134">
        <v>141.0</v>
      </c>
      <c r="G36" s="134">
        <v>644.0</v>
      </c>
      <c r="H36" s="134">
        <v>1506.0</v>
      </c>
      <c r="I36" s="134">
        <v>737.0</v>
      </c>
      <c r="J36" s="134">
        <v>400.0</v>
      </c>
      <c r="K36" s="134">
        <v>1077.0</v>
      </c>
      <c r="L36" s="134">
        <v>79.0</v>
      </c>
      <c r="M36" s="131">
        <v>97.0</v>
      </c>
      <c r="N36" s="134">
        <v>174.0</v>
      </c>
      <c r="O36" s="134">
        <v>122.0</v>
      </c>
      <c r="P36" s="134">
        <v>125.0</v>
      </c>
      <c r="Q36" s="134">
        <v>475.0</v>
      </c>
      <c r="R36" s="134">
        <v>465.0</v>
      </c>
      <c r="S36" s="131">
        <v>51.0</v>
      </c>
      <c r="T36" s="134">
        <v>498.0</v>
      </c>
      <c r="U36" s="134">
        <v>262.0</v>
      </c>
      <c r="V36" s="131">
        <v>61.0</v>
      </c>
      <c r="W36" s="134">
        <v>1682.0</v>
      </c>
      <c r="X36" s="134">
        <v>740.0</v>
      </c>
      <c r="Y36" s="134">
        <v>615.0</v>
      </c>
      <c r="Z36" s="134">
        <v>261.0</v>
      </c>
      <c r="AA36" s="134">
        <v>1673.0</v>
      </c>
      <c r="AB36" s="134">
        <v>275.0</v>
      </c>
      <c r="AC36" s="134">
        <v>10192.0</v>
      </c>
      <c r="AD36" s="131">
        <v>71.0</v>
      </c>
      <c r="AE36" s="134">
        <v>234.0</v>
      </c>
      <c r="AF36" s="134">
        <v>3658.0</v>
      </c>
      <c r="AG36" s="134">
        <v>531.0</v>
      </c>
      <c r="AH36" s="134">
        <v>279.0</v>
      </c>
      <c r="AI36" s="134">
        <v>211.0</v>
      </c>
      <c r="AJ36" s="134">
        <v>1411.0</v>
      </c>
      <c r="AK36" s="134">
        <v>105.0</v>
      </c>
      <c r="AL36" s="134">
        <v>461.0</v>
      </c>
      <c r="AM36" s="134">
        <v>330.0</v>
      </c>
      <c r="AN36" s="134">
        <v>626.0</v>
      </c>
      <c r="AO36" s="137">
        <v>1287.0</v>
      </c>
      <c r="AP36" s="134">
        <v>40138.0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202</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203</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204</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44090.0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205</v>
      </c>
      <c r="B6" s="97"/>
      <c r="C6" s="97"/>
      <c r="D6" s="97"/>
      <c r="E6" s="97"/>
      <c r="F6" s="97"/>
      <c r="G6" s="97"/>
      <c r="H6" s="97"/>
      <c r="I6" s="97"/>
      <c r="J6" s="97"/>
      <c r="K6" s="35"/>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125</v>
      </c>
      <c r="B8" s="139" t="s">
        <v>126</v>
      </c>
      <c r="C8" s="139" t="s">
        <v>127</v>
      </c>
      <c r="D8" s="139" t="s">
        <v>128</v>
      </c>
      <c r="E8" s="139" t="s">
        <v>129</v>
      </c>
      <c r="F8" s="139" t="s">
        <v>130</v>
      </c>
      <c r="G8" s="139" t="s">
        <v>131</v>
      </c>
      <c r="H8" s="139" t="s">
        <v>132</v>
      </c>
      <c r="I8" s="139" t="s">
        <v>133</v>
      </c>
      <c r="J8" s="139" t="s">
        <v>134</v>
      </c>
      <c r="K8" s="139" t="s">
        <v>135</v>
      </c>
      <c r="L8" s="139" t="s">
        <v>136</v>
      </c>
      <c r="M8" s="139" t="s">
        <v>137</v>
      </c>
      <c r="N8" s="139" t="s">
        <v>138</v>
      </c>
      <c r="O8" s="139" t="s">
        <v>139</v>
      </c>
      <c r="P8" s="139" t="s">
        <v>140</v>
      </c>
      <c r="Q8" s="139" t="s">
        <v>141</v>
      </c>
      <c r="R8" s="139" t="s">
        <v>142</v>
      </c>
      <c r="S8" s="139" t="s">
        <v>143</v>
      </c>
      <c r="T8" s="139" t="s">
        <v>144</v>
      </c>
      <c r="U8" s="139" t="s">
        <v>145</v>
      </c>
      <c r="V8" s="139" t="s">
        <v>146</v>
      </c>
      <c r="W8" s="139" t="s">
        <v>147</v>
      </c>
      <c r="X8" s="139" t="s">
        <v>148</v>
      </c>
      <c r="Y8" s="139" t="s">
        <v>149</v>
      </c>
      <c r="Z8" s="139" t="s">
        <v>150</v>
      </c>
      <c r="AA8" s="139" t="s">
        <v>151</v>
      </c>
      <c r="AB8" s="139" t="s">
        <v>152</v>
      </c>
      <c r="AC8" s="139" t="s">
        <v>153</v>
      </c>
      <c r="AD8" s="139" t="s">
        <v>154</v>
      </c>
      <c r="AE8" s="139" t="s">
        <v>155</v>
      </c>
      <c r="AF8" s="139" t="s">
        <v>156</v>
      </c>
      <c r="AG8" s="139" t="s">
        <v>157</v>
      </c>
      <c r="AH8" s="139" t="s">
        <v>158</v>
      </c>
      <c r="AI8" s="139" t="s">
        <v>159</v>
      </c>
      <c r="AJ8" s="139" t="s">
        <v>160</v>
      </c>
      <c r="AK8" s="139" t="s">
        <v>161</v>
      </c>
      <c r="AL8" s="139" t="s">
        <v>162</v>
      </c>
      <c r="AM8" s="139" t="s">
        <v>163</v>
      </c>
      <c r="AN8" s="139" t="s">
        <v>164</v>
      </c>
      <c r="AO8" s="139" t="s">
        <v>118</v>
      </c>
    </row>
    <row r="9">
      <c r="A9" s="136" t="s">
        <v>166</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167</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168</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169</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170</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171</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172</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173</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174</v>
      </c>
      <c r="B17" s="140" t="s">
        <v>197</v>
      </c>
      <c r="C17" s="141">
        <v>0.056</v>
      </c>
      <c r="D17" s="141">
        <v>0.052</v>
      </c>
      <c r="E17" s="141">
        <v>0.236</v>
      </c>
      <c r="F17" s="142">
        <v>0.104</v>
      </c>
      <c r="G17" s="141">
        <v>0.043</v>
      </c>
      <c r="H17" s="141">
        <v>0.101</v>
      </c>
      <c r="I17" s="141">
        <v>0.049</v>
      </c>
      <c r="J17" s="141">
        <v>0.073</v>
      </c>
      <c r="K17" s="141">
        <v>0.059</v>
      </c>
      <c r="L17" s="140" t="s">
        <v>197</v>
      </c>
      <c r="M17" s="140" t="s">
        <v>197</v>
      </c>
      <c r="N17" s="140" t="s">
        <v>197</v>
      </c>
      <c r="O17" s="141">
        <v>0.0</v>
      </c>
      <c r="P17" s="141">
        <v>0.0</v>
      </c>
      <c r="Q17" s="141">
        <v>0.071</v>
      </c>
      <c r="R17" s="141">
        <v>0.077</v>
      </c>
      <c r="S17" s="141">
        <v>0.0</v>
      </c>
      <c r="T17" s="140" t="s">
        <v>197</v>
      </c>
      <c r="U17" s="140" t="s">
        <v>197</v>
      </c>
      <c r="V17" s="142">
        <v>0.0</v>
      </c>
      <c r="W17" s="141">
        <v>0.037</v>
      </c>
      <c r="X17" s="141">
        <v>0.021</v>
      </c>
      <c r="Y17" s="141">
        <v>0.095</v>
      </c>
      <c r="Z17" s="140" t="s">
        <v>197</v>
      </c>
      <c r="AA17" s="141">
        <v>0.156</v>
      </c>
      <c r="AB17" s="140" t="s">
        <v>197</v>
      </c>
      <c r="AC17" s="141">
        <v>0.195</v>
      </c>
      <c r="AD17" s="141">
        <v>0.116</v>
      </c>
      <c r="AE17" s="140" t="s">
        <v>197</v>
      </c>
      <c r="AF17" s="141">
        <v>0.06</v>
      </c>
      <c r="AG17" s="140" t="s">
        <v>197</v>
      </c>
      <c r="AH17" s="141">
        <v>0.042</v>
      </c>
      <c r="AI17" s="140" t="s">
        <v>197</v>
      </c>
      <c r="AJ17" s="141">
        <v>0.078</v>
      </c>
      <c r="AK17" s="140" t="s">
        <v>197</v>
      </c>
      <c r="AL17" s="141">
        <v>0.085</v>
      </c>
      <c r="AM17" s="141">
        <v>0.074</v>
      </c>
      <c r="AN17" s="141">
        <v>0.108</v>
      </c>
      <c r="AO17" s="141">
        <v>0.113</v>
      </c>
    </row>
    <row r="18">
      <c r="A18" s="136" t="s">
        <v>175</v>
      </c>
      <c r="B18" s="140" t="s">
        <v>197</v>
      </c>
      <c r="C18" s="141">
        <v>0.039</v>
      </c>
      <c r="D18" s="140" t="s">
        <v>197</v>
      </c>
      <c r="E18" s="141">
        <v>0.198</v>
      </c>
      <c r="F18" s="140" t="s">
        <v>197</v>
      </c>
      <c r="G18" s="141">
        <v>0.04</v>
      </c>
      <c r="H18" s="141">
        <v>0.068</v>
      </c>
      <c r="I18" s="141">
        <v>0.059</v>
      </c>
      <c r="J18" s="141">
        <v>0.051</v>
      </c>
      <c r="K18" s="141">
        <v>0.084</v>
      </c>
      <c r="L18" s="141">
        <v>0.133</v>
      </c>
      <c r="M18" s="140" t="s">
        <v>197</v>
      </c>
      <c r="N18" s="140" t="s">
        <v>197</v>
      </c>
      <c r="O18" s="140" t="s">
        <v>197</v>
      </c>
      <c r="P18" s="140" t="s">
        <v>197</v>
      </c>
      <c r="Q18" s="141">
        <v>0.081</v>
      </c>
      <c r="R18" s="141">
        <v>0.06</v>
      </c>
      <c r="S18" s="140" t="s">
        <v>197</v>
      </c>
      <c r="T18" s="140" t="s">
        <v>197</v>
      </c>
      <c r="U18" s="140" t="s">
        <v>197</v>
      </c>
      <c r="V18" s="141">
        <v>0.0</v>
      </c>
      <c r="W18" s="141">
        <v>0.034</v>
      </c>
      <c r="X18" s="141">
        <v>0.039</v>
      </c>
      <c r="Y18" s="141">
        <v>0.115</v>
      </c>
      <c r="Z18" s="141">
        <v>0.084</v>
      </c>
      <c r="AA18" s="141">
        <v>0.125</v>
      </c>
      <c r="AB18" s="140" t="s">
        <v>197</v>
      </c>
      <c r="AC18" s="141">
        <v>0.141</v>
      </c>
      <c r="AD18" s="140" t="s">
        <v>197</v>
      </c>
      <c r="AE18" s="140" t="s">
        <v>197</v>
      </c>
      <c r="AF18" s="141">
        <v>0.067</v>
      </c>
      <c r="AG18" s="140" t="s">
        <v>197</v>
      </c>
      <c r="AH18" s="141">
        <v>0.033</v>
      </c>
      <c r="AI18" s="141">
        <v>0.029</v>
      </c>
      <c r="AJ18" s="141">
        <v>0.045</v>
      </c>
      <c r="AK18" s="142">
        <v>0.0</v>
      </c>
      <c r="AL18" s="141">
        <v>0.08</v>
      </c>
      <c r="AM18" s="140" t="s">
        <v>197</v>
      </c>
      <c r="AN18" s="141">
        <v>0.135</v>
      </c>
      <c r="AO18" s="141">
        <v>0.092</v>
      </c>
    </row>
    <row r="19">
      <c r="A19" s="136" t="s">
        <v>176</v>
      </c>
      <c r="B19" s="141">
        <v>0.05</v>
      </c>
      <c r="C19" s="141">
        <v>0.028</v>
      </c>
      <c r="D19" s="140" t="s">
        <v>197</v>
      </c>
      <c r="E19" s="141">
        <v>0.16</v>
      </c>
      <c r="F19" s="141">
        <v>0.0</v>
      </c>
      <c r="G19" s="141">
        <v>0.025</v>
      </c>
      <c r="H19" s="141">
        <v>0.063</v>
      </c>
      <c r="I19" s="141">
        <v>0.039</v>
      </c>
      <c r="J19" s="141">
        <v>0.029</v>
      </c>
      <c r="K19" s="141">
        <v>0.067</v>
      </c>
      <c r="L19" s="140" t="s">
        <v>197</v>
      </c>
      <c r="M19" s="140" t="s">
        <v>197</v>
      </c>
      <c r="N19" s="141">
        <v>0.087</v>
      </c>
      <c r="O19" s="140" t="s">
        <v>197</v>
      </c>
      <c r="P19" s="141">
        <v>0.0</v>
      </c>
      <c r="Q19" s="141">
        <v>0.046</v>
      </c>
      <c r="R19" s="141">
        <v>0.039</v>
      </c>
      <c r="S19" s="141">
        <v>0.0</v>
      </c>
      <c r="T19" s="141">
        <v>0.0</v>
      </c>
      <c r="U19" s="140" t="s">
        <v>197</v>
      </c>
      <c r="V19" s="140" t="s">
        <v>197</v>
      </c>
      <c r="W19" s="140" t="s">
        <v>197</v>
      </c>
      <c r="X19" s="141">
        <v>0.032</v>
      </c>
      <c r="Y19" s="141">
        <v>0.078</v>
      </c>
      <c r="Z19" s="141">
        <v>0.055</v>
      </c>
      <c r="AA19" s="141">
        <v>0.08</v>
      </c>
      <c r="AB19" s="140" t="s">
        <v>197</v>
      </c>
      <c r="AC19" s="141">
        <v>0.121</v>
      </c>
      <c r="AD19" s="141">
        <v>0.0</v>
      </c>
      <c r="AE19" s="141">
        <v>0.036</v>
      </c>
      <c r="AF19" s="141">
        <v>0.05</v>
      </c>
      <c r="AG19" s="140" t="s">
        <v>197</v>
      </c>
      <c r="AH19" s="141">
        <v>0.05</v>
      </c>
      <c r="AI19" s="141">
        <v>0.077</v>
      </c>
      <c r="AJ19" s="141">
        <v>0.035</v>
      </c>
      <c r="AK19" s="140" t="s">
        <v>197</v>
      </c>
      <c r="AL19" s="141">
        <v>0.044</v>
      </c>
      <c r="AM19" s="140" t="s">
        <v>197</v>
      </c>
      <c r="AN19" s="141">
        <v>0.113</v>
      </c>
      <c r="AO19" s="141">
        <v>0.07</v>
      </c>
    </row>
    <row r="20">
      <c r="A20" s="136" t="s">
        <v>177</v>
      </c>
      <c r="B20" s="141">
        <v>0.052</v>
      </c>
      <c r="C20" s="141">
        <v>0.032</v>
      </c>
      <c r="D20" s="141">
        <v>0.031</v>
      </c>
      <c r="E20" s="141">
        <v>0.124</v>
      </c>
      <c r="F20" s="141">
        <v>0.0</v>
      </c>
      <c r="G20" s="141">
        <v>0.042</v>
      </c>
      <c r="H20" s="141">
        <v>0.057</v>
      </c>
      <c r="I20" s="141">
        <v>0.03</v>
      </c>
      <c r="J20" s="140" t="s">
        <v>197</v>
      </c>
      <c r="K20" s="141">
        <v>0.039</v>
      </c>
      <c r="L20" s="140" t="s">
        <v>197</v>
      </c>
      <c r="M20" s="140" t="s">
        <v>197</v>
      </c>
      <c r="N20" s="140" t="s">
        <v>197</v>
      </c>
      <c r="O20" s="140" t="s">
        <v>197</v>
      </c>
      <c r="P20" s="140" t="s">
        <v>197</v>
      </c>
      <c r="Q20" s="141">
        <v>0.048</v>
      </c>
      <c r="R20" s="141">
        <v>0.038</v>
      </c>
      <c r="S20" s="140" t="s">
        <v>197</v>
      </c>
      <c r="T20" s="140" t="s">
        <v>197</v>
      </c>
      <c r="U20" s="140" t="s">
        <v>197</v>
      </c>
      <c r="V20" s="141">
        <v>0.0</v>
      </c>
      <c r="W20" s="140" t="s">
        <v>197</v>
      </c>
      <c r="X20" s="141">
        <v>0.021</v>
      </c>
      <c r="Y20" s="141">
        <v>0.046</v>
      </c>
      <c r="Z20" s="141">
        <v>0.035</v>
      </c>
      <c r="AA20" s="141">
        <v>0.075</v>
      </c>
      <c r="AB20" s="141">
        <v>0.046</v>
      </c>
      <c r="AC20" s="141">
        <v>0.103</v>
      </c>
      <c r="AD20" s="140" t="s">
        <v>197</v>
      </c>
      <c r="AE20" s="140" t="s">
        <v>197</v>
      </c>
      <c r="AF20" s="141">
        <v>0.032</v>
      </c>
      <c r="AG20" s="140" t="s">
        <v>197</v>
      </c>
      <c r="AH20" s="141">
        <v>0.052</v>
      </c>
      <c r="AI20" s="141">
        <v>0.028</v>
      </c>
      <c r="AJ20" s="141">
        <v>0.036</v>
      </c>
      <c r="AK20" s="140" t="s">
        <v>197</v>
      </c>
      <c r="AL20" s="141">
        <v>0.034</v>
      </c>
      <c r="AM20" s="140" t="s">
        <v>197</v>
      </c>
      <c r="AN20" s="141">
        <v>0.06</v>
      </c>
      <c r="AO20" s="141">
        <v>0.06</v>
      </c>
    </row>
    <row r="21">
      <c r="A21" s="136" t="s">
        <v>178</v>
      </c>
      <c r="B21" s="140" t="s">
        <v>197</v>
      </c>
      <c r="C21" s="141">
        <v>0.029</v>
      </c>
      <c r="D21" s="140" t="s">
        <v>197</v>
      </c>
      <c r="E21" s="141">
        <v>0.09</v>
      </c>
      <c r="F21" s="140" t="s">
        <v>197</v>
      </c>
      <c r="G21" s="141">
        <v>0.022</v>
      </c>
      <c r="H21" s="141">
        <v>0.045</v>
      </c>
      <c r="I21" s="141">
        <v>0.019</v>
      </c>
      <c r="J21" s="141">
        <v>0.0</v>
      </c>
      <c r="K21" s="141">
        <v>0.05</v>
      </c>
      <c r="L21" s="141">
        <v>0.0</v>
      </c>
      <c r="M21" s="140" t="s">
        <v>197</v>
      </c>
      <c r="N21" s="140" t="s">
        <v>197</v>
      </c>
      <c r="O21" s="141">
        <v>0.0</v>
      </c>
      <c r="P21" s="140" t="s">
        <v>197</v>
      </c>
      <c r="Q21" s="141">
        <v>0.104</v>
      </c>
      <c r="R21" s="141">
        <v>0.045</v>
      </c>
      <c r="S21" s="141">
        <v>0.0</v>
      </c>
      <c r="T21" s="141">
        <v>0.025</v>
      </c>
      <c r="U21" s="140" t="s">
        <v>197</v>
      </c>
      <c r="V21" s="141">
        <v>0.0</v>
      </c>
      <c r="W21" s="141">
        <v>0.037</v>
      </c>
      <c r="X21" s="141">
        <v>0.019</v>
      </c>
      <c r="Y21" s="141">
        <v>0.038</v>
      </c>
      <c r="Z21" s="141">
        <v>0.031</v>
      </c>
      <c r="AA21" s="141">
        <v>0.066</v>
      </c>
      <c r="AB21" s="141">
        <v>0.04</v>
      </c>
      <c r="AC21" s="141">
        <v>0.105</v>
      </c>
      <c r="AD21" s="140" t="s">
        <v>197</v>
      </c>
      <c r="AE21" s="140" t="s">
        <v>197</v>
      </c>
      <c r="AF21" s="141">
        <v>0.0</v>
      </c>
      <c r="AG21" s="141">
        <v>0.0</v>
      </c>
      <c r="AH21" s="140" t="s">
        <v>197</v>
      </c>
      <c r="AI21" s="141">
        <v>0.0</v>
      </c>
      <c r="AJ21" s="141">
        <v>0.019</v>
      </c>
      <c r="AK21" s="140" t="s">
        <v>197</v>
      </c>
      <c r="AL21" s="141">
        <v>0.031</v>
      </c>
      <c r="AM21" s="140" t="s">
        <v>197</v>
      </c>
      <c r="AN21" s="141">
        <v>0.075</v>
      </c>
      <c r="AO21" s="141">
        <v>0.054</v>
      </c>
    </row>
    <row r="22">
      <c r="A22" s="136" t="s">
        <v>179</v>
      </c>
      <c r="B22" s="140" t="s">
        <v>197</v>
      </c>
      <c r="C22" s="140" t="s">
        <v>197</v>
      </c>
      <c r="D22" s="140" t="s">
        <v>197</v>
      </c>
      <c r="E22" s="141">
        <v>0.094</v>
      </c>
      <c r="F22" s="141">
        <v>0.0</v>
      </c>
      <c r="G22" s="140" t="s">
        <v>197</v>
      </c>
      <c r="H22" s="141">
        <v>0.034</v>
      </c>
      <c r="I22" s="141">
        <v>0.03</v>
      </c>
      <c r="J22" s="140" t="s">
        <v>197</v>
      </c>
      <c r="K22" s="141">
        <v>0.02</v>
      </c>
      <c r="L22" s="140" t="s">
        <v>197</v>
      </c>
      <c r="M22" s="141">
        <v>0.0</v>
      </c>
      <c r="N22" s="140" t="s">
        <v>197</v>
      </c>
      <c r="O22" s="141">
        <v>0.0</v>
      </c>
      <c r="P22" s="140" t="s">
        <v>197</v>
      </c>
      <c r="Q22" s="141">
        <v>0.028</v>
      </c>
      <c r="R22" s="140" t="s">
        <v>197</v>
      </c>
      <c r="S22" s="141">
        <v>0.0</v>
      </c>
      <c r="T22" s="140" t="s">
        <v>197</v>
      </c>
      <c r="U22" s="140" t="s">
        <v>197</v>
      </c>
      <c r="V22" s="141">
        <v>0.0</v>
      </c>
      <c r="W22" s="140" t="s">
        <v>197</v>
      </c>
      <c r="X22" s="140" t="s">
        <v>197</v>
      </c>
      <c r="Y22" s="141">
        <v>0.039</v>
      </c>
      <c r="Z22" s="140" t="s">
        <v>197</v>
      </c>
      <c r="AA22" s="141">
        <v>0.042</v>
      </c>
      <c r="AB22" s="141">
        <v>0.026</v>
      </c>
      <c r="AC22" s="141">
        <v>0.078</v>
      </c>
      <c r="AD22" s="141">
        <v>0.0</v>
      </c>
      <c r="AE22" s="140" t="s">
        <v>197</v>
      </c>
      <c r="AF22" s="140" t="s">
        <v>197</v>
      </c>
      <c r="AG22" s="141">
        <v>0.0</v>
      </c>
      <c r="AH22" s="140" t="s">
        <v>197</v>
      </c>
      <c r="AI22" s="140" t="s">
        <v>197</v>
      </c>
      <c r="AJ22" s="141">
        <v>0.018</v>
      </c>
      <c r="AK22" s="141">
        <v>0.0</v>
      </c>
      <c r="AL22" s="141">
        <v>0.023</v>
      </c>
      <c r="AM22" s="141">
        <v>0.0</v>
      </c>
      <c r="AN22" s="141">
        <v>0.051</v>
      </c>
      <c r="AO22" s="141">
        <v>0.036</v>
      </c>
    </row>
    <row r="23">
      <c r="A23" s="136" t="s">
        <v>180</v>
      </c>
      <c r="B23" s="140" t="s">
        <v>197</v>
      </c>
      <c r="C23" s="140" t="s">
        <v>197</v>
      </c>
      <c r="D23" s="140" t="s">
        <v>197</v>
      </c>
      <c r="E23" s="141">
        <v>0.079</v>
      </c>
      <c r="F23" s="140" t="s">
        <v>197</v>
      </c>
      <c r="G23" s="140" t="s">
        <v>197</v>
      </c>
      <c r="H23" s="141">
        <v>0.033</v>
      </c>
      <c r="I23" s="141">
        <v>0.02</v>
      </c>
      <c r="J23" s="140" t="s">
        <v>197</v>
      </c>
      <c r="K23" s="141">
        <v>0.019</v>
      </c>
      <c r="L23" s="140" t="s">
        <v>197</v>
      </c>
      <c r="M23" s="140" t="s">
        <v>197</v>
      </c>
      <c r="N23" s="141">
        <v>0.0</v>
      </c>
      <c r="O23" s="141">
        <v>0.0</v>
      </c>
      <c r="P23" s="141">
        <v>0.0</v>
      </c>
      <c r="Q23" s="141">
        <v>0.034</v>
      </c>
      <c r="R23" s="141">
        <v>0.027</v>
      </c>
      <c r="S23" s="141">
        <v>0.0</v>
      </c>
      <c r="T23" s="140" t="s">
        <v>197</v>
      </c>
      <c r="U23" s="141">
        <v>0.0</v>
      </c>
      <c r="V23" s="141">
        <v>0.0</v>
      </c>
      <c r="W23" s="140" t="s">
        <v>197</v>
      </c>
      <c r="X23" s="140" t="s">
        <v>197</v>
      </c>
      <c r="Y23" s="141">
        <v>0.02</v>
      </c>
      <c r="Z23" s="141">
        <v>0.05</v>
      </c>
      <c r="AA23" s="141">
        <v>0.038</v>
      </c>
      <c r="AB23" s="141">
        <v>0.0</v>
      </c>
      <c r="AC23" s="141">
        <v>0.049</v>
      </c>
      <c r="AD23" s="141">
        <v>0.0</v>
      </c>
      <c r="AE23" s="140" t="s">
        <v>197</v>
      </c>
      <c r="AF23" s="140" t="s">
        <v>197</v>
      </c>
      <c r="AG23" s="140" t="s">
        <v>197</v>
      </c>
      <c r="AH23" s="140" t="s">
        <v>197</v>
      </c>
      <c r="AI23" s="140" t="s">
        <v>197</v>
      </c>
      <c r="AJ23" s="141">
        <v>0.011</v>
      </c>
      <c r="AK23" s="141">
        <v>0.0</v>
      </c>
      <c r="AL23" s="140" t="s">
        <v>197</v>
      </c>
      <c r="AM23" s="141">
        <v>0.0</v>
      </c>
      <c r="AN23" s="141">
        <v>0.037</v>
      </c>
      <c r="AO23" s="141">
        <v>0.027</v>
      </c>
    </row>
    <row r="24">
      <c r="A24" s="136" t="s">
        <v>181</v>
      </c>
      <c r="B24" s="141">
        <v>0.0</v>
      </c>
      <c r="C24" s="140" t="s">
        <v>197</v>
      </c>
      <c r="D24" s="140" t="s">
        <v>197</v>
      </c>
      <c r="E24" s="141">
        <v>0.073</v>
      </c>
      <c r="F24" s="140" t="s">
        <v>197</v>
      </c>
      <c r="G24" s="140" t="s">
        <v>197</v>
      </c>
      <c r="H24" s="141">
        <v>0.018</v>
      </c>
      <c r="I24" s="140" t="s">
        <v>197</v>
      </c>
      <c r="J24" s="140" t="s">
        <v>197</v>
      </c>
      <c r="K24" s="141">
        <v>0.012</v>
      </c>
      <c r="L24" s="141">
        <v>0.0</v>
      </c>
      <c r="M24" s="141">
        <v>0.0</v>
      </c>
      <c r="N24" s="141">
        <v>0.0</v>
      </c>
      <c r="O24" s="141">
        <v>0.0</v>
      </c>
      <c r="P24" s="140" t="s">
        <v>197</v>
      </c>
      <c r="Q24" s="141">
        <v>0.013</v>
      </c>
      <c r="R24" s="140" t="s">
        <v>197</v>
      </c>
      <c r="S24" s="141">
        <v>0.0</v>
      </c>
      <c r="T24" s="140" t="s">
        <v>197</v>
      </c>
      <c r="U24" s="140" t="s">
        <v>197</v>
      </c>
      <c r="V24" s="141">
        <v>0.0</v>
      </c>
      <c r="W24" s="141">
        <v>0.014</v>
      </c>
      <c r="X24" s="140" t="s">
        <v>197</v>
      </c>
      <c r="Y24" s="142">
        <v>0.011</v>
      </c>
      <c r="Z24" s="140" t="s">
        <v>197</v>
      </c>
      <c r="AA24" s="141">
        <v>0.032</v>
      </c>
      <c r="AB24" s="140" t="s">
        <v>197</v>
      </c>
      <c r="AC24" s="141">
        <v>0.04</v>
      </c>
      <c r="AD24" s="141">
        <v>0.0</v>
      </c>
      <c r="AE24" s="140" t="s">
        <v>197</v>
      </c>
      <c r="AF24" s="140" t="s">
        <v>197</v>
      </c>
      <c r="AG24" s="141">
        <v>0.0</v>
      </c>
      <c r="AH24" s="141">
        <v>0.0</v>
      </c>
      <c r="AI24" s="140" t="s">
        <v>197</v>
      </c>
      <c r="AJ24" s="141">
        <v>0.014</v>
      </c>
      <c r="AK24" s="141">
        <v>0.0</v>
      </c>
      <c r="AL24" s="141">
        <v>0.027</v>
      </c>
      <c r="AM24" s="140" t="s">
        <v>197</v>
      </c>
      <c r="AN24" s="141">
        <v>0.032</v>
      </c>
      <c r="AO24" s="141">
        <v>0.021</v>
      </c>
    </row>
    <row r="25">
      <c r="A25" s="136" t="s">
        <v>182</v>
      </c>
      <c r="B25" s="140" t="s">
        <v>197</v>
      </c>
      <c r="C25" s="141">
        <v>0.019</v>
      </c>
      <c r="D25" s="140" t="s">
        <v>197</v>
      </c>
      <c r="E25" s="141">
        <v>0.032</v>
      </c>
      <c r="F25" s="140" t="s">
        <v>197</v>
      </c>
      <c r="G25" s="140" t="s">
        <v>197</v>
      </c>
      <c r="H25" s="141">
        <v>0.013</v>
      </c>
      <c r="I25" s="141">
        <v>0.02</v>
      </c>
      <c r="J25" s="140" t="s">
        <v>197</v>
      </c>
      <c r="K25" s="141">
        <v>0.011</v>
      </c>
      <c r="L25" s="141">
        <v>0.0</v>
      </c>
      <c r="M25" s="140" t="s">
        <v>197</v>
      </c>
      <c r="N25" s="140" t="s">
        <v>197</v>
      </c>
      <c r="O25" s="140" t="s">
        <v>197</v>
      </c>
      <c r="P25" s="141">
        <v>0.0</v>
      </c>
      <c r="Q25" s="141">
        <v>0.024</v>
      </c>
      <c r="R25" s="141">
        <v>0.019</v>
      </c>
      <c r="S25" s="141">
        <v>0.0</v>
      </c>
      <c r="T25" s="141">
        <v>0.025</v>
      </c>
      <c r="U25" s="141">
        <v>0.0</v>
      </c>
      <c r="V25" s="141">
        <v>0.0</v>
      </c>
      <c r="W25" s="141">
        <v>0.027</v>
      </c>
      <c r="X25" s="140" t="s">
        <v>197</v>
      </c>
      <c r="Y25" s="141">
        <v>0.022</v>
      </c>
      <c r="Z25" s="141">
        <v>0.0</v>
      </c>
      <c r="AA25" s="141">
        <v>0.038</v>
      </c>
      <c r="AB25" s="140" t="s">
        <v>197</v>
      </c>
      <c r="AC25" s="141">
        <v>0.035</v>
      </c>
      <c r="AD25" s="141">
        <v>0.0</v>
      </c>
      <c r="AE25" s="140" t="s">
        <v>197</v>
      </c>
      <c r="AF25" s="140" t="s">
        <v>197</v>
      </c>
      <c r="AG25" s="140" t="s">
        <v>197</v>
      </c>
      <c r="AH25" s="140" t="s">
        <v>197</v>
      </c>
      <c r="AI25" s="140" t="s">
        <v>197</v>
      </c>
      <c r="AJ25" s="141">
        <v>0.011</v>
      </c>
      <c r="AK25" s="140" t="s">
        <v>197</v>
      </c>
      <c r="AL25" s="141">
        <v>0.024</v>
      </c>
      <c r="AM25" s="140" t="s">
        <v>197</v>
      </c>
      <c r="AN25" s="141">
        <v>0.024</v>
      </c>
      <c r="AO25" s="141">
        <v>0.021</v>
      </c>
    </row>
    <row r="26">
      <c r="A26" s="136" t="s">
        <v>183</v>
      </c>
      <c r="B26" s="140" t="s">
        <v>197</v>
      </c>
      <c r="C26" s="140" t="s">
        <v>197</v>
      </c>
      <c r="D26" s="140" t="s">
        <v>197</v>
      </c>
      <c r="E26" s="141">
        <v>0.032</v>
      </c>
      <c r="F26" s="140" t="s">
        <v>197</v>
      </c>
      <c r="G26" s="141">
        <v>0.021</v>
      </c>
      <c r="H26" s="141">
        <v>0.038</v>
      </c>
      <c r="I26" s="140" t="s">
        <v>197</v>
      </c>
      <c r="J26" s="140" t="s">
        <v>197</v>
      </c>
      <c r="K26" s="141">
        <v>0.009</v>
      </c>
      <c r="L26" s="141">
        <v>0.0</v>
      </c>
      <c r="M26" s="140" t="s">
        <v>197</v>
      </c>
      <c r="N26" s="140" t="s">
        <v>197</v>
      </c>
      <c r="O26" s="141">
        <v>0.0</v>
      </c>
      <c r="P26" s="140" t="s">
        <v>197</v>
      </c>
      <c r="Q26" s="141">
        <v>0.033</v>
      </c>
      <c r="R26" s="140" t="s">
        <v>197</v>
      </c>
      <c r="S26" s="140" t="s">
        <v>197</v>
      </c>
      <c r="T26" s="141">
        <v>0.019</v>
      </c>
      <c r="U26" s="141">
        <v>0.0</v>
      </c>
      <c r="V26" s="141">
        <v>0.0</v>
      </c>
      <c r="W26" s="141">
        <v>0.019</v>
      </c>
      <c r="X26" s="140" t="s">
        <v>197</v>
      </c>
      <c r="Y26" s="141">
        <v>0.023</v>
      </c>
      <c r="Z26" s="140" t="s">
        <v>197</v>
      </c>
      <c r="AA26" s="141">
        <v>0.015</v>
      </c>
      <c r="AB26" s="140" t="s">
        <v>197</v>
      </c>
      <c r="AC26" s="141">
        <v>0.029</v>
      </c>
      <c r="AD26" s="141">
        <v>0.0</v>
      </c>
      <c r="AE26" s="140" t="s">
        <v>197</v>
      </c>
      <c r="AF26" s="141">
        <v>0.024</v>
      </c>
      <c r="AG26" s="141">
        <v>0.0</v>
      </c>
      <c r="AH26" s="140" t="s">
        <v>197</v>
      </c>
      <c r="AI26" s="140" t="s">
        <v>197</v>
      </c>
      <c r="AJ26" s="141">
        <v>0.009</v>
      </c>
      <c r="AK26" s="141">
        <v>0.0</v>
      </c>
      <c r="AL26" s="141">
        <v>0.02</v>
      </c>
      <c r="AM26" s="140" t="s">
        <v>197</v>
      </c>
      <c r="AN26" s="141">
        <v>0.014</v>
      </c>
      <c r="AO26" s="141">
        <v>0.019</v>
      </c>
    </row>
    <row r="27">
      <c r="A27" s="136" t="s">
        <v>184</v>
      </c>
      <c r="B27" s="140" t="s">
        <v>197</v>
      </c>
      <c r="C27" s="141">
        <v>0.015</v>
      </c>
      <c r="D27" s="140" t="s">
        <v>197</v>
      </c>
      <c r="E27" s="141">
        <v>0.04</v>
      </c>
      <c r="F27" s="140" t="s">
        <v>197</v>
      </c>
      <c r="G27" s="141">
        <v>0.015</v>
      </c>
      <c r="H27" s="141">
        <v>0.02</v>
      </c>
      <c r="I27" s="140" t="s">
        <v>197</v>
      </c>
      <c r="J27" s="141">
        <v>0.016</v>
      </c>
      <c r="K27" s="141">
        <v>0.007</v>
      </c>
      <c r="L27" s="141">
        <v>0.0</v>
      </c>
      <c r="M27" s="141">
        <v>0.0</v>
      </c>
      <c r="N27" s="140" t="s">
        <v>197</v>
      </c>
      <c r="O27" s="140" t="s">
        <v>197</v>
      </c>
      <c r="P27" s="140" t="s">
        <v>197</v>
      </c>
      <c r="Q27" s="141">
        <v>0.016</v>
      </c>
      <c r="R27" s="141">
        <v>0.019</v>
      </c>
      <c r="S27" s="141">
        <v>0.0</v>
      </c>
      <c r="T27" s="141">
        <v>0.021</v>
      </c>
      <c r="U27" s="140" t="s">
        <v>197</v>
      </c>
      <c r="V27" s="140" t="s">
        <v>197</v>
      </c>
      <c r="W27" s="141">
        <v>0.019</v>
      </c>
      <c r="X27" s="141">
        <v>0.0</v>
      </c>
      <c r="Y27" s="141">
        <v>0.026</v>
      </c>
      <c r="Z27" s="140" t="s">
        <v>197</v>
      </c>
      <c r="AA27" s="141">
        <v>0.024</v>
      </c>
      <c r="AB27" s="140" t="s">
        <v>197</v>
      </c>
      <c r="AC27" s="141">
        <v>0.025</v>
      </c>
      <c r="AD27" s="141">
        <v>0.0</v>
      </c>
      <c r="AE27" s="140" t="s">
        <v>197</v>
      </c>
      <c r="AF27" s="140" t="s">
        <v>197</v>
      </c>
      <c r="AG27" s="140" t="s">
        <v>197</v>
      </c>
      <c r="AH27" s="140" t="s">
        <v>197</v>
      </c>
      <c r="AI27" s="140" t="s">
        <v>197</v>
      </c>
      <c r="AJ27" s="141">
        <v>0.013</v>
      </c>
      <c r="AK27" s="140" t="s">
        <v>197</v>
      </c>
      <c r="AL27" s="141">
        <v>0.028</v>
      </c>
      <c r="AM27" s="140" t="s">
        <v>197</v>
      </c>
      <c r="AN27" s="141">
        <v>0.022</v>
      </c>
      <c r="AO27" s="141">
        <v>0.018</v>
      </c>
    </row>
    <row r="28">
      <c r="A28" s="136" t="s">
        <v>185</v>
      </c>
      <c r="B28" s="141">
        <v>0.021</v>
      </c>
      <c r="C28" s="141">
        <v>0.02</v>
      </c>
      <c r="D28" s="140" t="s">
        <v>197</v>
      </c>
      <c r="E28" s="141">
        <v>0.057</v>
      </c>
      <c r="F28" s="140" t="s">
        <v>197</v>
      </c>
      <c r="G28" s="140" t="s">
        <v>197</v>
      </c>
      <c r="H28" s="141">
        <v>0.035</v>
      </c>
      <c r="I28" s="141">
        <v>0.023</v>
      </c>
      <c r="J28" s="140" t="s">
        <v>197</v>
      </c>
      <c r="K28" s="141">
        <v>0.019</v>
      </c>
      <c r="L28" s="141">
        <v>0.0</v>
      </c>
      <c r="M28" s="141">
        <v>0.0</v>
      </c>
      <c r="N28" s="141">
        <v>0.0</v>
      </c>
      <c r="O28" s="141">
        <v>0.0</v>
      </c>
      <c r="P28" s="141">
        <v>0.0</v>
      </c>
      <c r="Q28" s="141">
        <v>0.028</v>
      </c>
      <c r="R28" s="141">
        <v>0.017</v>
      </c>
      <c r="S28" s="140" t="s">
        <v>197</v>
      </c>
      <c r="T28" s="140" t="s">
        <v>197</v>
      </c>
      <c r="U28" s="140" t="s">
        <v>197</v>
      </c>
      <c r="V28" s="141">
        <v>0.0</v>
      </c>
      <c r="W28" s="140" t="s">
        <v>197</v>
      </c>
      <c r="X28" s="140" t="s">
        <v>197</v>
      </c>
      <c r="Y28" s="141">
        <v>0.027</v>
      </c>
      <c r="Z28" s="140" t="s">
        <v>197</v>
      </c>
      <c r="AA28" s="141">
        <v>0.045</v>
      </c>
      <c r="AB28" s="140" t="s">
        <v>197</v>
      </c>
      <c r="AC28" s="141">
        <v>0.034</v>
      </c>
      <c r="AD28" s="141">
        <v>0.0</v>
      </c>
      <c r="AE28" s="140" t="s">
        <v>197</v>
      </c>
      <c r="AF28" s="141">
        <v>0.038</v>
      </c>
      <c r="AG28" s="141">
        <v>0.0</v>
      </c>
      <c r="AH28" s="140" t="s">
        <v>197</v>
      </c>
      <c r="AI28" s="140" t="s">
        <v>197</v>
      </c>
      <c r="AJ28" s="141">
        <v>0.016</v>
      </c>
      <c r="AK28" s="141">
        <v>0.0</v>
      </c>
      <c r="AL28" s="141">
        <v>0.019</v>
      </c>
      <c r="AM28" s="140" t="s">
        <v>197</v>
      </c>
      <c r="AN28" s="141">
        <v>0.025</v>
      </c>
      <c r="AO28" s="141">
        <v>0.024</v>
      </c>
    </row>
    <row r="29">
      <c r="A29" s="143" t="s">
        <v>186</v>
      </c>
      <c r="B29" s="141">
        <v>0.0</v>
      </c>
      <c r="C29" s="141">
        <v>0.015</v>
      </c>
      <c r="D29" s="140" t="s">
        <v>197</v>
      </c>
      <c r="E29" s="141">
        <v>0.081</v>
      </c>
      <c r="F29" s="140" t="s">
        <v>197</v>
      </c>
      <c r="G29" s="141">
        <v>0.013</v>
      </c>
      <c r="H29" s="141">
        <v>0.027</v>
      </c>
      <c r="I29" s="141">
        <v>0.026</v>
      </c>
      <c r="J29" s="141">
        <v>0.011</v>
      </c>
      <c r="K29" s="141">
        <v>0.018</v>
      </c>
      <c r="L29" s="140" t="s">
        <v>197</v>
      </c>
      <c r="M29" s="141">
        <v>0.0</v>
      </c>
      <c r="N29" s="140" t="s">
        <v>197</v>
      </c>
      <c r="O29" s="140" t="s">
        <v>197</v>
      </c>
      <c r="P29" s="140" t="s">
        <v>197</v>
      </c>
      <c r="Q29" s="141">
        <v>0.036</v>
      </c>
      <c r="R29" s="142">
        <v>0.015</v>
      </c>
      <c r="S29" s="141">
        <v>0.0</v>
      </c>
      <c r="T29" s="140" t="s">
        <v>197</v>
      </c>
      <c r="U29" s="140" t="s">
        <v>197</v>
      </c>
      <c r="V29" s="140" t="s">
        <v>197</v>
      </c>
      <c r="W29" s="142">
        <v>0.013</v>
      </c>
      <c r="X29" s="141">
        <v>0.01</v>
      </c>
      <c r="Y29" s="141">
        <v>0.048</v>
      </c>
      <c r="Z29" s="140" t="s">
        <v>197</v>
      </c>
      <c r="AA29" s="141">
        <v>0.055</v>
      </c>
      <c r="AB29" s="140" t="s">
        <v>197</v>
      </c>
      <c r="AC29" s="141">
        <v>0.038</v>
      </c>
      <c r="AD29" s="141">
        <v>0.0</v>
      </c>
      <c r="AE29" s="140" t="s">
        <v>197</v>
      </c>
      <c r="AF29" s="141">
        <v>0.025</v>
      </c>
      <c r="AG29" s="140" t="s">
        <v>197</v>
      </c>
      <c r="AH29" s="140" t="s">
        <v>197</v>
      </c>
      <c r="AI29" s="141">
        <v>0.038</v>
      </c>
      <c r="AJ29" s="141">
        <v>0.023</v>
      </c>
      <c r="AK29" s="140" t="s">
        <v>197</v>
      </c>
      <c r="AL29" s="141">
        <v>0.018</v>
      </c>
      <c r="AM29" s="140" t="s">
        <v>197</v>
      </c>
      <c r="AN29" s="141">
        <v>0.019</v>
      </c>
      <c r="AO29" s="141">
        <v>0.027</v>
      </c>
    </row>
    <row r="30">
      <c r="A30" s="136" t="s">
        <v>187</v>
      </c>
      <c r="B30" s="140" t="s">
        <v>197</v>
      </c>
      <c r="C30" s="141">
        <v>0.014</v>
      </c>
      <c r="D30" s="141">
        <v>0.035</v>
      </c>
      <c r="E30" s="141">
        <v>0.07</v>
      </c>
      <c r="F30" s="140" t="s">
        <v>197</v>
      </c>
      <c r="G30" s="141">
        <v>0.007</v>
      </c>
      <c r="H30" s="141">
        <v>0.055</v>
      </c>
      <c r="I30" s="141">
        <v>0.017</v>
      </c>
      <c r="J30" s="141">
        <v>0.015</v>
      </c>
      <c r="K30" s="141">
        <v>0.012</v>
      </c>
      <c r="L30" s="140" t="s">
        <v>197</v>
      </c>
      <c r="M30" s="140" t="s">
        <v>197</v>
      </c>
      <c r="N30" s="140" t="s">
        <v>197</v>
      </c>
      <c r="O30" s="141">
        <v>0.0</v>
      </c>
      <c r="P30" s="140" t="s">
        <v>197</v>
      </c>
      <c r="Q30" s="141">
        <v>0.021</v>
      </c>
      <c r="R30" s="141">
        <v>0.037</v>
      </c>
      <c r="S30" s="141">
        <v>0.0</v>
      </c>
      <c r="T30" s="141">
        <v>0.018</v>
      </c>
      <c r="U30" s="141">
        <v>0.0</v>
      </c>
      <c r="V30" s="140" t="s">
        <v>197</v>
      </c>
      <c r="W30" s="141">
        <v>0.011</v>
      </c>
      <c r="X30" s="141">
        <v>0.013</v>
      </c>
      <c r="Y30" s="141">
        <v>0.052</v>
      </c>
      <c r="Z30" s="140" t="s">
        <v>197</v>
      </c>
      <c r="AA30" s="141">
        <v>0.055</v>
      </c>
      <c r="AB30" s="141">
        <v>0.0</v>
      </c>
      <c r="AC30" s="141">
        <v>0.041</v>
      </c>
      <c r="AD30" s="140" t="s">
        <v>197</v>
      </c>
      <c r="AE30" s="141">
        <v>0.0</v>
      </c>
      <c r="AF30" s="140" t="s">
        <v>197</v>
      </c>
      <c r="AG30" s="140" t="s">
        <v>197</v>
      </c>
      <c r="AH30" s="140" t="s">
        <v>197</v>
      </c>
      <c r="AI30" s="140" t="s">
        <v>197</v>
      </c>
      <c r="AJ30" s="141">
        <v>0.021</v>
      </c>
      <c r="AK30" s="140" t="s">
        <v>197</v>
      </c>
      <c r="AL30" s="141">
        <v>0.034</v>
      </c>
      <c r="AM30" s="140" t="s">
        <v>197</v>
      </c>
      <c r="AN30" s="141">
        <v>0.02</v>
      </c>
      <c r="AO30" s="141">
        <v>0.029</v>
      </c>
    </row>
    <row r="31">
      <c r="A31" s="144" t="s">
        <v>188</v>
      </c>
      <c r="B31" s="140" t="s">
        <v>197</v>
      </c>
      <c r="C31" s="141">
        <v>0.006</v>
      </c>
      <c r="D31" s="140" t="s">
        <v>197</v>
      </c>
      <c r="E31" s="141">
        <v>0.071</v>
      </c>
      <c r="F31" s="141">
        <v>0.0</v>
      </c>
      <c r="G31" s="141">
        <v>0.008</v>
      </c>
      <c r="H31" s="141">
        <v>0.057</v>
      </c>
      <c r="I31" s="141">
        <v>0.018</v>
      </c>
      <c r="J31" s="140" t="s">
        <v>197</v>
      </c>
      <c r="K31" s="141">
        <v>0.014</v>
      </c>
      <c r="L31" s="140" t="s">
        <v>197</v>
      </c>
      <c r="M31" s="140" t="s">
        <v>197</v>
      </c>
      <c r="N31" s="140" t="s">
        <v>197</v>
      </c>
      <c r="O31" s="141">
        <v>0.0</v>
      </c>
      <c r="P31" s="141">
        <v>0.0</v>
      </c>
      <c r="Q31" s="141">
        <v>0.029</v>
      </c>
      <c r="R31" s="141">
        <v>0.03</v>
      </c>
      <c r="S31" s="141">
        <v>0.0</v>
      </c>
      <c r="T31" s="140" t="s">
        <v>197</v>
      </c>
      <c r="U31" s="140" t="s">
        <v>197</v>
      </c>
      <c r="V31" s="140" t="s">
        <v>197</v>
      </c>
      <c r="W31" s="142">
        <v>0.008</v>
      </c>
      <c r="X31" s="141">
        <v>0.011</v>
      </c>
      <c r="Y31" s="141">
        <v>0.041</v>
      </c>
      <c r="Z31" s="140" t="s">
        <v>197</v>
      </c>
      <c r="AA31" s="141">
        <v>0.051</v>
      </c>
      <c r="AB31" s="140" t="s">
        <v>197</v>
      </c>
      <c r="AC31" s="141">
        <v>0.045</v>
      </c>
      <c r="AD31" s="140" t="s">
        <v>197</v>
      </c>
      <c r="AE31" s="140" t="s">
        <v>197</v>
      </c>
      <c r="AF31" s="141">
        <v>0.021</v>
      </c>
      <c r="AG31" s="141">
        <v>0.0</v>
      </c>
      <c r="AH31" s="141">
        <v>0.0</v>
      </c>
      <c r="AI31" s="141">
        <v>0.0</v>
      </c>
      <c r="AJ31" s="141">
        <v>0.019</v>
      </c>
      <c r="AK31" s="141">
        <v>0.0</v>
      </c>
      <c r="AL31" s="141">
        <v>0.017</v>
      </c>
      <c r="AM31" s="140" t="s">
        <v>197</v>
      </c>
      <c r="AN31" s="141">
        <v>0.026</v>
      </c>
      <c r="AO31" s="141">
        <v>0.026</v>
      </c>
    </row>
    <row r="32">
      <c r="A32" s="144" t="s">
        <v>189</v>
      </c>
      <c r="B32" s="140" t="s">
        <v>197</v>
      </c>
      <c r="C32" s="141">
        <v>0.007</v>
      </c>
      <c r="D32" s="140" t="s">
        <v>197</v>
      </c>
      <c r="E32" s="141">
        <v>0.063</v>
      </c>
      <c r="F32" s="140" t="s">
        <v>197</v>
      </c>
      <c r="G32" s="141">
        <v>0.009</v>
      </c>
      <c r="H32" s="141">
        <v>0.026</v>
      </c>
      <c r="I32" s="141">
        <v>0.022</v>
      </c>
      <c r="J32" s="140" t="s">
        <v>197</v>
      </c>
      <c r="K32" s="141">
        <v>0.012</v>
      </c>
      <c r="L32" s="140" t="s">
        <v>197</v>
      </c>
      <c r="M32" s="140" t="s">
        <v>197</v>
      </c>
      <c r="N32" s="140" t="s">
        <v>197</v>
      </c>
      <c r="O32" s="141">
        <v>0.0</v>
      </c>
      <c r="P32" s="140" t="s">
        <v>197</v>
      </c>
      <c r="Q32" s="141">
        <v>0.022</v>
      </c>
      <c r="R32" s="141">
        <v>0.012</v>
      </c>
      <c r="S32" s="141">
        <v>0.0</v>
      </c>
      <c r="T32" s="141">
        <v>0.0</v>
      </c>
      <c r="U32" s="141">
        <v>0.063</v>
      </c>
      <c r="V32" s="140" t="s">
        <v>197</v>
      </c>
      <c r="W32" s="140" t="s">
        <v>197</v>
      </c>
      <c r="X32" s="141">
        <v>0.017</v>
      </c>
      <c r="Y32" s="141">
        <v>0.024</v>
      </c>
      <c r="Z32" s="141">
        <v>0.0</v>
      </c>
      <c r="AA32" s="141">
        <v>0.034</v>
      </c>
      <c r="AB32" s="140" t="s">
        <v>197</v>
      </c>
      <c r="AC32" s="141">
        <v>0.046</v>
      </c>
      <c r="AD32" s="140" t="s">
        <v>197</v>
      </c>
      <c r="AE32" s="140" t="s">
        <v>197</v>
      </c>
      <c r="AF32" s="141">
        <v>0.022</v>
      </c>
      <c r="AG32" s="141">
        <v>0.024</v>
      </c>
      <c r="AH32" s="141">
        <v>0.0</v>
      </c>
      <c r="AI32" s="141">
        <v>0.0</v>
      </c>
      <c r="AJ32" s="141">
        <v>0.016</v>
      </c>
      <c r="AK32" s="141">
        <v>0.0</v>
      </c>
      <c r="AL32" s="141">
        <v>0.026</v>
      </c>
      <c r="AM32" s="141">
        <v>0.0</v>
      </c>
      <c r="AN32" s="141">
        <v>0.021</v>
      </c>
      <c r="AO32" s="141">
        <v>0.024</v>
      </c>
    </row>
    <row r="33">
      <c r="A33" s="144" t="s">
        <v>190</v>
      </c>
      <c r="B33" s="141">
        <v>0.0</v>
      </c>
      <c r="C33" s="141">
        <v>0.004</v>
      </c>
      <c r="D33" s="140" t="s">
        <v>197</v>
      </c>
      <c r="E33" s="141">
        <v>0.082</v>
      </c>
      <c r="F33" s="141">
        <v>0.0</v>
      </c>
      <c r="G33" s="141">
        <v>0.016</v>
      </c>
      <c r="H33" s="141">
        <v>0.034</v>
      </c>
      <c r="I33" s="141">
        <v>0.026</v>
      </c>
      <c r="J33" s="141">
        <v>0.022</v>
      </c>
      <c r="K33" s="141">
        <v>0.014</v>
      </c>
      <c r="L33" s="140" t="s">
        <v>197</v>
      </c>
      <c r="M33" s="140" t="s">
        <v>197</v>
      </c>
      <c r="N33" s="140" t="s">
        <v>197</v>
      </c>
      <c r="O33" s="140" t="s">
        <v>197</v>
      </c>
      <c r="P33" s="140" t="s">
        <v>197</v>
      </c>
      <c r="Q33" s="141">
        <v>0.045</v>
      </c>
      <c r="R33" s="141">
        <v>0.016</v>
      </c>
      <c r="S33" s="141">
        <v>0.0</v>
      </c>
      <c r="T33" s="141">
        <v>0.013</v>
      </c>
      <c r="U33" s="141">
        <v>0.028</v>
      </c>
      <c r="V33" s="141">
        <v>0.0</v>
      </c>
      <c r="W33" s="140" t="s">
        <v>197</v>
      </c>
      <c r="X33" s="141">
        <v>0.018</v>
      </c>
      <c r="Y33" s="141">
        <v>0.03</v>
      </c>
      <c r="Z33" s="140" t="s">
        <v>197</v>
      </c>
      <c r="AA33" s="141">
        <v>0.031</v>
      </c>
      <c r="AB33" s="140" t="s">
        <v>197</v>
      </c>
      <c r="AC33" s="141">
        <v>0.04</v>
      </c>
      <c r="AD33" s="141">
        <v>0.0</v>
      </c>
      <c r="AE33" s="140" t="s">
        <v>197</v>
      </c>
      <c r="AF33" s="141">
        <v>0.004</v>
      </c>
      <c r="AG33" s="140" t="s">
        <v>197</v>
      </c>
      <c r="AH33" s="141">
        <v>0.027</v>
      </c>
      <c r="AI33" s="140" t="s">
        <v>197</v>
      </c>
      <c r="AJ33" s="141">
        <v>0.024</v>
      </c>
      <c r="AK33" s="140" t="s">
        <v>197</v>
      </c>
      <c r="AL33" s="140" t="s">
        <v>197</v>
      </c>
      <c r="AM33" s="140" t="s">
        <v>197</v>
      </c>
      <c r="AN33" s="141">
        <v>0.019</v>
      </c>
      <c r="AO33" s="141">
        <v>0.021</v>
      </c>
    </row>
    <row r="34">
      <c r="A34" s="144" t="s">
        <v>191</v>
      </c>
      <c r="B34" s="140" t="s">
        <v>197</v>
      </c>
      <c r="C34" s="141">
        <v>0.001</v>
      </c>
      <c r="D34" s="140" t="s">
        <v>197</v>
      </c>
      <c r="E34" s="141">
        <v>0.045</v>
      </c>
      <c r="F34" s="140" t="s">
        <v>197</v>
      </c>
      <c r="G34" s="141">
        <v>0.013</v>
      </c>
      <c r="H34" s="141">
        <v>0.026</v>
      </c>
      <c r="I34" s="141">
        <v>0.013</v>
      </c>
      <c r="J34" s="141">
        <v>0.015</v>
      </c>
      <c r="K34" s="141">
        <v>0.005</v>
      </c>
      <c r="L34" s="141">
        <v>0.0</v>
      </c>
      <c r="M34" s="140" t="s">
        <v>197</v>
      </c>
      <c r="N34" s="140" t="s">
        <v>197</v>
      </c>
      <c r="O34" s="140" t="s">
        <v>197</v>
      </c>
      <c r="P34" s="141">
        <v>0.0</v>
      </c>
      <c r="Q34" s="141">
        <v>0.027</v>
      </c>
      <c r="R34" s="141">
        <v>0.017</v>
      </c>
      <c r="S34" s="141">
        <v>0.0</v>
      </c>
      <c r="T34" s="140" t="s">
        <v>197</v>
      </c>
      <c r="U34" s="141">
        <v>0.017</v>
      </c>
      <c r="V34" s="141">
        <v>0.0</v>
      </c>
      <c r="W34" s="141">
        <v>0.006</v>
      </c>
      <c r="X34" s="141">
        <v>0.01</v>
      </c>
      <c r="Y34" s="141">
        <v>0.027</v>
      </c>
      <c r="Z34" s="140" t="s">
        <v>197</v>
      </c>
      <c r="AA34" s="141">
        <v>0.026</v>
      </c>
      <c r="AB34" s="142">
        <v>0.018</v>
      </c>
      <c r="AC34" s="141">
        <v>0.026</v>
      </c>
      <c r="AD34" s="140" t="s">
        <v>197</v>
      </c>
      <c r="AE34" s="140" t="s">
        <v>197</v>
      </c>
      <c r="AF34" s="141">
        <v>0.002</v>
      </c>
      <c r="AG34" s="140" t="s">
        <v>197</v>
      </c>
      <c r="AH34" s="141">
        <v>0.021</v>
      </c>
      <c r="AI34" s="140" t="s">
        <v>197</v>
      </c>
      <c r="AJ34" s="141">
        <v>0.008</v>
      </c>
      <c r="AK34" s="140" t="s">
        <v>197</v>
      </c>
      <c r="AL34" s="141">
        <v>0.011</v>
      </c>
      <c r="AM34" s="140" t="s">
        <v>197</v>
      </c>
      <c r="AN34" s="141">
        <v>0.021</v>
      </c>
      <c r="AO34" s="141">
        <v>0.013</v>
      </c>
    </row>
    <row r="35">
      <c r="A35" s="144" t="s">
        <v>192</v>
      </c>
      <c r="B35" s="140" t="s">
        <v>197</v>
      </c>
      <c r="C35" s="140" t="s">
        <v>197</v>
      </c>
      <c r="D35" s="140" t="s">
        <v>197</v>
      </c>
      <c r="E35" s="141">
        <v>0.015</v>
      </c>
      <c r="F35" s="141">
        <v>0.0</v>
      </c>
      <c r="G35" s="140" t="s">
        <v>197</v>
      </c>
      <c r="H35" s="141">
        <v>0.02</v>
      </c>
      <c r="I35" s="141">
        <v>0.016</v>
      </c>
      <c r="J35" s="141">
        <v>0.0</v>
      </c>
      <c r="K35" s="141">
        <v>0.009</v>
      </c>
      <c r="L35" s="141">
        <v>0.0</v>
      </c>
      <c r="M35" s="140" t="s">
        <v>197</v>
      </c>
      <c r="N35" s="140" t="s">
        <v>197</v>
      </c>
      <c r="O35" s="141">
        <v>0.0</v>
      </c>
      <c r="P35" s="140" t="s">
        <v>197</v>
      </c>
      <c r="Q35" s="141">
        <v>0.021</v>
      </c>
      <c r="R35" s="141">
        <v>0.011</v>
      </c>
      <c r="S35" s="141">
        <v>0.0</v>
      </c>
      <c r="T35" s="140" t="s">
        <v>197</v>
      </c>
      <c r="U35" s="140" t="s">
        <v>197</v>
      </c>
      <c r="V35" s="141">
        <v>0.0</v>
      </c>
      <c r="W35" s="141">
        <v>0.005</v>
      </c>
      <c r="X35" s="140" t="s">
        <v>197</v>
      </c>
      <c r="Y35" s="141">
        <v>0.036</v>
      </c>
      <c r="Z35" s="140" t="s">
        <v>197</v>
      </c>
      <c r="AA35" s="141">
        <v>0.021</v>
      </c>
      <c r="AB35" s="140" t="s">
        <v>197</v>
      </c>
      <c r="AC35" s="141">
        <v>0.014</v>
      </c>
      <c r="AD35" s="141">
        <v>0.0</v>
      </c>
      <c r="AE35" s="140" t="s">
        <v>197</v>
      </c>
      <c r="AF35" s="141">
        <v>0.002</v>
      </c>
      <c r="AG35" s="141">
        <v>0.0</v>
      </c>
      <c r="AH35" s="141">
        <v>0.022</v>
      </c>
      <c r="AI35" s="140" t="s">
        <v>197</v>
      </c>
      <c r="AJ35" s="141">
        <v>0.016</v>
      </c>
      <c r="AK35" s="141">
        <v>0.0</v>
      </c>
      <c r="AL35" s="140" t="s">
        <v>197</v>
      </c>
      <c r="AM35" s="140" t="s">
        <v>197</v>
      </c>
      <c r="AN35" s="141">
        <v>0.012</v>
      </c>
      <c r="AO35" s="141">
        <v>0.01</v>
      </c>
    </row>
    <row r="36">
      <c r="A36" s="144" t="s">
        <v>193</v>
      </c>
      <c r="B36" s="141">
        <v>0.011</v>
      </c>
      <c r="C36" s="141">
        <v>0.001</v>
      </c>
      <c r="D36" s="141">
        <v>0.026</v>
      </c>
      <c r="E36" s="141">
        <v>0.052</v>
      </c>
      <c r="F36" s="140" t="s">
        <v>197</v>
      </c>
      <c r="G36" s="141">
        <v>0.008</v>
      </c>
      <c r="H36" s="141">
        <v>0.023</v>
      </c>
      <c r="I36" s="141">
        <v>0.038</v>
      </c>
      <c r="J36" s="140" t="s">
        <v>197</v>
      </c>
      <c r="K36" s="141">
        <v>0.011</v>
      </c>
      <c r="L36" s="141">
        <v>0.0</v>
      </c>
      <c r="M36" s="140" t="s">
        <v>197</v>
      </c>
      <c r="N36" s="140" t="s">
        <v>197</v>
      </c>
      <c r="O36" s="141">
        <v>0.0</v>
      </c>
      <c r="P36" s="141">
        <v>0.0</v>
      </c>
      <c r="Q36" s="141">
        <v>0.019</v>
      </c>
      <c r="R36" s="140" t="s">
        <v>197</v>
      </c>
      <c r="S36" s="141">
        <v>0.0</v>
      </c>
      <c r="T36" s="140" t="s">
        <v>197</v>
      </c>
      <c r="U36" s="140" t="s">
        <v>197</v>
      </c>
      <c r="V36" s="141">
        <v>0.0</v>
      </c>
      <c r="W36" s="141">
        <v>0.008</v>
      </c>
      <c r="X36" s="141">
        <v>0.009</v>
      </c>
      <c r="Y36" s="141">
        <v>0.021</v>
      </c>
      <c r="Z36" s="140" t="s">
        <v>197</v>
      </c>
      <c r="AA36" s="141">
        <v>0.03</v>
      </c>
      <c r="AB36" s="140" t="s">
        <v>197</v>
      </c>
      <c r="AC36" s="141">
        <v>0.013</v>
      </c>
      <c r="AD36" s="141">
        <v>0.0</v>
      </c>
      <c r="AE36" s="140" t="s">
        <v>197</v>
      </c>
      <c r="AF36" s="141">
        <v>0.003</v>
      </c>
      <c r="AG36" s="140" t="s">
        <v>197</v>
      </c>
      <c r="AH36" s="140" t="s">
        <v>197</v>
      </c>
      <c r="AI36" s="141">
        <v>0.0</v>
      </c>
      <c r="AJ36" s="141">
        <v>0.016</v>
      </c>
      <c r="AK36" s="140" t="s">
        <v>197</v>
      </c>
      <c r="AL36" s="141">
        <v>0.024</v>
      </c>
      <c r="AM36" s="140" t="s">
        <v>197</v>
      </c>
      <c r="AN36" s="141">
        <v>0.027</v>
      </c>
      <c r="AO36" s="141">
        <v>0.012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206</v>
      </c>
      <c r="B1" s="146" t="s">
        <v>207</v>
      </c>
      <c r="C1" s="147" t="s">
        <v>74</v>
      </c>
      <c r="D1" s="147" t="s">
        <v>75</v>
      </c>
      <c r="E1" s="147" t="s">
        <v>76</v>
      </c>
      <c r="F1" s="147" t="s">
        <v>77</v>
      </c>
      <c r="G1" s="147" t="s">
        <v>25</v>
      </c>
      <c r="H1" s="147" t="s">
        <v>78</v>
      </c>
    </row>
    <row r="2" ht="14.25" customHeight="1">
      <c r="A2" s="148" t="s">
        <v>79</v>
      </c>
      <c r="B2" s="146" t="s">
        <v>126</v>
      </c>
      <c r="C2" s="149">
        <f>Municipality!B2</f>
        <v>76</v>
      </c>
      <c r="D2" s="149">
        <f>Municipality!C2</f>
        <v>470</v>
      </c>
      <c r="E2" s="149">
        <f>Municipality!D2</f>
        <v>7</v>
      </c>
      <c r="F2" s="149">
        <f>Municipality!E2</f>
        <v>43</v>
      </c>
      <c r="G2" s="149">
        <f>Municipality!F2</f>
        <v>0</v>
      </c>
      <c r="H2" s="149">
        <f>Municipality!G2</f>
        <v>0</v>
      </c>
    </row>
    <row r="3" ht="14.25" customHeight="1">
      <c r="A3" s="148" t="s">
        <v>80</v>
      </c>
      <c r="B3" s="146" t="s">
        <v>127</v>
      </c>
      <c r="C3" s="149">
        <f>Municipality!B3</f>
        <v>209</v>
      </c>
      <c r="D3" s="149">
        <f>Municipality!C3</f>
        <v>940</v>
      </c>
      <c r="E3" s="149">
        <f>Municipality!D3</f>
        <v>14</v>
      </c>
      <c r="F3" s="149">
        <f>Municipality!E3</f>
        <v>63</v>
      </c>
      <c r="G3" s="149">
        <f>Municipality!F3</f>
        <v>9</v>
      </c>
      <c r="H3" s="149">
        <f>Municipality!G3</f>
        <v>40</v>
      </c>
    </row>
    <row r="4" ht="14.25" customHeight="1">
      <c r="A4" s="148" t="s">
        <v>81</v>
      </c>
      <c r="B4" s="146" t="s">
        <v>128</v>
      </c>
      <c r="C4" s="149">
        <f>Municipality!B4</f>
        <v>144</v>
      </c>
      <c r="D4" s="149">
        <f>Municipality!C4</f>
        <v>875</v>
      </c>
      <c r="E4" s="149">
        <f>Municipality!D4</f>
        <v>21</v>
      </c>
      <c r="F4" s="149">
        <f>Municipality!E4</f>
        <v>128</v>
      </c>
      <c r="G4" s="149">
        <f>Municipality!F4</f>
        <v>21</v>
      </c>
      <c r="H4" s="149">
        <f>Municipality!G4</f>
        <v>128</v>
      </c>
    </row>
    <row r="5" ht="14.25" customHeight="1">
      <c r="A5" s="148" t="s">
        <v>82</v>
      </c>
      <c r="B5" s="146" t="s">
        <v>129</v>
      </c>
      <c r="C5" s="149">
        <f>Municipality!B5</f>
        <v>1223</v>
      </c>
      <c r="D5" s="149">
        <f>Municipality!C5</f>
        <v>6310</v>
      </c>
      <c r="E5" s="149">
        <f>Municipality!D5</f>
        <v>94</v>
      </c>
      <c r="F5" s="149">
        <f>Municipality!E5</f>
        <v>485</v>
      </c>
      <c r="G5" s="149">
        <f>Municipality!F5</f>
        <v>11</v>
      </c>
      <c r="H5" s="149">
        <f>Municipality!G5</f>
        <v>57</v>
      </c>
    </row>
    <row r="6" ht="14.25" customHeight="1">
      <c r="A6" s="148" t="s">
        <v>83</v>
      </c>
      <c r="B6" s="146" t="s">
        <v>130</v>
      </c>
      <c r="C6" s="149">
        <f>Municipality!B6</f>
        <v>37</v>
      </c>
      <c r="D6" s="149">
        <f>Municipality!C6</f>
        <v>476</v>
      </c>
      <c r="E6" s="149" t="str">
        <f>Municipality!D6</f>
        <v>&lt;5</v>
      </c>
      <c r="F6" s="149" t="str">
        <f>Municipality!E6</f>
        <v>--</v>
      </c>
      <c r="G6" s="149" t="str">
        <f>Municipality!F6</f>
        <v>&lt;5</v>
      </c>
      <c r="H6" s="149" t="str">
        <f>Municipality!G6</f>
        <v>--</v>
      </c>
    </row>
    <row r="7" ht="14.25" customHeight="1">
      <c r="A7" s="148" t="s">
        <v>84</v>
      </c>
      <c r="B7" s="146" t="s">
        <v>131</v>
      </c>
      <c r="C7" s="149">
        <f>Municipality!B7</f>
        <v>305</v>
      </c>
      <c r="D7" s="149">
        <f>Municipality!C7</f>
        <v>882</v>
      </c>
      <c r="E7" s="149">
        <f>Municipality!D7</f>
        <v>27</v>
      </c>
      <c r="F7" s="149">
        <f>Municipality!E7</f>
        <v>78</v>
      </c>
      <c r="G7" s="149">
        <f>Municipality!F7</f>
        <v>13</v>
      </c>
      <c r="H7" s="149">
        <f>Municipality!G7</f>
        <v>38</v>
      </c>
    </row>
    <row r="8" ht="14.25" customHeight="1">
      <c r="A8" s="148" t="s">
        <v>85</v>
      </c>
      <c r="B8" s="146" t="s">
        <v>132</v>
      </c>
      <c r="C8" s="149">
        <f>Municipality!B8</f>
        <v>1522</v>
      </c>
      <c r="D8" s="149">
        <f>Municipality!C8</f>
        <v>1874</v>
      </c>
      <c r="E8" s="149">
        <f>Municipality!D8</f>
        <v>150</v>
      </c>
      <c r="F8" s="149">
        <f>Municipality!E8</f>
        <v>185</v>
      </c>
      <c r="G8" s="149">
        <f>Municipality!F8</f>
        <v>23</v>
      </c>
      <c r="H8" s="149">
        <f>Municipality!G8</f>
        <v>28</v>
      </c>
    </row>
    <row r="9" ht="14.25" customHeight="1">
      <c r="A9" s="148" t="s">
        <v>86</v>
      </c>
      <c r="B9" s="146" t="s">
        <v>133</v>
      </c>
      <c r="C9" s="149">
        <f>Municipality!B9</f>
        <v>471</v>
      </c>
      <c r="D9" s="149">
        <f>Municipality!C9</f>
        <v>1359</v>
      </c>
      <c r="E9" s="149">
        <f>Municipality!D9</f>
        <v>55</v>
      </c>
      <c r="F9" s="149">
        <f>Municipality!E9</f>
        <v>159</v>
      </c>
      <c r="G9" s="149">
        <f>Municipality!F9</f>
        <v>28</v>
      </c>
      <c r="H9" s="149">
        <f>Municipality!G9</f>
        <v>81</v>
      </c>
    </row>
    <row r="10" ht="14.25" customHeight="1">
      <c r="A10" s="148" t="s">
        <v>87</v>
      </c>
      <c r="B10" s="146" t="s">
        <v>134</v>
      </c>
      <c r="C10" s="149">
        <f>Municipality!B10</f>
        <v>137</v>
      </c>
      <c r="D10" s="149">
        <f>Municipality!C10</f>
        <v>1048</v>
      </c>
      <c r="E10" s="149">
        <f>Municipality!D10</f>
        <v>8</v>
      </c>
      <c r="F10" s="149">
        <f>Municipality!E10</f>
        <v>61</v>
      </c>
      <c r="G10" s="149">
        <f>Municipality!F10</f>
        <v>0</v>
      </c>
      <c r="H10" s="149">
        <f>Municipality!G10</f>
        <v>0</v>
      </c>
    </row>
    <row r="11" ht="14.25" customHeight="1">
      <c r="A11" s="148" t="s">
        <v>88</v>
      </c>
      <c r="B11" s="146" t="s">
        <v>135</v>
      </c>
      <c r="C11" s="149">
        <f>Municipality!B11</f>
        <v>906</v>
      </c>
      <c r="D11" s="149">
        <f>Municipality!C11</f>
        <v>1909</v>
      </c>
      <c r="E11" s="149">
        <f>Municipality!D11</f>
        <v>96</v>
      </c>
      <c r="F11" s="149">
        <f>Municipality!E11</f>
        <v>202</v>
      </c>
      <c r="G11" s="149">
        <f>Municipality!F11</f>
        <v>110</v>
      </c>
      <c r="H11" s="149">
        <f>Municipality!G11</f>
        <v>232</v>
      </c>
    </row>
    <row r="12" ht="14.25" customHeight="1">
      <c r="A12" s="148" t="s">
        <v>89</v>
      </c>
      <c r="B12" s="146" t="s">
        <v>136</v>
      </c>
      <c r="C12" s="149">
        <f>Municipality!B12</f>
        <v>48</v>
      </c>
      <c r="D12" s="149">
        <f>Municipality!C12</f>
        <v>708</v>
      </c>
      <c r="E12" s="149">
        <f>Municipality!D12</f>
        <v>6</v>
      </c>
      <c r="F12" s="149">
        <f>Municipality!E12</f>
        <v>88</v>
      </c>
      <c r="G12" s="149" t="str">
        <f>Municipality!F12</f>
        <v>&lt;5</v>
      </c>
      <c r="H12" s="149" t="str">
        <f>Municipality!G12</f>
        <v>--</v>
      </c>
    </row>
    <row r="13" ht="14.25" customHeight="1">
      <c r="A13" s="148" t="s">
        <v>90</v>
      </c>
      <c r="B13" s="146" t="s">
        <v>137</v>
      </c>
      <c r="C13" s="149">
        <f>Municipality!B13</f>
        <v>32</v>
      </c>
      <c r="D13" s="149">
        <f>Municipality!C13</f>
        <v>682</v>
      </c>
      <c r="E13" s="149" t="str">
        <f>Municipality!D13</f>
        <v>&lt;5</v>
      </c>
      <c r="F13" s="149" t="str">
        <f>Municipality!E13</f>
        <v>--</v>
      </c>
      <c r="G13" s="149">
        <f>Municipality!F13</f>
        <v>0</v>
      </c>
      <c r="H13" s="149">
        <f>Municipality!G13</f>
        <v>0</v>
      </c>
    </row>
    <row r="14" ht="14.25" customHeight="1">
      <c r="A14" s="148" t="s">
        <v>91</v>
      </c>
      <c r="B14" s="146" t="s">
        <v>138</v>
      </c>
      <c r="C14" s="149">
        <f>Municipality!B14</f>
        <v>67</v>
      </c>
      <c r="D14" s="149">
        <f>Municipality!C14</f>
        <v>666</v>
      </c>
      <c r="E14" s="149" t="str">
        <f>Municipality!D14</f>
        <v>&lt;5</v>
      </c>
      <c r="F14" s="149" t="str">
        <f>Municipality!E14</f>
        <v>--</v>
      </c>
      <c r="G14" s="149">
        <f>Municipality!F14</f>
        <v>0</v>
      </c>
      <c r="H14" s="149">
        <f>Municipality!G14</f>
        <v>0</v>
      </c>
    </row>
    <row r="15" ht="14.25" customHeight="1">
      <c r="A15" s="148" t="s">
        <v>92</v>
      </c>
      <c r="B15" s="146" t="s">
        <v>139</v>
      </c>
      <c r="C15" s="149">
        <f>Municipality!B15</f>
        <v>17</v>
      </c>
      <c r="D15" s="149">
        <f>Municipality!C15</f>
        <v>210</v>
      </c>
      <c r="E15" s="149" t="str">
        <f>Municipality!D15</f>
        <v>&lt;5</v>
      </c>
      <c r="F15" s="149" t="str">
        <f>Municipality!E15</f>
        <v>--</v>
      </c>
      <c r="G15" s="149" t="str">
        <f>Municipality!F15</f>
        <v>&lt;5</v>
      </c>
      <c r="H15" s="149" t="str">
        <f>Municipality!G15</f>
        <v>--</v>
      </c>
    </row>
    <row r="16" ht="14.25" customHeight="1">
      <c r="A16" s="148" t="s">
        <v>93</v>
      </c>
      <c r="B16" s="146" t="s">
        <v>140</v>
      </c>
      <c r="C16" s="149">
        <f>Municipality!B16</f>
        <v>28</v>
      </c>
      <c r="D16" s="149">
        <f>Municipality!C16</f>
        <v>509</v>
      </c>
      <c r="E16" s="149" t="str">
        <f>Municipality!D16</f>
        <v>&lt;5</v>
      </c>
      <c r="F16" s="149" t="str">
        <f>Municipality!E16</f>
        <v>--</v>
      </c>
      <c r="G16" s="149">
        <f>Municipality!F16</f>
        <v>0</v>
      </c>
      <c r="H16" s="149">
        <f>Municipality!G16</f>
        <v>0</v>
      </c>
    </row>
    <row r="17" ht="14.25" customHeight="1">
      <c r="A17" s="148" t="s">
        <v>94</v>
      </c>
      <c r="B17" s="146" t="s">
        <v>141</v>
      </c>
      <c r="C17" s="149">
        <f>Municipality!B17</f>
        <v>620</v>
      </c>
      <c r="D17" s="149">
        <f>Municipality!C17</f>
        <v>2121</v>
      </c>
      <c r="E17" s="149">
        <f>Municipality!D17</f>
        <v>55</v>
      </c>
      <c r="F17" s="149">
        <f>Municipality!E17</f>
        <v>188</v>
      </c>
      <c r="G17" s="149">
        <f>Municipality!F17</f>
        <v>66</v>
      </c>
      <c r="H17" s="149">
        <f>Municipality!G17</f>
        <v>226</v>
      </c>
    </row>
    <row r="18" ht="14.25" customHeight="1">
      <c r="A18" s="148" t="s">
        <v>95</v>
      </c>
      <c r="B18" s="146" t="s">
        <v>142</v>
      </c>
      <c r="C18" s="149">
        <f>Municipality!B18</f>
        <v>351</v>
      </c>
      <c r="D18" s="149">
        <f>Municipality!C18</f>
        <v>1622</v>
      </c>
      <c r="E18" s="149">
        <f>Municipality!D18</f>
        <v>34</v>
      </c>
      <c r="F18" s="149">
        <f>Municipality!E18</f>
        <v>157</v>
      </c>
      <c r="G18" s="149">
        <f>Municipality!F18</f>
        <v>37</v>
      </c>
      <c r="H18" s="149">
        <f>Municipality!G18</f>
        <v>171</v>
      </c>
    </row>
    <row r="19" ht="14.25" customHeight="1">
      <c r="A19" s="148" t="s">
        <v>96</v>
      </c>
      <c r="B19" s="146" t="s">
        <v>143</v>
      </c>
      <c r="C19" s="149">
        <f>Municipality!B19</f>
        <v>16</v>
      </c>
      <c r="D19" s="149">
        <f>Municipality!C19</f>
        <v>456</v>
      </c>
      <c r="E19" s="149">
        <f>Municipality!D19</f>
        <v>0</v>
      </c>
      <c r="F19" s="149">
        <f>Municipality!E19</f>
        <v>0</v>
      </c>
      <c r="G19" s="149" t="str">
        <f>Municipality!F19</f>
        <v>&lt;5</v>
      </c>
      <c r="H19" s="149" t="str">
        <f>Municipality!G19</f>
        <v>--</v>
      </c>
    </row>
    <row r="20" ht="14.25" customHeight="1">
      <c r="A20" s="148" t="s">
        <v>97</v>
      </c>
      <c r="B20" s="146" t="s">
        <v>144</v>
      </c>
      <c r="C20" s="149">
        <f>Municipality!B20</f>
        <v>90</v>
      </c>
      <c r="D20" s="149">
        <f>Municipality!C20</f>
        <v>560</v>
      </c>
      <c r="E20" s="149">
        <f>Municipality!D20</f>
        <v>8</v>
      </c>
      <c r="F20" s="149">
        <f>Municipality!E20</f>
        <v>50</v>
      </c>
      <c r="G20" s="149" t="str">
        <f>Municipality!F20</f>
        <v>&lt;5</v>
      </c>
      <c r="H20" s="149" t="str">
        <f>Municipality!G20</f>
        <v>--</v>
      </c>
    </row>
    <row r="21" ht="14.25" customHeight="1">
      <c r="A21" s="148" t="s">
        <v>98</v>
      </c>
      <c r="B21" s="146" t="s">
        <v>145</v>
      </c>
      <c r="C21" s="149">
        <f>Municipality!B21</f>
        <v>92</v>
      </c>
      <c r="D21" s="149">
        <f>Municipality!C21</f>
        <v>592</v>
      </c>
      <c r="E21" s="149">
        <f>Municipality!D21</f>
        <v>6</v>
      </c>
      <c r="F21" s="149">
        <f>Municipality!E21</f>
        <v>39</v>
      </c>
      <c r="G21" s="149">
        <f>Municipality!F21</f>
        <v>0</v>
      </c>
      <c r="H21" s="149">
        <f>Municipality!G21</f>
        <v>0</v>
      </c>
    </row>
    <row r="22" ht="14.25" customHeight="1">
      <c r="A22" s="148" t="s">
        <v>99</v>
      </c>
      <c r="B22" s="146" t="s">
        <v>146</v>
      </c>
      <c r="C22" s="149">
        <f>Municipality!B22</f>
        <v>6</v>
      </c>
      <c r="D22" s="149">
        <f>Municipality!C22</f>
        <v>726</v>
      </c>
      <c r="E22" s="149">
        <f>Municipality!D22</f>
        <v>0</v>
      </c>
      <c r="F22" s="149">
        <f>Municipality!E22</f>
        <v>0</v>
      </c>
      <c r="G22" s="149">
        <f>Municipality!F22</f>
        <v>0</v>
      </c>
      <c r="H22" s="149">
        <f>Municipality!G22</f>
        <v>0</v>
      </c>
    </row>
    <row r="23" ht="14.25" customHeight="1">
      <c r="A23" s="148" t="s">
        <v>100</v>
      </c>
      <c r="B23" s="146" t="s">
        <v>147</v>
      </c>
      <c r="C23" s="149">
        <f>Municipality!B23</f>
        <v>168</v>
      </c>
      <c r="D23" s="149">
        <f>Municipality!C23</f>
        <v>678</v>
      </c>
      <c r="E23" s="149">
        <f>Municipality!D23</f>
        <v>14</v>
      </c>
      <c r="F23" s="149">
        <f>Municipality!E23</f>
        <v>57</v>
      </c>
      <c r="G23" s="149" t="str">
        <f>Municipality!F23</f>
        <v>&lt;5</v>
      </c>
      <c r="H23" s="149" t="str">
        <f>Municipality!G23</f>
        <v>--</v>
      </c>
    </row>
    <row r="24" ht="14.25" customHeight="1">
      <c r="A24" s="148" t="s">
        <v>101</v>
      </c>
      <c r="B24" s="146" t="s">
        <v>148</v>
      </c>
      <c r="C24" s="149">
        <f>Municipality!B24</f>
        <v>299</v>
      </c>
      <c r="D24" s="149">
        <f>Municipality!C24</f>
        <v>1141</v>
      </c>
      <c r="E24" s="149">
        <f>Municipality!D24</f>
        <v>33</v>
      </c>
      <c r="F24" s="149">
        <f>Municipality!E24</f>
        <v>126</v>
      </c>
      <c r="G24" s="149">
        <f>Municipality!F24</f>
        <v>51</v>
      </c>
      <c r="H24" s="149">
        <f>Municipality!G24</f>
        <v>195</v>
      </c>
    </row>
    <row r="25" ht="15.75" customHeight="1">
      <c r="A25" s="148" t="s">
        <v>102</v>
      </c>
      <c r="B25" s="146" t="s">
        <v>149</v>
      </c>
      <c r="C25" s="149">
        <f>Municipality!B25</f>
        <v>985</v>
      </c>
      <c r="D25" s="149">
        <f>Municipality!C25</f>
        <v>3035</v>
      </c>
      <c r="E25" s="149">
        <f>Municipality!D25</f>
        <v>117</v>
      </c>
      <c r="F25" s="149">
        <f>Municipality!E25</f>
        <v>360</v>
      </c>
      <c r="G25" s="149">
        <f>Municipality!F25</f>
        <v>78</v>
      </c>
      <c r="H25" s="149">
        <f>Municipality!G25</f>
        <v>240</v>
      </c>
    </row>
    <row r="26" ht="14.25" customHeight="1">
      <c r="A26" s="148" t="s">
        <v>103</v>
      </c>
      <c r="B26" s="146" t="s">
        <v>150</v>
      </c>
      <c r="C26" s="149">
        <f>Municipality!B26</f>
        <v>153</v>
      </c>
      <c r="D26" s="149">
        <f>Municipality!C26</f>
        <v>1239</v>
      </c>
      <c r="E26" s="149">
        <f>Municipality!D26</f>
        <v>17</v>
      </c>
      <c r="F26" s="149">
        <f>Municipality!E26</f>
        <v>138</v>
      </c>
      <c r="G26" s="149">
        <f>Municipality!F26</f>
        <v>27</v>
      </c>
      <c r="H26" s="149">
        <f>Municipality!G26</f>
        <v>219</v>
      </c>
    </row>
    <row r="27" ht="14.25" customHeight="1">
      <c r="A27" s="148" t="s">
        <v>104</v>
      </c>
      <c r="B27" s="146" t="s">
        <v>151</v>
      </c>
      <c r="C27" s="149">
        <f>Municipality!B27</f>
        <v>2301</v>
      </c>
      <c r="D27" s="149">
        <f>Municipality!C27</f>
        <v>3207</v>
      </c>
      <c r="E27" s="149">
        <f>Municipality!D27</f>
        <v>203</v>
      </c>
      <c r="F27" s="149">
        <f>Municipality!E27</f>
        <v>283</v>
      </c>
      <c r="G27" s="149">
        <f>Municipality!F27</f>
        <v>47</v>
      </c>
      <c r="H27" s="149">
        <f>Municipality!G27</f>
        <v>65</v>
      </c>
    </row>
    <row r="28" ht="14.25" customHeight="1">
      <c r="A28" s="148" t="s">
        <v>105</v>
      </c>
      <c r="B28" s="146" t="s">
        <v>152</v>
      </c>
      <c r="C28" s="149">
        <f>Municipality!B28</f>
        <v>79</v>
      </c>
      <c r="D28" s="149">
        <f>Municipality!C28</f>
        <v>454</v>
      </c>
      <c r="E28" s="149" t="str">
        <f>Municipality!D28</f>
        <v>&lt;5</v>
      </c>
      <c r="F28" s="149" t="str">
        <f>Municipality!E28</f>
        <v>--</v>
      </c>
      <c r="G28" s="149">
        <f>Municipality!F28</f>
        <v>0</v>
      </c>
      <c r="H28" s="149">
        <f>Municipality!G28</f>
        <v>0</v>
      </c>
    </row>
    <row r="29" ht="14.25" customHeight="1">
      <c r="A29" s="148" t="s">
        <v>106</v>
      </c>
      <c r="B29" s="146" t="s">
        <v>153</v>
      </c>
      <c r="C29" s="149">
        <f>Municipality!B29</f>
        <v>7875</v>
      </c>
      <c r="D29" s="149">
        <f>Municipality!C29</f>
        <v>4389</v>
      </c>
      <c r="E29" s="149">
        <f>Municipality!D29</f>
        <v>827</v>
      </c>
      <c r="F29" s="149">
        <f>Municipality!E29</f>
        <v>461</v>
      </c>
      <c r="G29" s="149">
        <f>Municipality!F29</f>
        <v>287</v>
      </c>
      <c r="H29" s="149">
        <f>Municipality!G29</f>
        <v>160</v>
      </c>
    </row>
    <row r="30" ht="14.25" customHeight="1">
      <c r="A30" s="148" t="s">
        <v>107</v>
      </c>
      <c r="B30" s="146" t="s">
        <v>154</v>
      </c>
      <c r="C30" s="149">
        <f>Municipality!B30</f>
        <v>33</v>
      </c>
      <c r="D30" s="149">
        <f>Municipality!C30</f>
        <v>433</v>
      </c>
      <c r="E30" s="149" t="str">
        <f>Municipality!D30</f>
        <v>&lt;5</v>
      </c>
      <c r="F30" s="149" t="str">
        <f>Municipality!E30</f>
        <v>--</v>
      </c>
      <c r="G30" s="149">
        <f>Municipality!F30</f>
        <v>0</v>
      </c>
      <c r="H30" s="149">
        <f>Municipality!G30</f>
        <v>0</v>
      </c>
    </row>
    <row r="31" ht="14.25" customHeight="1">
      <c r="A31" s="148" t="s">
        <v>108</v>
      </c>
      <c r="B31" s="146" t="s">
        <v>155</v>
      </c>
      <c r="C31" s="149">
        <f>Municipality!B31</f>
        <v>68</v>
      </c>
      <c r="D31" s="149">
        <f>Municipality!C31</f>
        <v>641</v>
      </c>
      <c r="E31" s="149" t="str">
        <f>Municipality!D31</f>
        <v>&lt;5</v>
      </c>
      <c r="F31" s="149" t="str">
        <f>Municipality!E31</f>
        <v>--</v>
      </c>
      <c r="G31" s="149" t="str">
        <f>Municipality!F31</f>
        <v>&lt;5</v>
      </c>
      <c r="H31" s="149" t="str">
        <f>Municipality!G31</f>
        <v>--</v>
      </c>
    </row>
    <row r="32" ht="14.25" customHeight="1">
      <c r="A32" s="148" t="s">
        <v>109</v>
      </c>
      <c r="B32" s="146" t="s">
        <v>156</v>
      </c>
      <c r="C32" s="149">
        <f>Municipality!B32</f>
        <v>364</v>
      </c>
      <c r="D32" s="149">
        <f>Municipality!C32</f>
        <v>1683</v>
      </c>
      <c r="E32" s="149">
        <f>Municipality!D32</f>
        <v>64</v>
      </c>
      <c r="F32" s="149">
        <f>Municipality!E32</f>
        <v>296</v>
      </c>
      <c r="G32" s="149">
        <f>Municipality!F32</f>
        <v>48</v>
      </c>
      <c r="H32" s="149">
        <f>Municipality!G32</f>
        <v>222</v>
      </c>
    </row>
    <row r="33" ht="14.25" customHeight="1">
      <c r="A33" s="148" t="s">
        <v>110</v>
      </c>
      <c r="B33" s="146" t="s">
        <v>157</v>
      </c>
      <c r="C33" s="149">
        <f>Municipality!B33</f>
        <v>126</v>
      </c>
      <c r="D33" s="149">
        <f>Municipality!C33</f>
        <v>410</v>
      </c>
      <c r="E33" s="149">
        <f>Municipality!D33</f>
        <v>14</v>
      </c>
      <c r="F33" s="149">
        <f>Municipality!E33</f>
        <v>46</v>
      </c>
      <c r="G33" s="149">
        <f>Municipality!F33</f>
        <v>16</v>
      </c>
      <c r="H33" s="149">
        <f>Municipality!G33</f>
        <v>52</v>
      </c>
    </row>
    <row r="34" ht="14.25" customHeight="1">
      <c r="A34" s="148" t="s">
        <v>111</v>
      </c>
      <c r="B34" s="146" t="s">
        <v>158</v>
      </c>
      <c r="C34" s="149">
        <f>Municipality!B34</f>
        <v>121</v>
      </c>
      <c r="D34" s="149">
        <f>Municipality!C34</f>
        <v>765</v>
      </c>
      <c r="E34" s="149" t="str">
        <f>Municipality!D34</f>
        <v>&lt;5</v>
      </c>
      <c r="F34" s="149" t="str">
        <f>Municipality!E34</f>
        <v>--</v>
      </c>
      <c r="G34" s="149" t="str">
        <f>Municipality!F34</f>
        <v>&lt;5</v>
      </c>
      <c r="H34" s="149" t="str">
        <f>Municipality!G34</f>
        <v>--</v>
      </c>
    </row>
    <row r="35" ht="14.25" customHeight="1">
      <c r="A35" s="148" t="s">
        <v>112</v>
      </c>
      <c r="B35" s="146" t="s">
        <v>159</v>
      </c>
      <c r="C35" s="149">
        <f>Municipality!B35</f>
        <v>97</v>
      </c>
      <c r="D35" s="149">
        <f>Municipality!C35</f>
        <v>925</v>
      </c>
      <c r="E35" s="149">
        <f>Municipality!D35</f>
        <v>7</v>
      </c>
      <c r="F35" s="149">
        <f>Municipality!E35</f>
        <v>67</v>
      </c>
      <c r="G35" s="149">
        <f>Municipality!F35</f>
        <v>7</v>
      </c>
      <c r="H35" s="149">
        <f>Municipality!G35</f>
        <v>67</v>
      </c>
    </row>
    <row r="36" ht="14.25" customHeight="1">
      <c r="A36" s="148" t="s">
        <v>113</v>
      </c>
      <c r="B36" s="146" t="s">
        <v>160</v>
      </c>
      <c r="C36" s="149">
        <f>Municipality!B36</f>
        <v>913</v>
      </c>
      <c r="D36" s="149">
        <f>Municipality!C36</f>
        <v>1126</v>
      </c>
      <c r="E36" s="149">
        <f>Municipality!D36</f>
        <v>83</v>
      </c>
      <c r="F36" s="149">
        <f>Municipality!E36</f>
        <v>102</v>
      </c>
      <c r="G36" s="149">
        <f>Municipality!F36</f>
        <v>72</v>
      </c>
      <c r="H36" s="149">
        <f>Municipality!G36</f>
        <v>89</v>
      </c>
    </row>
    <row r="37" ht="14.25" customHeight="1">
      <c r="A37" s="148" t="s">
        <v>114</v>
      </c>
      <c r="B37" s="146" t="s">
        <v>161</v>
      </c>
      <c r="C37" s="149">
        <f>Municipality!B37</f>
        <v>31</v>
      </c>
      <c r="D37" s="149">
        <f>Municipality!C37</f>
        <v>502</v>
      </c>
      <c r="E37" s="149">
        <f>Municipality!D37</f>
        <v>0</v>
      </c>
      <c r="F37" s="149">
        <f>Municipality!E37</f>
        <v>0</v>
      </c>
      <c r="G37" s="149">
        <f>Municipality!F37</f>
        <v>0</v>
      </c>
      <c r="H37" s="149">
        <f>Municipality!G37</f>
        <v>0</v>
      </c>
    </row>
    <row r="38" ht="14.25" customHeight="1">
      <c r="A38" s="148" t="s">
        <v>115</v>
      </c>
      <c r="B38" s="146" t="s">
        <v>162</v>
      </c>
      <c r="C38" s="149">
        <f>Municipality!B38</f>
        <v>410</v>
      </c>
      <c r="D38" s="149">
        <f>Municipality!C38</f>
        <v>1416</v>
      </c>
      <c r="E38" s="149">
        <f>Municipality!D38</f>
        <v>40</v>
      </c>
      <c r="F38" s="149">
        <f>Municipality!E38</f>
        <v>138</v>
      </c>
      <c r="G38" s="149">
        <f>Municipality!F38</f>
        <v>22</v>
      </c>
      <c r="H38" s="149">
        <f>Municipality!G38</f>
        <v>76</v>
      </c>
    </row>
    <row r="39" ht="14.25" customHeight="1">
      <c r="A39" s="148" t="s">
        <v>116</v>
      </c>
      <c r="B39" s="146" t="s">
        <v>163</v>
      </c>
      <c r="C39" s="149">
        <f>Municipality!B39</f>
        <v>95</v>
      </c>
      <c r="D39" s="149">
        <f>Municipality!C39</f>
        <v>420</v>
      </c>
      <c r="E39" s="149">
        <f>Municipality!D39</f>
        <v>10</v>
      </c>
      <c r="F39" s="149">
        <f>Municipality!E39</f>
        <v>44</v>
      </c>
      <c r="G39" s="149" t="str">
        <f>Municipality!F39</f>
        <v>&lt;5</v>
      </c>
      <c r="H39" s="149" t="str">
        <f>Municipality!G39</f>
        <v>--</v>
      </c>
    </row>
    <row r="40" ht="14.25" customHeight="1">
      <c r="A40" s="148" t="s">
        <v>117</v>
      </c>
      <c r="B40" s="146" t="s">
        <v>164</v>
      </c>
      <c r="C40" s="149">
        <f>Municipality!B40</f>
        <v>859</v>
      </c>
      <c r="D40" s="149">
        <f>Municipality!C40</f>
        <v>2068</v>
      </c>
      <c r="E40" s="149">
        <f>Municipality!D40</f>
        <v>107</v>
      </c>
      <c r="F40" s="149">
        <f>Municipality!E40</f>
        <v>258</v>
      </c>
      <c r="G40" s="149">
        <f>Municipality!F40</f>
        <v>82</v>
      </c>
      <c r="H40" s="149">
        <f>Municipality!G40</f>
        <v>197</v>
      </c>
    </row>
  </sheetData>
  <printOptions/>
  <pageMargins bottom="0.75" footer="0.0" header="0.0" left="0.7" right="0.7" top="0.75"/>
  <pageSetup orientation="portrait"/>
  <drawing r:id="rId1"/>
</worksheet>
</file>