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<sst xmlns="http://schemas.openxmlformats.org/spreadsheetml/2006/main" count="4576" uniqueCount="736">
  <si>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</si>
  <si>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</si>
  <si>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</si>
  <si>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</si>
  <si>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</si>
  <si>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</si>
  <si>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</si>
  <si>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</si>
  <si>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</si>
  <si>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</si>
  <si>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</si>
  <si>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</si>
  <si>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</si>
  <si>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</si>
  <si>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</si>
  <si>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</si>
  <si>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</si>
  <si>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</si>
  <si>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</si>
  <si>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</si>
  <si>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</si>
  <si>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</si>
  <si>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</si>
  <si>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</si>
  <si>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</si>
  <si>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</si>
  <si>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</si>
  <si>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</si>
  <si>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</si>
  <si>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</si>
  <si>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</si>
  <si>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</si>
  <si>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</si>
  <si>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</si>
  <si>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</si>
  <si>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</si>
  <si>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N=387,368</t>
  </si>
  <si>
    <t>N=29,779</t>
  </si>
  <si>
    <t>N=3,214</t>
  </si>
  <si>
    <t>N=1,183</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</si>
  <si>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</si>
  <si>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</si>
  <si>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</si>
  <si>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</si>
  <si>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</si>
  <si>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</si>
  <si>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</si>
  <si>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</si>
  <si>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</si>
  <si>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</si>
  <si>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</si>
  <si>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</si>
  <si>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</si>
  <si>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</si>
  <si>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</si>
  <si>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</si>
  <si>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</si>
  <si>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</si>
  <si>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</si>
  <si>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</si>
  <si>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</si>
  <si>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</si>
  <si>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</si>
  <si>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</si>
  <si>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</si>
  <si>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</si>
  <si>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</si>
  <si>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</si>
  <si>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</si>
  <si>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</si>
  <si>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</si>
  <si>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</si>
  <si>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</si>
  <si>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</si>
  <si>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</si>
  <si>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</si>
  <si>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</si>
  <si>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</si>
  <si>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</si>
  <si>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</si>
  <si>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</si>
  <si>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</si>
  <si>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</si>
  <si>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</si>
  <si>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</si>
  <si>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</si>
  <si>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</si>
  <si>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</si>
  <si>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</si>
  <si>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</si>
  <si>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</si>
  <si>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</si>
  <si>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</si>
  <si>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</si>
  <si>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</si>
  <si>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</si>
  <si>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</si>
  <si>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</si>
  <si>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</si>
  <si>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</si>
  <si>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</si>
  <si>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</si>
  <si>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</si>
  <si>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</si>
  <si>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</si>
  <si>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</si>
  <si>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</si>
  <si>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</si>
  <si>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</si>
  <si>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</si>
  <si>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</si>
  <si>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</si>
  <si>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</si>
  <si>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</si>
  <si>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</si>
  <si>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</si>
  <si>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</si>
  <si>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</si>
  <si>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</si>
  <si>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</si>
  <si>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</si>
  <si>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</si>
  <si>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</si>
  <si>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</si>
  <si>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</si>
  <si>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</si>
  <si>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</si>
  <si>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</si>
  <si>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</si>
  <si>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</si>
  <si>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</si>
  <si>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</si>
  <si>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</si>
  <si>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</si>
  <si>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</si>
  <si>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</si>
  <si>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</si>
  <si>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</si>
  <si>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</si>
  <si>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</si>
  <si>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</si>
  <si>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</si>
  <si>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</si>
  <si>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</si>
  <si>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</si>
  <si>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</si>
  <si>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</si>
  <si>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</si>
  <si>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</si>
  <si>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</si>
  <si>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</si>
  <si>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</si>
  <si>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</si>
  <si>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</si>
  <si>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</si>
  <si>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</si>
  <si>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</si>
  <si>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</si>
  <si>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</si>
  <si>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</si>
  <si>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</si>
  <si>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</si>
  <si>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</si>
  <si>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</si>
  <si>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</si>
  <si>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</si>
  <si>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</si>
  <si>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</si>
  <si>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</si>
  <si>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</si>
  <si>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</si>
  <si>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</si>
  <si>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</si>
  <si>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</si>
  <si>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</si>
  <si>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</si>
  <si>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</si>
  <si>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</si>
  <si>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</si>
  <si>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</si>
  <si>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</si>
  <si>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</si>
  <si>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</si>
  <si>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</si>
  <si>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</si>
  <si>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</si>
  <si>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</si>
  <si>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</si>
  <si>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</si>
  <si>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</si>
  <si>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</si>
  <si>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</si>
  <si>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</si>
  <si>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</si>
  <si>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</si>
  <si>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</si>
  <si>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</si>
  <si>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</si>
  <si>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</si>
  <si>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</si>
  <si>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</si>
  <si>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</si>
  <si>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</si>
  <si>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</si>
  <si>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</si>
  <si>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</si>
  <si>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</si>
  <si>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</si>
  <si>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</si>
  <si>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</si>
  <si>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</si>
  <si>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</si>
  <si>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</si>
  <si>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</si>
  <si>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</si>
  <si>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</si>
  <si>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</si>
  <si>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</si>
  <si>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</si>
  <si>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</si>
  <si>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</si>
  <si>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</si>
  <si>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</si>
  <si>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</si>
  <si>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</si>
  <si>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</si>
  <si>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</si>
  <si>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</si>
  <si>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</si>
  <si>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</si>
  <si>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</si>
  <si>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</si>
  <si>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</si>
  <si>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</si>
  <si>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</si>
  <si>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</si>
  <si>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</si>
  <si>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</si>
  <si>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</si>
  <si>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</si>
  <si>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</si>
  <si>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</si>
  <si>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</si>
  <si>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</si>
  <si>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</si>
  <si>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</si>
  <si>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</si>
  <si>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</si>
  <si>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</si>
  <si>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</si>
  <si>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</si>
  <si>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</si>
  <si>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</si>
  <si>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</si>
  <si>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</si>
  <si>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</si>
  <si>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</si>
  <si>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</si>
  <si>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</si>
  <si>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</si>
  <si>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</si>
  <si>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</si>
  <si>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</si>
  <si>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</si>
  <si>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</si>
  <si>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</si>
  <si>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</si>
  <si>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</si>
  <si>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</si>
  <si>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</si>
  <si>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</si>
  <si>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</si>
  <si>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</si>
  <si>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</si>
  <si>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</si>
  <si>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</si>
  <si>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</si>
  <si>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</si>
  <si>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</si>
  <si>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</si>
  <si>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</si>
  <si>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</si>
  <si>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</si>
  <si>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</si>
  <si>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</si>
  <si>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</si>
  <si>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</si>
  <si>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</si>
  <si>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</si>
  <si>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</si>
  <si>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</si>
  <si>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</si>
  <si>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</si>
  <si>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</si>
  <si>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</si>
  <si>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</si>
  <si>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</si>
  <si>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</si>
  <si>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</si>
  <si>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</si>
  <si>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</si>
  <si>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</si>
  <si>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</si>
  <si>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</si>
  <si>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</si>
  <si>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</si>
  <si>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</si>
  <si>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</si>
  <si>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</si>
  <si>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</si>
  <si>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</si>
  <si>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</si>
  <si>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</si>
  <si>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</si>
  <si>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</si>
  <si>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</si>
  <si>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</si>
  <si>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</si>
  <si>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</si>
  <si>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</si>
  <si>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</si>
  <si>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</si>
  <si>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</si>
  <si>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</si>
  <si>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</si>
  <si>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</si>
  <si>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</si>
  <si>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</si>
  <si>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</si>
  <si>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</si>
  <si>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</si>
  <si>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</si>
  <si>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</si>
  <si>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</si>
  <si>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</si>
  <si>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</si>
  <si>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</si>
  <si>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</si>
  <si>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Crestwood Nursing &amp; Rehab (Warren)</t>
  </si>
  <si>
    <t>Crystal Lake Rehabilitation &amp; Care Center (Burrillville)</t>
  </si>
  <si>
    <t>40 to 44</t>
  </si>
  <si>
    <t>Eastgate Nursing &amp; Rehab (East Providence)</t>
  </si>
  <si>
    <t>Elmhurst Healthcare Center (Providence)</t>
  </si>
  <si>
    <t>30 to 34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</si>
  <si>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</si>
  <si>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</si>
  <si>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</si>
  <si>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</si>
  <si>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</si>
  <si>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</si>
  <si>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</si>
  <si>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</si>
  <si>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</si>
  <si>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</si>
  <si>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</si>
  <si>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</si>
  <si>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</si>
  <si>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</si>
  <si>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</si>
  <si>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</si>
  <si>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</si>
  <si>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</si>
  <si>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</si>
  <si>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</si>
  <si>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</si>
  <si>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</si>
  <si>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</si>
  <si>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</si>
  <si>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</si>
  <si>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</si>
  <si>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</si>
  <si>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</si>
  <si>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</si>
  <si>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</si>
  <si>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</si>
  <si>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</si>
  <si>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</si>
  <si>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</si>
  <si>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</si>
  <si>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</si>
  <si>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</si>
  <si>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</si>
  <si>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</si>
  <si>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</si>
  <si>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</si>
  <si>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</si>
  <si>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</si>
  <si>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</si>
  <si>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</si>
  <si>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</si>
  <si>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</si>
  <si>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</si>
  <si>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</si>
  <si>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</si>
  <si>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</si>
  <si>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</si>
  <si>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</si>
  <si>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West View Nursing Center (West Warwick)</t>
  </si>
  <si>
    <t>Woonsocket Health Center (Woonsocket)</t>
  </si>
  <si>
    <t>90 to 94</t>
  </si>
  <si>
    <t>3120 to 3124</t>
  </si>
  <si>
    <t>845 to 849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</si>
  <si>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</si>
  <si>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</si>
  <si>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</si>
  <si>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</si>
  <si>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</si>
  <si>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</si>
  <si>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</si>
  <si>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</si>
  <si>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</si>
  <si>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</si>
  <si>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</si>
  <si>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</si>
  <si>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</si>
  <si>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</si>
  <si>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</si>
  <si>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</si>
  <si>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</si>
  <si>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</si>
  <si>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</si>
  <si>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10/28/2020.</t>
  </si>
  <si>
    <t>Number of COVID-19 Cases by School and Learning Style</t>
  </si>
  <si>
    <t>Data last updated 10/28/2020 and include positive cases as of 10/24/2020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</si>
  <si>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</si>
  <si>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</si>
  <si>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</si>
  <si>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</si>
  <si>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</si>
  <si>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</si>
  <si>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</si>
  <si>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</si>
  <si>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</si>
  <si>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</si>
  <si>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</si>
  <si>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</si>
  <si>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</si>
  <si>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</si>
  <si>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</si>
  <si>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</si>
  <si>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</si>
  <si>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</si>
  <si>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</si>
  <si>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</si>
  <si>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Guiteras School</t>
  </si>
  <si>
    <t>Bristol Warren</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</si>
  <si>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</si>
  <si>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</si>
  <si>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</si>
  <si>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</si>
  <si>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</si>
  <si>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</si>
  <si>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</si>
  <si>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</si>
  <si>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</si>
  <si>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</si>
  <si>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</si>
  <si>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</si>
  <si>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</si>
  <si>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</si>
  <si>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</si>
  <si>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</si>
  <si>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</si>
  <si>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</si>
  <si>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Luke School</t>
  </si>
  <si>
    <t>St. Mary Academy-Bay View</t>
  </si>
  <si>
    <t>St. Paul School</t>
  </si>
  <si>
    <t>St. Raphael Academy</t>
  </si>
  <si>
    <t>St. Rose of Lima School</t>
  </si>
  <si>
    <t>St. Teresa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</si>
  <si>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</si>
  <si>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</si>
  <si>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</si>
  <si>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</si>
  <si>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</si>
  <si>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</si>
  <si>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</si>
  <si>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</si>
  <si>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</si>
  <si>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</si>
  <si>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</si>
  <si>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</si>
  <si>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</si>
  <si>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</si>
  <si>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</si>
  <si>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</si>
  <si>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</si>
  <si>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</si>
  <si>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</si>
  <si>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</si>
  <si>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</si>
  <si>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</si>
  <si>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</si>
  <si>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</si>
  <si>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</si>
  <si>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</si>
  <si>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</si>
  <si>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</si>
  <si>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</si>
  <si>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</si>
  <si>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</si>
  <si>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</si>
  <si>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</si>
  <si>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</si>
  <si>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</si>
  <si>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</si>
  <si>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</si>
  <si>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</si>
  <si>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</si>
  <si>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</si>
  <si>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</si>
  <si>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</si>
  <si>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</si>
  <si>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</si>
  <si>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</si>
  <si>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Riverside Middle School</t>
  </si>
  <si>
    <t>Silver Spring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</si>
  <si>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</si>
  <si>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</si>
  <si>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</si>
  <si>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</si>
  <si>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</si>
  <si>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</si>
  <si>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</si>
  <si>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</si>
  <si>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</si>
  <si>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</si>
  <si>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Brown Avenue School</t>
  </si>
  <si>
    <t>Johnston Senior High School</t>
  </si>
  <si>
    <t>Nicholas A. Ferri Middle School</t>
  </si>
  <si>
    <t>Sarah Dyer Barnes School</t>
  </si>
  <si>
    <t>Thornton School</t>
  </si>
  <si>
    <t>Winsor Hill School</t>
  </si>
  <si>
    <t>Kingston Hill Academy</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</si>
  <si>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</si>
  <si>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</si>
  <si>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</si>
  <si>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</si>
  <si>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</si>
  <si>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</si>
  <si>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</si>
  <si>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</si>
  <si>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</si>
  <si>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Pier School</t>
  </si>
  <si>
    <t>Davisville Middle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</si>
  <si>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</si>
  <si>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</si>
  <si>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</si>
  <si>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</si>
  <si>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</si>
  <si>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</si>
  <si>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</si>
  <si>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</si>
  <si>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</si>
  <si>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</si>
  <si>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</si>
  <si>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Paul Cuffee Lower School</t>
  </si>
  <si>
    <t>Paul Cuffee Charter Sch</t>
  </si>
  <si>
    <t>Paul Cuffee Middle School</t>
  </si>
  <si>
    <t>Paul Cuffee Upper School</t>
  </si>
  <si>
    <t>Elizabeth Baldwin School</t>
  </si>
  <si>
    <t>Fallon Memorial School</t>
  </si>
  <si>
    <t>Francis J. Varieur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</si>
  <si>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</si>
  <si>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</si>
  <si>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</si>
  <si>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</si>
  <si>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</si>
  <si>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</si>
  <si>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</si>
  <si>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</si>
  <si>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</si>
  <si>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</si>
  <si>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</si>
  <si>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</si>
  <si>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</si>
  <si>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</si>
  <si>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</si>
  <si>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</si>
  <si>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Moses Brown School</t>
  </si>
  <si>
    <t>Ocean State Academy</t>
  </si>
  <si>
    <t>Pathways Strategic Teaching Center(Coventry)</t>
  </si>
  <si>
    <t>Portsmouth Abbey School</t>
  </si>
  <si>
    <t>Rocky Hill School</t>
  </si>
  <si>
    <t>Roger Williams Day Care Center</t>
  </si>
  <si>
    <t>San Miguel School</t>
  </si>
  <si>
    <t>School One</t>
  </si>
  <si>
    <t>Sophia Academy</t>
  </si>
  <si>
    <t>St. Mary's Home for Children/George N. Hunt Campus School</t>
  </si>
  <si>
    <t>St. Patrick's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</si>
  <si>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</si>
  <si>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</si>
  <si>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</si>
  <si>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</si>
  <si>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</si>
  <si>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</si>
  <si>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</si>
  <si>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</si>
  <si>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</si>
  <si>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</si>
  <si>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</si>
  <si>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</si>
  <si>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</si>
  <si>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</si>
  <si>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</si>
  <si>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</si>
  <si>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</si>
  <si>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</si>
  <si>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</si>
  <si>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</si>
  <si>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</si>
  <si>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</si>
  <si>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</si>
  <si>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</si>
  <si>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</si>
  <si>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</si>
  <si>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</si>
  <si>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</si>
  <si>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</si>
  <si>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</si>
  <si>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</si>
  <si>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</si>
  <si>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</si>
  <si>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</si>
  <si>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</si>
  <si>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</si>
  <si>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</si>
  <si>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</si>
  <si>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</si>
  <si>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</si>
  <si>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</si>
  <si>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</si>
  <si>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</si>
  <si>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</si>
  <si>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</si>
  <si>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</si>
  <si>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</si>
  <si>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</si>
  <si>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</si>
  <si>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</si>
  <si>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</si>
  <si>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</si>
  <si>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</si>
  <si>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</si>
  <si>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</si>
  <si>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</si>
  <si>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</si>
  <si>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</si>
  <si>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</si>
  <si>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</si>
  <si>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South Kingstown High School</t>
  </si>
  <si>
    <t>The Greene School</t>
  </si>
  <si>
    <t>The Hope Academy</t>
  </si>
  <si>
    <t>Tiverton High School</t>
  </si>
  <si>
    <t>Tiverton Middle School</t>
  </si>
  <si>
    <t>Urban Collaborative Accelerated Program</t>
  </si>
  <si>
    <t>Urban Collaborative</t>
  </si>
  <si>
    <t>Oakland Beach Elementary School</t>
  </si>
  <si>
    <t>Toll Gate High School</t>
  </si>
  <si>
    <t>Warwick Neck School</t>
  </si>
  <si>
    <t>Warwick Veterans Middle School</t>
  </si>
  <si>
    <t>West Bay Collaborative</t>
  </si>
  <si>
    <t>John F. Deering Middle School</t>
  </si>
  <si>
    <t>John F. Horgan Elementary School</t>
  </si>
  <si>
    <t>Wakefield Hills Elementary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</si>
  <si>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</si>
  <si>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</si>
  <si>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</si>
  <si>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</si>
  <si>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</si>
  <si>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</si>
  <si>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</si>
  <si>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</si>
  <si>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</si>
  <si>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</si>
  <si>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Other*</t>
  </si>
  <si>
    <t>N/A</t>
  </si>
  <si>
    <t>Total:</t>
  </si>
  <si>
    <t>210 to 214</t>
  </si>
  <si>
    <t>555 to 559</t>
  </si>
  <si>
    <t>Virtual Learning‡</t>
  </si>
  <si>
    <t>Blackstone Valley Prep Junior High School (JHS)</t>
  </si>
  <si>
    <t>Blackstone Valley Prep Upper Elementary School (UES)</t>
  </si>
  <si>
    <t>St. Rocco School</t>
  </si>
  <si>
    <t>Chariho Area Career and Technical Center</t>
  </si>
  <si>
    <t>Daniel D. Waterman School</t>
  </si>
  <si>
    <t>George J. Peters School</t>
  </si>
  <si>
    <t>Hope Highlands Middle School</t>
  </si>
  <si>
    <t>Oak Lawn School</t>
  </si>
  <si>
    <t>Orchard Farms Elementary School</t>
  </si>
  <si>
    <t>Park View Middle School</t>
  </si>
  <si>
    <t>Western Hills Middle School</t>
  </si>
  <si>
    <t>Community School</t>
  </si>
  <si>
    <t>John J. McLaughlin Cumberland Hill School</t>
  </si>
  <si>
    <t>Orlo Avenue School</t>
  </si>
  <si>
    <t>Exeter-West Greenwich Regional Junior High</t>
  </si>
  <si>
    <t>International Charter School</t>
  </si>
  <si>
    <t>International Charter</t>
  </si>
  <si>
    <t>The Learning Community Charter School</t>
  </si>
  <si>
    <t>Learning Community</t>
  </si>
  <si>
    <t>North Smithfield Middle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</si>
  <si>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</si>
  <si>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</si>
  <si>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</si>
  <si>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</si>
  <si>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</si>
  <si>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</si>
  <si>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</si>
  <si>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Portsmouth Middle School</t>
  </si>
  <si>
    <t>Kid's Kingdom</t>
  </si>
  <si>
    <t>Mount Pleasant Academy</t>
  </si>
  <si>
    <t>Trinity Christian Academy</t>
  </si>
  <si>
    <t>Gilbert Stuart Middle School</t>
  </si>
  <si>
    <t>Lillian Feinstein Elementary Sackett Street</t>
  </si>
  <si>
    <t>Providence Virtual Learning Academy</t>
  </si>
  <si>
    <t>RI Nurses Institute Middle College Charter High School</t>
  </si>
  <si>
    <t>Rhode Island Nurses Institute Middle College</t>
  </si>
  <si>
    <t>Scituate High School</t>
  </si>
  <si>
    <t>Village Green Virtual Charter School</t>
  </si>
  <si>
    <t>Village Green Virtual</t>
  </si>
  <si>
    <t>Cedar Hill School</t>
  </si>
  <si>
    <t>Cottrell F. Hoxsie School</t>
  </si>
  <si>
    <t>Lippitt School</t>
  </si>
  <si>
    <t>Pilgrim High School</t>
  </si>
  <si>
    <t>Winman Middle School</t>
  </si>
  <si>
    <t>Wyman School</t>
  </si>
  <si>
    <t>Greenbush Elementary School</t>
  </si>
  <si>
    <t>Woonsocket Middle School at Hamlet</t>
  </si>
  <si>
    <t>Woonsocket Middle School at Villa Nova</t>
  </si>
  <si>
    <t>320 to 324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</si>
  <si>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10/28/2020 9am.
 †New cases in past 7 days include positive cases between 10/18/2020 and 10/24/2020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</si>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</sst>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9" fillId="0" fontId="26" numFmtId="0" xfId="0" applyAlignment="1" applyBorder="1" applyFont="1">
      <alignment horizontal="left" readingOrder="0" vertical="top"/>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44134.0</v>
      </c>
    </row>
    <row r="2" ht="14.25" customHeight="1">
      <c r="A2" s="3" t="s">
        <v>1</v>
      </c>
      <c r="B2" s="4">
        <v>551.0</v>
      </c>
    </row>
    <row r="3" ht="14.25" customHeight="1">
      <c r="A3" s="3" t="s">
        <v>2</v>
      </c>
      <c r="B3" s="4">
        <v>512.0</v>
      </c>
    </row>
    <row r="4" ht="14.25" customHeight="1">
      <c r="A4" s="3" t="s">
        <v>3</v>
      </c>
      <c r="B4" s="4">
        <v>43648.0</v>
      </c>
    </row>
    <row r="5" ht="14.25" customHeight="1">
      <c r="A5" s="3" t="s">
        <v>4</v>
      </c>
      <c r="B5" s="4">
        <v>14011.0</v>
      </c>
    </row>
    <row r="6" ht="14.25" customHeight="1">
      <c r="A6" s="5" t="s">
        <v>5</v>
      </c>
      <c r="B6" s="4">
        <v>1080659.0</v>
      </c>
    </row>
    <row r="7" ht="14.25" customHeight="1">
      <c r="A7" s="6" t="s">
        <v>6</v>
      </c>
      <c r="B7" s="4">
        <v>14562.0</v>
      </c>
    </row>
    <row r="8" ht="14.25" customHeight="1">
      <c r="A8" s="6" t="s">
        <v>7</v>
      </c>
      <c r="B8" s="7">
        <v>1124307.0</v>
      </c>
    </row>
    <row r="9" ht="14.25" customHeight="1">
      <c r="A9" s="8" t="s">
        <v>8</v>
      </c>
      <c r="B9" s="7">
        <v>482.0</v>
      </c>
    </row>
    <row r="10" ht="14.25" customHeight="1">
      <c r="A10" s="9" t="s">
        <v>9</v>
      </c>
      <c r="B10" s="7">
        <v>444.0</v>
      </c>
    </row>
    <row r="11" ht="14.25" customHeight="1">
      <c r="A11" s="8" t="s">
        <v>10</v>
      </c>
      <c r="B11" s="7">
        <v>32874.0</v>
      </c>
    </row>
    <row r="12" ht="14.25" customHeight="1">
      <c r="A12" s="8" t="s">
        <v>11</v>
      </c>
      <c r="B12" s="7">
        <v>2838.0</v>
      </c>
    </row>
    <row r="13" ht="14.25" customHeight="1">
      <c r="A13" s="8" t="s">
        <v>12</v>
      </c>
      <c r="B13" s="7">
        <v>400002.0</v>
      </c>
    </row>
    <row r="14" ht="15.0" customHeight="1">
      <c r="A14" s="8" t="s">
        <v>13</v>
      </c>
      <c r="B14" s="7">
        <v>432876.0</v>
      </c>
    </row>
    <row r="15" ht="14.25" customHeight="1">
      <c r="A15" s="10" t="s">
        <v>14</v>
      </c>
      <c r="B15" s="4">
        <v>20.0</v>
      </c>
    </row>
    <row r="16" ht="14.25" customHeight="1">
      <c r="A16" s="10" t="s">
        <v>15</v>
      </c>
      <c r="B16" s="4">
        <v>3309.0</v>
      </c>
    </row>
    <row r="17" ht="14.25" customHeight="1">
      <c r="A17" s="10" t="s">
        <v>16</v>
      </c>
      <c r="B17" s="4">
        <v>21.0</v>
      </c>
    </row>
    <row r="18" ht="14.25" customHeight="1">
      <c r="A18" s="10" t="s">
        <v>17</v>
      </c>
      <c r="B18" s="4">
        <v>2763.0</v>
      </c>
    </row>
    <row r="19" ht="14.25" customHeight="1">
      <c r="A19" s="10" t="s">
        <v>18</v>
      </c>
      <c r="B19" s="4">
        <v>1.0</v>
      </c>
    </row>
    <row r="20" ht="14.25" customHeight="1">
      <c r="A20" s="10" t="s">
        <v>19</v>
      </c>
      <c r="B20" s="4">
        <v>394.0</v>
      </c>
    </row>
    <row r="21" ht="14.25" customHeight="1">
      <c r="A21" s="10" t="s">
        <v>20</v>
      </c>
      <c r="B21" s="7">
        <v>152.0</v>
      </c>
    </row>
    <row r="22" ht="14.25" customHeight="1">
      <c r="A22" s="10" t="s">
        <v>21</v>
      </c>
      <c r="B22" s="7">
        <v>149.0</v>
      </c>
    </row>
    <row r="23" ht="14.25" customHeight="1">
      <c r="A23" s="10" t="s">
        <v>22</v>
      </c>
      <c r="B23" s="7">
        <v>15.0</v>
      </c>
    </row>
    <row r="24" ht="14.25" customHeight="1">
      <c r="A24" s="10" t="s">
        <v>23</v>
      </c>
      <c r="B24" s="7">
        <v>9.0</v>
      </c>
    </row>
    <row r="25" ht="14.25" customHeight="1">
      <c r="A25" s="11" t="s">
        <v>24</v>
      </c>
      <c r="B25" s="7">
        <v>6.0</v>
      </c>
    </row>
    <row r="26" ht="14.25" customHeight="1">
      <c r="A26" s="12" t="s">
        <v>25</v>
      </c>
      <c r="B26" s="7">
        <v>1201.0</v>
      </c>
    </row>
    <row r="27" ht="14.25" customHeight="1">
      <c r="A27" s="13" t="s">
        <v>26</v>
      </c>
      <c r="B27" s="7">
        <v>1113533.0</v>
      </c>
    </row>
    <row r="28" ht="14.25" customHeight="1">
      <c r="A28" s="13" t="s">
        <v>27</v>
      </c>
      <c r="B28" s="7">
        <v>14493.0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214</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215</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173</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174</v>
      </c>
      <c r="C8" s="144" t="s">
        <v>175</v>
      </c>
      <c r="D8" s="144" t="s">
        <v>176</v>
      </c>
      <c r="E8" s="144" t="s">
        <v>177</v>
      </c>
      <c r="F8" s="144" t="s">
        <v>178</v>
      </c>
      <c r="G8" s="144" t="s">
        <v>179</v>
      </c>
      <c r="H8" s="144" t="s">
        <v>180</v>
      </c>
      <c r="I8" s="144" t="s">
        <v>181</v>
      </c>
      <c r="J8" s="144" t="s">
        <v>182</v>
      </c>
      <c r="K8" s="144" t="s">
        <v>183</v>
      </c>
      <c r="L8" s="144" t="s">
        <v>184</v>
      </c>
      <c r="M8" s="144" t="s">
        <v>185</v>
      </c>
      <c r="N8" s="144" t="s">
        <v>186</v>
      </c>
      <c r="O8" s="144" t="s">
        <v>187</v>
      </c>
      <c r="P8" s="144" t="s">
        <v>188</v>
      </c>
      <c r="Q8" s="144" t="s">
        <v>189</v>
      </c>
      <c r="R8" s="144" t="s">
        <v>190</v>
      </c>
      <c r="S8" s="144" t="s">
        <v>191</v>
      </c>
      <c r="T8" s="144" t="s">
        <v>192</v>
      </c>
      <c r="U8" s="144" t="s">
        <v>193</v>
      </c>
      <c r="V8" s="144" t="s">
        <v>194</v>
      </c>
      <c r="W8" s="144" t="s">
        <v>195</v>
      </c>
      <c r="X8" s="144" t="s">
        <v>196</v>
      </c>
      <c r="Y8" s="144" t="s">
        <v>197</v>
      </c>
      <c r="Z8" s="144" t="s">
        <v>198</v>
      </c>
      <c r="AA8" s="144" t="s">
        <v>199</v>
      </c>
      <c r="AB8" s="144" t="s">
        <v>200</v>
      </c>
      <c r="AC8" s="144" t="s">
        <v>201</v>
      </c>
      <c r="AD8" s="144" t="s">
        <v>202</v>
      </c>
      <c r="AE8" s="144" t="s">
        <v>203</v>
      </c>
      <c r="AF8" s="144" t="s">
        <v>204</v>
      </c>
      <c r="AG8" s="144" t="s">
        <v>205</v>
      </c>
      <c r="AH8" s="144" t="s">
        <v>206</v>
      </c>
      <c r="AI8" s="144" t="s">
        <v>207</v>
      </c>
      <c r="AJ8" s="144" t="s">
        <v>208</v>
      </c>
      <c r="AK8" s="144" t="s">
        <v>209</v>
      </c>
      <c r="AL8" s="144" t="s">
        <v>210</v>
      </c>
      <c r="AM8" s="144" t="s">
        <v>211</v>
      </c>
      <c r="AN8" s="144" t="s">
        <v>212</v>
      </c>
      <c r="AO8" s="144" t="s">
        <v>168</v>
      </c>
    </row>
    <row r="9">
      <c r="A9" s="145" t="s">
        <v>216</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116</v>
      </c>
      <c r="H10" s="97">
        <v>0.0</v>
      </c>
      <c r="I10" s="97" t="s">
        <v>116</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116</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116</v>
      </c>
    </row>
    <row r="11">
      <c r="A11" s="145" t="s">
        <v>80</v>
      </c>
      <c r="B11" s="97" t="s">
        <v>116</v>
      </c>
      <c r="C11" s="97">
        <v>0.0</v>
      </c>
      <c r="D11" s="97" t="s">
        <v>116</v>
      </c>
      <c r="E11" s="97">
        <v>0.0</v>
      </c>
      <c r="F11" s="97">
        <v>0.0</v>
      </c>
      <c r="G11" s="97">
        <v>0.0</v>
      </c>
      <c r="H11" s="97" t="s">
        <v>116</v>
      </c>
      <c r="I11" s="97">
        <v>0.0</v>
      </c>
      <c r="J11" s="97">
        <v>0.0</v>
      </c>
      <c r="K11" s="97" t="s">
        <v>116</v>
      </c>
      <c r="L11" s="97">
        <v>0.0</v>
      </c>
      <c r="M11" s="97">
        <v>0.0</v>
      </c>
      <c r="N11" s="97">
        <v>0.0</v>
      </c>
      <c r="O11" s="97">
        <v>0.0</v>
      </c>
      <c r="P11" s="97">
        <v>0.0</v>
      </c>
      <c r="Q11" s="97">
        <v>0.0</v>
      </c>
      <c r="R11" s="97" t="s">
        <v>116</v>
      </c>
      <c r="S11" s="97">
        <v>0.0</v>
      </c>
      <c r="T11" s="97" t="s">
        <v>116</v>
      </c>
      <c r="U11" s="97" t="s">
        <v>116</v>
      </c>
      <c r="V11" s="97">
        <v>0.0</v>
      </c>
      <c r="W11" s="97">
        <v>0.0</v>
      </c>
      <c r="X11" s="97">
        <v>0.0</v>
      </c>
      <c r="Y11" s="97">
        <v>0.0</v>
      </c>
      <c r="Z11" s="97">
        <v>0.0</v>
      </c>
      <c r="AA11" s="97">
        <v>0.0</v>
      </c>
      <c r="AB11" s="97">
        <v>0.0</v>
      </c>
      <c r="AC11" s="97" t="s">
        <v>116</v>
      </c>
      <c r="AD11" s="97">
        <v>0.0</v>
      </c>
      <c r="AE11" s="97" t="s">
        <v>116</v>
      </c>
      <c r="AF11" s="97">
        <v>0.0</v>
      </c>
      <c r="AG11" s="97">
        <v>0.0</v>
      </c>
      <c r="AH11" s="97">
        <v>0.0</v>
      </c>
      <c r="AI11" s="97">
        <v>0.0</v>
      </c>
      <c r="AJ11" s="97" t="s">
        <v>116</v>
      </c>
      <c r="AK11" s="97">
        <v>0.0</v>
      </c>
      <c r="AL11" s="97">
        <v>0.0</v>
      </c>
      <c r="AM11" s="97" t="s">
        <v>116</v>
      </c>
      <c r="AN11" s="97">
        <v>0.0</v>
      </c>
      <c r="AO11" s="97">
        <v>1.0</v>
      </c>
    </row>
    <row r="12">
      <c r="A12" s="145" t="s">
        <v>81</v>
      </c>
      <c r="B12" s="97" t="s">
        <v>116</v>
      </c>
      <c r="C12" s="97" t="s">
        <v>116</v>
      </c>
      <c r="D12" s="97">
        <v>0.0</v>
      </c>
      <c r="E12" s="97" t="s">
        <v>116</v>
      </c>
      <c r="F12" s="97">
        <v>0.0</v>
      </c>
      <c r="G12" s="97" t="s">
        <v>116</v>
      </c>
      <c r="H12" s="97" t="s">
        <v>116</v>
      </c>
      <c r="I12" s="97" t="s">
        <v>116</v>
      </c>
      <c r="J12" s="97">
        <v>0.0</v>
      </c>
      <c r="K12" s="97" t="s">
        <v>116</v>
      </c>
      <c r="L12" s="97">
        <v>0.0</v>
      </c>
      <c r="M12" s="97" t="s">
        <v>116</v>
      </c>
      <c r="N12" s="97">
        <v>0.0</v>
      </c>
      <c r="O12" s="97">
        <v>0.0</v>
      </c>
      <c r="P12" s="97" t="s">
        <v>116</v>
      </c>
      <c r="Q12" s="97" t="s">
        <v>116</v>
      </c>
      <c r="R12" s="97">
        <v>0.0</v>
      </c>
      <c r="S12" s="97" t="s">
        <v>116</v>
      </c>
      <c r="T12" s="97" t="s">
        <v>116</v>
      </c>
      <c r="U12" s="97">
        <v>0.0</v>
      </c>
      <c r="V12" s="97">
        <v>0.0</v>
      </c>
      <c r="W12" s="97" t="s">
        <v>116</v>
      </c>
      <c r="X12" s="97">
        <v>0.0</v>
      </c>
      <c r="Y12" s="97">
        <v>0.0</v>
      </c>
      <c r="Z12" s="97" t="s">
        <v>116</v>
      </c>
      <c r="AA12" s="97" t="s">
        <v>116</v>
      </c>
      <c r="AB12" s="97" t="s">
        <v>116</v>
      </c>
      <c r="AC12" s="97">
        <v>14.0</v>
      </c>
      <c r="AD12" s="97">
        <v>0.0</v>
      </c>
      <c r="AE12" s="97" t="s">
        <v>116</v>
      </c>
      <c r="AF12" s="97">
        <v>0.0</v>
      </c>
      <c r="AG12" s="97" t="s">
        <v>116</v>
      </c>
      <c r="AH12" s="97">
        <v>0.0</v>
      </c>
      <c r="AI12" s="97" t="s">
        <v>116</v>
      </c>
      <c r="AJ12" s="97" t="s">
        <v>116</v>
      </c>
      <c r="AK12" s="97">
        <v>0.0</v>
      </c>
      <c r="AL12" s="97">
        <v>0.0</v>
      </c>
      <c r="AM12" s="97" t="s">
        <v>116</v>
      </c>
      <c r="AN12" s="97">
        <v>0.0</v>
      </c>
      <c r="AO12" s="97">
        <v>6.0</v>
      </c>
    </row>
    <row r="13">
      <c r="A13" s="145" t="s">
        <v>82</v>
      </c>
      <c r="B13" s="97">
        <v>31.0</v>
      </c>
      <c r="C13" s="97" t="s">
        <v>116</v>
      </c>
      <c r="D13" s="97">
        <v>30.0</v>
      </c>
      <c r="E13" s="97" t="s">
        <v>116</v>
      </c>
      <c r="F13" s="97" t="s">
        <v>116</v>
      </c>
      <c r="G13" s="97" t="s">
        <v>116</v>
      </c>
      <c r="H13" s="97">
        <v>33.0</v>
      </c>
      <c r="I13" s="97">
        <v>17.0</v>
      </c>
      <c r="J13" s="97">
        <v>0.0</v>
      </c>
      <c r="K13" s="97">
        <v>17.0</v>
      </c>
      <c r="L13" s="97" t="s">
        <v>116</v>
      </c>
      <c r="M13" s="97">
        <v>0.0</v>
      </c>
      <c r="N13" s="97">
        <v>0.0</v>
      </c>
      <c r="O13" s="97" t="s">
        <v>116</v>
      </c>
      <c r="P13" s="97">
        <v>0.0</v>
      </c>
      <c r="Q13" s="97" t="s">
        <v>116</v>
      </c>
      <c r="R13" s="97" t="s">
        <v>116</v>
      </c>
      <c r="S13" s="97">
        <v>0.0</v>
      </c>
      <c r="T13" s="97">
        <v>0.0</v>
      </c>
      <c r="U13" s="97" t="s">
        <v>116</v>
      </c>
      <c r="V13" s="97">
        <v>0.0</v>
      </c>
      <c r="W13" s="97" t="s">
        <v>116</v>
      </c>
      <c r="X13" s="97">
        <v>27.0</v>
      </c>
      <c r="Y13" s="97">
        <v>15.0</v>
      </c>
      <c r="Z13" s="97" t="s">
        <v>116</v>
      </c>
      <c r="AA13" s="97">
        <v>22.0</v>
      </c>
      <c r="AB13" s="97" t="s">
        <v>116</v>
      </c>
      <c r="AC13" s="97">
        <v>26.0</v>
      </c>
      <c r="AD13" s="97">
        <v>0.0</v>
      </c>
      <c r="AE13" s="97">
        <v>47.0</v>
      </c>
      <c r="AF13" s="97" t="s">
        <v>116</v>
      </c>
      <c r="AG13" s="97" t="s">
        <v>116</v>
      </c>
      <c r="AH13" s="97">
        <v>38.0</v>
      </c>
      <c r="AI13" s="97">
        <v>0.0</v>
      </c>
      <c r="AJ13" s="97">
        <v>19.0</v>
      </c>
      <c r="AK13" s="97">
        <v>0.0</v>
      </c>
      <c r="AL13" s="97">
        <v>21.0</v>
      </c>
      <c r="AM13" s="97" t="s">
        <v>116</v>
      </c>
      <c r="AN13" s="97" t="s">
        <v>116</v>
      </c>
      <c r="AO13" s="97">
        <v>19.0</v>
      </c>
    </row>
    <row r="14">
      <c r="A14" s="145" t="s">
        <v>83</v>
      </c>
      <c r="B14" s="97" t="s">
        <v>116</v>
      </c>
      <c r="C14" s="97">
        <v>27.0</v>
      </c>
      <c r="D14" s="97">
        <v>36.0</v>
      </c>
      <c r="E14" s="97">
        <v>52.0</v>
      </c>
      <c r="F14" s="97" t="s">
        <v>116</v>
      </c>
      <c r="G14" s="97">
        <v>35.0</v>
      </c>
      <c r="H14" s="97">
        <v>52.0</v>
      </c>
      <c r="I14" s="97">
        <v>49.0</v>
      </c>
      <c r="J14" s="97">
        <v>38.0</v>
      </c>
      <c r="K14" s="97">
        <v>32.0</v>
      </c>
      <c r="L14" s="97" t="s">
        <v>116</v>
      </c>
      <c r="M14" s="97">
        <v>0.0</v>
      </c>
      <c r="N14" s="97" t="s">
        <v>116</v>
      </c>
      <c r="O14" s="97" t="s">
        <v>116</v>
      </c>
      <c r="P14" s="97" t="s">
        <v>116</v>
      </c>
      <c r="Q14" s="97">
        <v>38.0</v>
      </c>
      <c r="R14" s="97">
        <v>42.0</v>
      </c>
      <c r="S14" s="97" t="s">
        <v>116</v>
      </c>
      <c r="T14" s="97" t="s">
        <v>116</v>
      </c>
      <c r="U14" s="97" t="s">
        <v>116</v>
      </c>
      <c r="V14" s="97" t="s">
        <v>116</v>
      </c>
      <c r="W14" s="97">
        <v>24.0</v>
      </c>
      <c r="X14" s="97">
        <v>31.0</v>
      </c>
      <c r="Y14" s="97">
        <v>80.0</v>
      </c>
      <c r="Z14" s="97" t="s">
        <v>116</v>
      </c>
      <c r="AA14" s="97">
        <v>77.0</v>
      </c>
      <c r="AB14" s="97">
        <v>40.0</v>
      </c>
      <c r="AC14" s="97">
        <v>63.0</v>
      </c>
      <c r="AD14" s="97">
        <v>0.0</v>
      </c>
      <c r="AE14" s="97" t="s">
        <v>116</v>
      </c>
      <c r="AF14" s="97">
        <v>37.0</v>
      </c>
      <c r="AG14" s="97">
        <v>26.0</v>
      </c>
      <c r="AH14" s="97">
        <v>32.0</v>
      </c>
      <c r="AI14" s="97" t="s">
        <v>116</v>
      </c>
      <c r="AJ14" s="97">
        <v>36.0</v>
      </c>
      <c r="AK14" s="97" t="s">
        <v>116</v>
      </c>
      <c r="AL14" s="97">
        <v>52.0</v>
      </c>
      <c r="AM14" s="97">
        <v>40.0</v>
      </c>
      <c r="AN14" s="97">
        <v>26.0</v>
      </c>
      <c r="AO14" s="97">
        <v>46.0</v>
      </c>
    </row>
    <row r="15">
      <c r="A15" s="145" t="s">
        <v>84</v>
      </c>
      <c r="B15" s="97">
        <v>37.0</v>
      </c>
      <c r="C15" s="97">
        <v>40.0</v>
      </c>
      <c r="D15" s="97">
        <v>85.0</v>
      </c>
      <c r="E15" s="97">
        <v>248.0</v>
      </c>
      <c r="F15" s="97" t="s">
        <v>116</v>
      </c>
      <c r="G15" s="97">
        <v>67.0</v>
      </c>
      <c r="H15" s="97">
        <v>134.0</v>
      </c>
      <c r="I15" s="97">
        <v>121.0</v>
      </c>
      <c r="J15" s="97">
        <v>99.0</v>
      </c>
      <c r="K15" s="97">
        <v>131.0</v>
      </c>
      <c r="L15" s="97" t="s">
        <v>116</v>
      </c>
      <c r="M15" s="97">
        <v>107.0</v>
      </c>
      <c r="N15" s="97" t="s">
        <v>116</v>
      </c>
      <c r="O15" s="97" t="s">
        <v>116</v>
      </c>
      <c r="P15" s="97" t="s">
        <v>116</v>
      </c>
      <c r="Q15" s="97">
        <v>130.0</v>
      </c>
      <c r="R15" s="97">
        <v>88.0</v>
      </c>
      <c r="S15" s="97" t="s">
        <v>116</v>
      </c>
      <c r="T15" s="97">
        <v>37.0</v>
      </c>
      <c r="U15" s="97">
        <v>84.0</v>
      </c>
      <c r="V15" s="97">
        <v>0.0</v>
      </c>
      <c r="W15" s="97">
        <v>32.0</v>
      </c>
      <c r="X15" s="97">
        <v>84.0</v>
      </c>
      <c r="Y15" s="97">
        <v>182.0</v>
      </c>
      <c r="Z15" s="97">
        <v>40.0</v>
      </c>
      <c r="AA15" s="97">
        <v>201.0</v>
      </c>
      <c r="AB15" s="97" t="s">
        <v>116</v>
      </c>
      <c r="AC15" s="97">
        <v>293.0</v>
      </c>
      <c r="AD15" s="97" t="s">
        <v>116</v>
      </c>
      <c r="AE15" s="97">
        <v>57.0</v>
      </c>
      <c r="AF15" s="97">
        <v>83.0</v>
      </c>
      <c r="AG15" s="97">
        <v>62.0</v>
      </c>
      <c r="AH15" s="97">
        <v>89.0</v>
      </c>
      <c r="AI15" s="97" t="s">
        <v>116</v>
      </c>
      <c r="AJ15" s="97">
        <v>81.0</v>
      </c>
      <c r="AK15" s="97">
        <v>81.0</v>
      </c>
      <c r="AL15" s="97">
        <v>73.0</v>
      </c>
      <c r="AM15" s="97">
        <v>35.0</v>
      </c>
      <c r="AN15" s="97">
        <v>91.0</v>
      </c>
      <c r="AO15" s="97">
        <v>137.0</v>
      </c>
    </row>
    <row r="16">
      <c r="A16" s="145" t="s">
        <v>85</v>
      </c>
      <c r="B16" s="97" t="s">
        <v>116</v>
      </c>
      <c r="C16" s="97">
        <v>54.0</v>
      </c>
      <c r="D16" s="97">
        <v>49.0</v>
      </c>
      <c r="E16" s="97">
        <v>578.0</v>
      </c>
      <c r="F16" s="97" t="s">
        <v>116</v>
      </c>
      <c r="G16" s="97">
        <v>52.0</v>
      </c>
      <c r="H16" s="97">
        <v>170.0</v>
      </c>
      <c r="I16" s="97">
        <v>81.0</v>
      </c>
      <c r="J16" s="97">
        <v>38.0</v>
      </c>
      <c r="K16" s="97">
        <v>114.0</v>
      </c>
      <c r="L16" s="97" t="s">
        <v>116</v>
      </c>
      <c r="M16" s="97" t="s">
        <v>116</v>
      </c>
      <c r="N16" s="97">
        <v>60.0</v>
      </c>
      <c r="O16" s="97">
        <v>0.0</v>
      </c>
      <c r="P16" s="97" t="s">
        <v>116</v>
      </c>
      <c r="Q16" s="97">
        <v>133.0</v>
      </c>
      <c r="R16" s="97">
        <v>92.0</v>
      </c>
      <c r="S16" s="97" t="s">
        <v>116</v>
      </c>
      <c r="T16" s="97" t="s">
        <v>116</v>
      </c>
      <c r="U16" s="97" t="s">
        <v>116</v>
      </c>
      <c r="V16" s="97">
        <v>0.0</v>
      </c>
      <c r="W16" s="97">
        <v>0.0</v>
      </c>
      <c r="X16" s="97">
        <v>23.0</v>
      </c>
      <c r="Y16" s="97">
        <v>259.0</v>
      </c>
      <c r="Z16" s="97" t="s">
        <v>116</v>
      </c>
      <c r="AA16" s="97">
        <v>288.0</v>
      </c>
      <c r="AB16" s="97" t="s">
        <v>116</v>
      </c>
      <c r="AC16" s="97">
        <v>349.0</v>
      </c>
      <c r="AD16" s="97" t="s">
        <v>116</v>
      </c>
      <c r="AE16" s="97">
        <v>57.0</v>
      </c>
      <c r="AF16" s="97">
        <v>37.0</v>
      </c>
      <c r="AG16" s="97">
        <v>33.0</v>
      </c>
      <c r="AH16" s="97">
        <v>51.0</v>
      </c>
      <c r="AI16" s="97" t="s">
        <v>116</v>
      </c>
      <c r="AJ16" s="97">
        <v>76.0</v>
      </c>
      <c r="AK16" s="97" t="s">
        <v>116</v>
      </c>
      <c r="AL16" s="97">
        <v>107.0</v>
      </c>
      <c r="AM16" s="97">
        <v>27.0</v>
      </c>
      <c r="AN16" s="97">
        <v>113.0</v>
      </c>
      <c r="AO16" s="97">
        <v>153.0</v>
      </c>
    </row>
    <row r="17">
      <c r="A17" s="145" t="s">
        <v>86</v>
      </c>
      <c r="B17" s="97">
        <v>37.0</v>
      </c>
      <c r="C17" s="97">
        <v>54.0</v>
      </c>
      <c r="D17" s="97">
        <v>61.0</v>
      </c>
      <c r="E17" s="97">
        <v>903.0</v>
      </c>
      <c r="F17" s="97" t="s">
        <v>116</v>
      </c>
      <c r="G17" s="97">
        <v>46.0</v>
      </c>
      <c r="H17" s="97">
        <v>153.0</v>
      </c>
      <c r="I17" s="97">
        <v>101.0</v>
      </c>
      <c r="J17" s="97">
        <v>92.0</v>
      </c>
      <c r="K17" s="97">
        <v>103.0</v>
      </c>
      <c r="L17" s="97">
        <v>74.0</v>
      </c>
      <c r="M17" s="97" t="s">
        <v>116</v>
      </c>
      <c r="N17" s="97">
        <v>70.0</v>
      </c>
      <c r="O17" s="97" t="s">
        <v>116</v>
      </c>
      <c r="P17" s="97" t="s">
        <v>116</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83.0</v>
      </c>
      <c r="AG17" s="97">
        <v>23.0</v>
      </c>
      <c r="AH17" s="97">
        <v>76.0</v>
      </c>
      <c r="AI17" s="97">
        <v>133.0</v>
      </c>
      <c r="AJ17" s="97">
        <v>73.0</v>
      </c>
      <c r="AK17" s="97" t="s">
        <v>116</v>
      </c>
      <c r="AL17" s="97">
        <v>117.0</v>
      </c>
      <c r="AM17" s="97">
        <v>66.0</v>
      </c>
      <c r="AN17" s="97">
        <v>120.0</v>
      </c>
      <c r="AO17" s="97">
        <v>190.0</v>
      </c>
    </row>
    <row r="18">
      <c r="A18" s="145" t="s">
        <v>87</v>
      </c>
      <c r="B18" s="97" t="s">
        <v>116</v>
      </c>
      <c r="C18" s="97">
        <v>45.0</v>
      </c>
      <c r="D18" s="97">
        <v>61.0</v>
      </c>
      <c r="E18" s="97">
        <v>691.0</v>
      </c>
      <c r="F18" s="97" t="s">
        <v>116</v>
      </c>
      <c r="G18" s="97">
        <v>35.0</v>
      </c>
      <c r="H18" s="97">
        <v>134.0</v>
      </c>
      <c r="I18" s="97">
        <v>61.0</v>
      </c>
      <c r="J18" s="97">
        <v>76.0</v>
      </c>
      <c r="K18" s="97">
        <v>91.0</v>
      </c>
      <c r="L18" s="97" t="s">
        <v>116</v>
      </c>
      <c r="M18" s="97" t="s">
        <v>116</v>
      </c>
      <c r="N18" s="97" t="s">
        <v>116</v>
      </c>
      <c r="O18" s="97">
        <v>0.0</v>
      </c>
      <c r="P18" s="97">
        <v>0.0</v>
      </c>
      <c r="Q18" s="97">
        <v>86.0</v>
      </c>
      <c r="R18" s="97">
        <v>88.0</v>
      </c>
      <c r="S18" s="97">
        <v>0.0</v>
      </c>
      <c r="T18" s="97" t="s">
        <v>116</v>
      </c>
      <c r="U18" s="97" t="s">
        <v>116</v>
      </c>
      <c r="V18" s="97">
        <v>0.0</v>
      </c>
      <c r="W18" s="97">
        <v>32.0</v>
      </c>
      <c r="X18" s="97">
        <v>19.0</v>
      </c>
      <c r="Y18" s="97">
        <v>176.0</v>
      </c>
      <c r="Z18" s="97" t="s">
        <v>116</v>
      </c>
      <c r="AA18" s="97">
        <v>280.0</v>
      </c>
      <c r="AB18" s="97" t="s">
        <v>116</v>
      </c>
      <c r="AC18" s="97">
        <v>389.0</v>
      </c>
      <c r="AD18" s="97">
        <v>66.0</v>
      </c>
      <c r="AE18" s="97" t="s">
        <v>116</v>
      </c>
      <c r="AF18" s="97">
        <v>51.0</v>
      </c>
      <c r="AG18" s="97" t="s">
        <v>116</v>
      </c>
      <c r="AH18" s="97">
        <v>44.0</v>
      </c>
      <c r="AI18" s="97" t="s">
        <v>116</v>
      </c>
      <c r="AJ18" s="97">
        <v>72.0</v>
      </c>
      <c r="AK18" s="97" t="s">
        <v>116</v>
      </c>
      <c r="AL18" s="97">
        <v>86.0</v>
      </c>
      <c r="AM18" s="97">
        <v>31.0</v>
      </c>
      <c r="AN18" s="97">
        <v>130.0</v>
      </c>
      <c r="AO18" s="97">
        <v>155.0</v>
      </c>
    </row>
    <row r="19">
      <c r="A19" s="145" t="s">
        <v>88</v>
      </c>
      <c r="B19" s="97" t="s">
        <v>116</v>
      </c>
      <c r="C19" s="97">
        <v>40.0</v>
      </c>
      <c r="D19" s="97" t="s">
        <v>116</v>
      </c>
      <c r="E19" s="97">
        <v>671.0</v>
      </c>
      <c r="F19" s="97" t="s">
        <v>116</v>
      </c>
      <c r="G19" s="97">
        <v>35.0</v>
      </c>
      <c r="H19" s="97">
        <v>101.0</v>
      </c>
      <c r="I19" s="97">
        <v>61.0</v>
      </c>
      <c r="J19" s="97">
        <v>54.0</v>
      </c>
      <c r="K19" s="97">
        <v>107.0</v>
      </c>
      <c r="L19" s="97">
        <v>88.0</v>
      </c>
      <c r="M19" s="97" t="s">
        <v>116</v>
      </c>
      <c r="N19" s="97" t="s">
        <v>116</v>
      </c>
      <c r="O19" s="97" t="s">
        <v>116</v>
      </c>
      <c r="P19" s="97" t="s">
        <v>116</v>
      </c>
      <c r="Q19" s="97">
        <v>113.0</v>
      </c>
      <c r="R19" s="97">
        <v>92.0</v>
      </c>
      <c r="S19" s="97" t="s">
        <v>116</v>
      </c>
      <c r="T19" s="97" t="s">
        <v>116</v>
      </c>
      <c r="U19" s="97" t="s">
        <v>116</v>
      </c>
      <c r="V19" s="97">
        <v>0.0</v>
      </c>
      <c r="W19" s="97">
        <v>32.0</v>
      </c>
      <c r="X19" s="97">
        <v>31.0</v>
      </c>
      <c r="Y19" s="97">
        <v>139.0</v>
      </c>
      <c r="Z19" s="97" t="s">
        <v>116</v>
      </c>
      <c r="AA19" s="97">
        <v>272.0</v>
      </c>
      <c r="AB19" s="97" t="s">
        <v>116</v>
      </c>
      <c r="AC19" s="97">
        <v>304.0</v>
      </c>
      <c r="AD19" s="97" t="s">
        <v>116</v>
      </c>
      <c r="AE19" s="97" t="s">
        <v>116</v>
      </c>
      <c r="AF19" s="97">
        <v>51.0</v>
      </c>
      <c r="AG19" s="97" t="s">
        <v>116</v>
      </c>
      <c r="AH19" s="97">
        <v>32.0</v>
      </c>
      <c r="AI19" s="97" t="s">
        <v>116</v>
      </c>
      <c r="AJ19" s="97">
        <v>56.0</v>
      </c>
      <c r="AK19" s="97">
        <v>0.0</v>
      </c>
      <c r="AL19" s="97">
        <v>97.0</v>
      </c>
      <c r="AM19" s="97" t="s">
        <v>116</v>
      </c>
      <c r="AN19" s="97">
        <v>137.0</v>
      </c>
      <c r="AO19" s="97">
        <v>131.0</v>
      </c>
    </row>
    <row r="20">
      <c r="A20" s="145" t="s">
        <v>89</v>
      </c>
      <c r="B20" s="97">
        <v>43.0</v>
      </c>
      <c r="C20" s="97">
        <v>27.0</v>
      </c>
      <c r="D20" s="97" t="s">
        <v>116</v>
      </c>
      <c r="E20" s="97">
        <v>495.0</v>
      </c>
      <c r="F20" s="97">
        <v>0.0</v>
      </c>
      <c r="G20" s="97">
        <v>35.0</v>
      </c>
      <c r="H20" s="97">
        <v>94.0</v>
      </c>
      <c r="I20" s="97">
        <v>32.0</v>
      </c>
      <c r="J20" s="97">
        <v>46.0</v>
      </c>
      <c r="K20" s="97">
        <v>76.0</v>
      </c>
      <c r="L20" s="97" t="s">
        <v>116</v>
      </c>
      <c r="M20" s="97" t="s">
        <v>116</v>
      </c>
      <c r="N20" s="97">
        <v>89.0</v>
      </c>
      <c r="O20" s="97" t="s">
        <v>116</v>
      </c>
      <c r="P20" s="97">
        <v>0.0</v>
      </c>
      <c r="Q20" s="97">
        <v>79.0</v>
      </c>
      <c r="R20" s="97">
        <v>60.0</v>
      </c>
      <c r="S20" s="97">
        <v>0.0</v>
      </c>
      <c r="T20" s="97">
        <v>0.0</v>
      </c>
      <c r="U20" s="97" t="s">
        <v>116</v>
      </c>
      <c r="V20" s="97">
        <v>0.0</v>
      </c>
      <c r="W20" s="97" t="s">
        <v>116</v>
      </c>
      <c r="X20" s="97">
        <v>19.0</v>
      </c>
      <c r="Y20" s="97">
        <v>145.0</v>
      </c>
      <c r="Z20" s="97">
        <v>73.0</v>
      </c>
      <c r="AA20" s="97">
        <v>170.0</v>
      </c>
      <c r="AB20" s="97" t="s">
        <v>116</v>
      </c>
      <c r="AC20" s="97">
        <v>268.0</v>
      </c>
      <c r="AD20" s="97" t="s">
        <v>116</v>
      </c>
      <c r="AE20" s="97">
        <v>47.0</v>
      </c>
      <c r="AF20" s="97">
        <v>55.0</v>
      </c>
      <c r="AG20" s="97" t="s">
        <v>116</v>
      </c>
      <c r="AH20" s="97">
        <v>44.0</v>
      </c>
      <c r="AI20" s="97">
        <v>133.0</v>
      </c>
      <c r="AJ20" s="97">
        <v>43.0</v>
      </c>
      <c r="AK20" s="97" t="s">
        <v>116</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116</v>
      </c>
      <c r="K21" s="97">
        <v>36.0</v>
      </c>
      <c r="L21" s="97" t="s">
        <v>116</v>
      </c>
      <c r="M21" s="97" t="s">
        <v>116</v>
      </c>
      <c r="N21" s="97" t="s">
        <v>116</v>
      </c>
      <c r="O21" s="97" t="s">
        <v>116</v>
      </c>
      <c r="P21" s="97" t="s">
        <v>116</v>
      </c>
      <c r="Q21" s="97">
        <v>65.0</v>
      </c>
      <c r="R21" s="97">
        <v>51.0</v>
      </c>
      <c r="S21" s="97" t="s">
        <v>116</v>
      </c>
      <c r="T21" s="97" t="s">
        <v>116</v>
      </c>
      <c r="U21" s="97" t="s">
        <v>116</v>
      </c>
      <c r="V21" s="97">
        <v>0.0</v>
      </c>
      <c r="W21" s="97" t="s">
        <v>116</v>
      </c>
      <c r="X21" s="97">
        <v>19.0</v>
      </c>
      <c r="Y21" s="97">
        <v>80.0</v>
      </c>
      <c r="Z21" s="97">
        <v>49.0</v>
      </c>
      <c r="AA21" s="97">
        <v>155.0</v>
      </c>
      <c r="AB21" s="97">
        <v>40.0</v>
      </c>
      <c r="AC21" s="97">
        <v>227.0</v>
      </c>
      <c r="AD21" s="97" t="s">
        <v>116</v>
      </c>
      <c r="AE21" s="97" t="s">
        <v>116</v>
      </c>
      <c r="AF21" s="97">
        <v>28.0</v>
      </c>
      <c r="AG21" s="97" t="s">
        <v>116</v>
      </c>
      <c r="AH21" s="97">
        <v>57.0</v>
      </c>
      <c r="AI21" s="97">
        <v>48.0</v>
      </c>
      <c r="AJ21" s="97">
        <v>44.0</v>
      </c>
      <c r="AK21" s="97" t="s">
        <v>116</v>
      </c>
      <c r="AL21" s="97">
        <v>41.0</v>
      </c>
      <c r="AM21" s="97" t="s">
        <v>116</v>
      </c>
      <c r="AN21" s="97">
        <v>89.0</v>
      </c>
      <c r="AO21" s="97">
        <v>91.0</v>
      </c>
    </row>
    <row r="22">
      <c r="A22" s="145" t="s">
        <v>91</v>
      </c>
      <c r="B22" s="97" t="s">
        <v>116</v>
      </c>
      <c r="C22" s="97">
        <v>40.0</v>
      </c>
      <c r="D22" s="97" t="s">
        <v>116</v>
      </c>
      <c r="E22" s="97">
        <v>160.0</v>
      </c>
      <c r="F22" s="97" t="s">
        <v>116</v>
      </c>
      <c r="G22" s="97">
        <v>29.0</v>
      </c>
      <c r="H22" s="97">
        <v>60.0</v>
      </c>
      <c r="I22" s="97">
        <v>17.0</v>
      </c>
      <c r="J22" s="97">
        <v>0.0</v>
      </c>
      <c r="K22" s="97">
        <v>44.0</v>
      </c>
      <c r="L22" s="97">
        <v>0.0</v>
      </c>
      <c r="M22" s="97" t="s">
        <v>116</v>
      </c>
      <c r="N22" s="97" t="s">
        <v>116</v>
      </c>
      <c r="O22" s="97">
        <v>0.0</v>
      </c>
      <c r="P22" s="97" t="s">
        <v>116</v>
      </c>
      <c r="Q22" s="97">
        <v>120.0</v>
      </c>
      <c r="R22" s="97">
        <v>42.0</v>
      </c>
      <c r="S22" s="97">
        <v>0.0</v>
      </c>
      <c r="T22" s="97" t="s">
        <v>116</v>
      </c>
      <c r="U22" s="97" t="s">
        <v>116</v>
      </c>
      <c r="V22" s="97">
        <v>0.0</v>
      </c>
      <c r="W22" s="97">
        <v>36.0</v>
      </c>
      <c r="X22" s="97">
        <v>23.0</v>
      </c>
      <c r="Y22" s="97">
        <v>52.0</v>
      </c>
      <c r="Z22" s="97" t="s">
        <v>116</v>
      </c>
      <c r="AA22" s="97">
        <v>99.0</v>
      </c>
      <c r="AB22" s="97">
        <v>34.0</v>
      </c>
      <c r="AC22" s="97">
        <v>186.0</v>
      </c>
      <c r="AD22" s="97" t="s">
        <v>116</v>
      </c>
      <c r="AE22" s="97" t="s">
        <v>116</v>
      </c>
      <c r="AF22" s="97">
        <v>0.0</v>
      </c>
      <c r="AG22" s="97">
        <v>0.0</v>
      </c>
      <c r="AH22" s="97" t="s">
        <v>116</v>
      </c>
      <c r="AI22" s="97">
        <v>0.0</v>
      </c>
      <c r="AJ22" s="97">
        <v>25.0</v>
      </c>
      <c r="AK22" s="97" t="s">
        <v>116</v>
      </c>
      <c r="AL22" s="97">
        <v>31.0</v>
      </c>
      <c r="AM22" s="97" t="s">
        <v>116</v>
      </c>
      <c r="AN22" s="97">
        <v>91.0</v>
      </c>
      <c r="AO22" s="97">
        <v>68.0</v>
      </c>
    </row>
    <row r="23">
      <c r="A23" s="145" t="s">
        <v>92</v>
      </c>
      <c r="B23" s="97" t="s">
        <v>116</v>
      </c>
      <c r="C23" s="97" t="s">
        <v>116</v>
      </c>
      <c r="D23" s="97" t="s">
        <v>116</v>
      </c>
      <c r="E23" s="97">
        <v>170.0</v>
      </c>
      <c r="F23" s="97">
        <v>0.0</v>
      </c>
      <c r="G23" s="97" t="s">
        <v>116</v>
      </c>
      <c r="H23" s="97">
        <v>43.0</v>
      </c>
      <c r="I23" s="97">
        <v>32.0</v>
      </c>
      <c r="J23" s="97" t="s">
        <v>116</v>
      </c>
      <c r="K23" s="97">
        <v>25.0</v>
      </c>
      <c r="L23" s="97" t="s">
        <v>116</v>
      </c>
      <c r="M23" s="97">
        <v>0.0</v>
      </c>
      <c r="N23" s="97" t="s">
        <v>116</v>
      </c>
      <c r="O23" s="97">
        <v>0.0</v>
      </c>
      <c r="P23" s="97" t="s">
        <v>116</v>
      </c>
      <c r="Q23" s="97">
        <v>41.0</v>
      </c>
      <c r="R23" s="97" t="s">
        <v>116</v>
      </c>
      <c r="S23" s="97">
        <v>0.0</v>
      </c>
      <c r="T23" s="97" t="s">
        <v>116</v>
      </c>
      <c r="U23" s="97" t="s">
        <v>116</v>
      </c>
      <c r="V23" s="97">
        <v>0.0</v>
      </c>
      <c r="W23" s="97" t="s">
        <v>116</v>
      </c>
      <c r="X23" s="97" t="s">
        <v>116</v>
      </c>
      <c r="Y23" s="97">
        <v>62.0</v>
      </c>
      <c r="Z23" s="97" t="s">
        <v>116</v>
      </c>
      <c r="AA23" s="97">
        <v>71.0</v>
      </c>
      <c r="AB23" s="97">
        <v>29.0</v>
      </c>
      <c r="AC23" s="97">
        <v>144.0</v>
      </c>
      <c r="AD23" s="97">
        <v>0.0</v>
      </c>
      <c r="AE23" s="97" t="s">
        <v>116</v>
      </c>
      <c r="AF23" s="97" t="s">
        <v>116</v>
      </c>
      <c r="AG23" s="97">
        <v>0.0</v>
      </c>
      <c r="AH23" s="97" t="s">
        <v>116</v>
      </c>
      <c r="AI23" s="97" t="s">
        <v>116</v>
      </c>
      <c r="AJ23" s="97">
        <v>23.0</v>
      </c>
      <c r="AK23" s="97">
        <v>0.0</v>
      </c>
      <c r="AL23" s="97">
        <v>35.0</v>
      </c>
      <c r="AM23" s="97">
        <v>0.0</v>
      </c>
      <c r="AN23" s="97">
        <v>60.0</v>
      </c>
      <c r="AO23" s="97">
        <v>50.0</v>
      </c>
    </row>
    <row r="24">
      <c r="A24" s="145" t="s">
        <v>93</v>
      </c>
      <c r="B24" s="97" t="s">
        <v>116</v>
      </c>
      <c r="C24" s="97" t="s">
        <v>116</v>
      </c>
      <c r="D24" s="97" t="s">
        <v>116</v>
      </c>
      <c r="E24" s="97">
        <v>119.0</v>
      </c>
      <c r="F24" s="97" t="s">
        <v>116</v>
      </c>
      <c r="G24" s="97" t="s">
        <v>116</v>
      </c>
      <c r="H24" s="97">
        <v>39.0</v>
      </c>
      <c r="I24" s="97">
        <v>26.0</v>
      </c>
      <c r="J24" s="97" t="s">
        <v>116</v>
      </c>
      <c r="K24" s="97">
        <v>25.0</v>
      </c>
      <c r="L24" s="97" t="s">
        <v>116</v>
      </c>
      <c r="M24" s="97">
        <v>0.0</v>
      </c>
      <c r="N24" s="97">
        <v>0.0</v>
      </c>
      <c r="O24" s="97">
        <v>0.0</v>
      </c>
      <c r="P24" s="97">
        <v>0.0</v>
      </c>
      <c r="Q24" s="97">
        <v>51.0</v>
      </c>
      <c r="R24" s="97">
        <v>28.0</v>
      </c>
      <c r="S24" s="97">
        <v>0.0</v>
      </c>
      <c r="T24" s="97" t="s">
        <v>116</v>
      </c>
      <c r="U24" s="97">
        <v>0.0</v>
      </c>
      <c r="V24" s="97">
        <v>0.0</v>
      </c>
      <c r="W24" s="97" t="s">
        <v>116</v>
      </c>
      <c r="X24" s="97" t="s">
        <v>116</v>
      </c>
      <c r="Y24" s="97">
        <v>28.0</v>
      </c>
      <c r="Z24" s="97">
        <v>57.0</v>
      </c>
      <c r="AA24" s="97">
        <v>57.0</v>
      </c>
      <c r="AB24" s="97">
        <v>0.0</v>
      </c>
      <c r="AC24" s="97">
        <v>89.0</v>
      </c>
      <c r="AD24" s="97">
        <v>0.0</v>
      </c>
      <c r="AE24" s="97" t="s">
        <v>116</v>
      </c>
      <c r="AF24" s="97" t="s">
        <v>116</v>
      </c>
      <c r="AG24" s="97" t="s">
        <v>116</v>
      </c>
      <c r="AH24" s="97" t="s">
        <v>116</v>
      </c>
      <c r="AI24" s="97" t="s">
        <v>116</v>
      </c>
      <c r="AJ24" s="97">
        <v>12.0</v>
      </c>
      <c r="AK24" s="97">
        <v>0.0</v>
      </c>
      <c r="AL24" s="97" t="s">
        <v>116</v>
      </c>
      <c r="AM24" s="97">
        <v>0.0</v>
      </c>
      <c r="AN24" s="97">
        <v>46.0</v>
      </c>
      <c r="AO24" s="97">
        <v>36.0</v>
      </c>
    </row>
    <row r="25">
      <c r="A25" s="145" t="s">
        <v>94</v>
      </c>
      <c r="B25" s="97">
        <v>0.0</v>
      </c>
      <c r="C25" s="97" t="s">
        <v>116</v>
      </c>
      <c r="D25" s="97" t="s">
        <v>116</v>
      </c>
      <c r="E25" s="97">
        <v>119.0</v>
      </c>
      <c r="F25" s="97" t="s">
        <v>116</v>
      </c>
      <c r="G25" s="97">
        <v>0.0</v>
      </c>
      <c r="H25" s="97">
        <v>22.0</v>
      </c>
      <c r="I25" s="97" t="s">
        <v>116</v>
      </c>
      <c r="J25" s="97" t="s">
        <v>116</v>
      </c>
      <c r="K25" s="97">
        <v>17.0</v>
      </c>
      <c r="L25" s="97">
        <v>0.0</v>
      </c>
      <c r="M25" s="97">
        <v>0.0</v>
      </c>
      <c r="N25" s="97">
        <v>0.0</v>
      </c>
      <c r="O25" s="97">
        <v>0.0</v>
      </c>
      <c r="P25" s="97" t="s">
        <v>116</v>
      </c>
      <c r="Q25" s="97">
        <v>21.0</v>
      </c>
      <c r="R25" s="97">
        <v>32.0</v>
      </c>
      <c r="S25" s="97">
        <v>0.0</v>
      </c>
      <c r="T25" s="97" t="s">
        <v>116</v>
      </c>
      <c r="U25" s="97" t="s">
        <v>116</v>
      </c>
      <c r="V25" s="97">
        <v>0.0</v>
      </c>
      <c r="W25" s="97">
        <v>28.0</v>
      </c>
      <c r="X25" s="97" t="s">
        <v>116</v>
      </c>
      <c r="Y25" s="97" t="s">
        <v>116</v>
      </c>
      <c r="Z25" s="97" t="s">
        <v>116</v>
      </c>
      <c r="AA25" s="97">
        <v>36.0</v>
      </c>
      <c r="AB25" s="97">
        <v>0.0</v>
      </c>
      <c r="AC25" s="97">
        <v>72.0</v>
      </c>
      <c r="AD25" s="97" t="s">
        <v>116</v>
      </c>
      <c r="AE25" s="97" t="s">
        <v>116</v>
      </c>
      <c r="AF25" s="97" t="s">
        <v>116</v>
      </c>
      <c r="AG25" s="97">
        <v>0.0</v>
      </c>
      <c r="AH25" s="97">
        <v>0.0</v>
      </c>
      <c r="AI25" s="97" t="s">
        <v>116</v>
      </c>
      <c r="AJ25" s="97">
        <v>14.0</v>
      </c>
      <c r="AK25" s="97">
        <v>0.0</v>
      </c>
      <c r="AL25" s="97">
        <v>35.0</v>
      </c>
      <c r="AM25" s="97" t="s">
        <v>116</v>
      </c>
      <c r="AN25" s="97">
        <v>39.0</v>
      </c>
      <c r="AO25" s="97">
        <v>28.0</v>
      </c>
    </row>
    <row r="26">
      <c r="A26" s="145" t="s">
        <v>95</v>
      </c>
      <c r="B26" s="97" t="s">
        <v>116</v>
      </c>
      <c r="C26" s="97" t="s">
        <v>116</v>
      </c>
      <c r="D26" s="97" t="s">
        <v>116</v>
      </c>
      <c r="E26" s="97">
        <v>62.0</v>
      </c>
      <c r="F26" s="97" t="s">
        <v>116</v>
      </c>
      <c r="G26" s="97" t="s">
        <v>116</v>
      </c>
      <c r="H26" s="97">
        <v>16.0</v>
      </c>
      <c r="I26" s="97">
        <v>26.0</v>
      </c>
      <c r="J26" s="97" t="s">
        <v>116</v>
      </c>
      <c r="K26" s="97">
        <v>15.0</v>
      </c>
      <c r="L26" s="97">
        <v>0.0</v>
      </c>
      <c r="M26" s="97" t="s">
        <v>116</v>
      </c>
      <c r="N26" s="97" t="s">
        <v>116</v>
      </c>
      <c r="O26" s="97" t="s">
        <v>116</v>
      </c>
      <c r="P26" s="97">
        <v>0.0</v>
      </c>
      <c r="Q26" s="97">
        <v>31.0</v>
      </c>
      <c r="R26" s="97">
        <v>28.0</v>
      </c>
      <c r="S26" s="97">
        <v>0.0</v>
      </c>
      <c r="T26" s="97">
        <v>37.0</v>
      </c>
      <c r="U26" s="97">
        <v>0.0</v>
      </c>
      <c r="V26" s="97">
        <v>0.0</v>
      </c>
      <c r="W26" s="97">
        <v>48.0</v>
      </c>
      <c r="X26" s="97" t="s">
        <v>116</v>
      </c>
      <c r="Y26" s="97">
        <v>37.0</v>
      </c>
      <c r="Z26" s="97" t="s">
        <v>116</v>
      </c>
      <c r="AA26" s="97">
        <v>56.0</v>
      </c>
      <c r="AB26" s="97" t="s">
        <v>116</v>
      </c>
      <c r="AC26" s="97">
        <v>66.0</v>
      </c>
      <c r="AD26" s="97">
        <v>0.0</v>
      </c>
      <c r="AE26" s="97" t="s">
        <v>116</v>
      </c>
      <c r="AF26" s="97" t="s">
        <v>116</v>
      </c>
      <c r="AG26" s="97" t="s">
        <v>116</v>
      </c>
      <c r="AH26" s="97" t="s">
        <v>116</v>
      </c>
      <c r="AI26" s="97" t="s">
        <v>116</v>
      </c>
      <c r="AJ26" s="97">
        <v>12.0</v>
      </c>
      <c r="AK26" s="97" t="s">
        <v>116</v>
      </c>
      <c r="AL26" s="97">
        <v>31.0</v>
      </c>
      <c r="AM26" s="97" t="s">
        <v>116</v>
      </c>
      <c r="AN26" s="97">
        <v>39.0</v>
      </c>
      <c r="AO26" s="97">
        <v>31.0</v>
      </c>
    </row>
    <row r="27">
      <c r="A27" s="145" t="s">
        <v>96</v>
      </c>
      <c r="B27" s="97" t="s">
        <v>116</v>
      </c>
      <c r="C27" s="97" t="s">
        <v>116</v>
      </c>
      <c r="D27" s="97" t="s">
        <v>116</v>
      </c>
      <c r="E27" s="97">
        <v>31.0</v>
      </c>
      <c r="F27" s="97" t="s">
        <v>116</v>
      </c>
      <c r="G27" s="97">
        <v>26.0</v>
      </c>
      <c r="H27" s="97">
        <v>39.0</v>
      </c>
      <c r="I27" s="97" t="s">
        <v>116</v>
      </c>
      <c r="J27" s="97" t="s">
        <v>116</v>
      </c>
      <c r="K27" s="97">
        <v>13.0</v>
      </c>
      <c r="L27" s="97">
        <v>0.0</v>
      </c>
      <c r="M27" s="97" t="s">
        <v>116</v>
      </c>
      <c r="N27" s="97" t="s">
        <v>116</v>
      </c>
      <c r="O27" s="97">
        <v>0.0</v>
      </c>
      <c r="P27" s="97" t="s">
        <v>116</v>
      </c>
      <c r="Q27" s="97">
        <v>31.0</v>
      </c>
      <c r="R27" s="97" t="s">
        <v>116</v>
      </c>
      <c r="S27" s="97" t="s">
        <v>116</v>
      </c>
      <c r="T27" s="97">
        <v>31.0</v>
      </c>
      <c r="U27" s="97">
        <v>0.0</v>
      </c>
      <c r="V27" s="97">
        <v>0.0</v>
      </c>
      <c r="W27" s="97">
        <v>36.0</v>
      </c>
      <c r="X27" s="97" t="s">
        <v>116</v>
      </c>
      <c r="Y27" s="97">
        <v>31.0</v>
      </c>
      <c r="Z27" s="97" t="s">
        <v>116</v>
      </c>
      <c r="AA27" s="97">
        <v>18.0</v>
      </c>
      <c r="AB27" s="97" t="s">
        <v>116</v>
      </c>
      <c r="AC27" s="97">
        <v>47.0</v>
      </c>
      <c r="AD27" s="97">
        <v>0.0</v>
      </c>
      <c r="AE27" s="97" t="s">
        <v>116</v>
      </c>
      <c r="AF27" s="97">
        <v>23.0</v>
      </c>
      <c r="AG27" s="97">
        <v>0.0</v>
      </c>
      <c r="AH27" s="97" t="s">
        <v>116</v>
      </c>
      <c r="AI27" s="97" t="s">
        <v>116</v>
      </c>
      <c r="AJ27" s="97">
        <v>12.0</v>
      </c>
      <c r="AK27" s="97">
        <v>0.0</v>
      </c>
      <c r="AL27" s="97">
        <v>28.0</v>
      </c>
      <c r="AM27" s="97">
        <v>22.0</v>
      </c>
      <c r="AN27" s="97">
        <v>17.0</v>
      </c>
      <c r="AO27" s="97">
        <v>25.0</v>
      </c>
    </row>
    <row r="28">
      <c r="A28" s="145" t="s">
        <v>97</v>
      </c>
      <c r="B28" s="97" t="s">
        <v>116</v>
      </c>
      <c r="C28" s="97">
        <v>31.0</v>
      </c>
      <c r="D28" s="97" t="s">
        <v>116</v>
      </c>
      <c r="E28" s="97">
        <v>77.0</v>
      </c>
      <c r="F28" s="97" t="s">
        <v>116</v>
      </c>
      <c r="G28" s="97">
        <v>26.0</v>
      </c>
      <c r="H28" s="97">
        <v>30.0</v>
      </c>
      <c r="I28" s="97" t="s">
        <v>116</v>
      </c>
      <c r="J28" s="97">
        <v>54.0</v>
      </c>
      <c r="K28" s="97">
        <v>15.0</v>
      </c>
      <c r="L28" s="97">
        <v>0.0</v>
      </c>
      <c r="M28" s="97">
        <v>0.0</v>
      </c>
      <c r="N28" s="97" t="s">
        <v>116</v>
      </c>
      <c r="O28" s="97" t="s">
        <v>116</v>
      </c>
      <c r="P28" s="97" t="s">
        <v>116</v>
      </c>
      <c r="Q28" s="97">
        <v>21.0</v>
      </c>
      <c r="R28" s="97">
        <v>28.0</v>
      </c>
      <c r="S28" s="97">
        <v>0.0</v>
      </c>
      <c r="T28" s="97">
        <v>50.0</v>
      </c>
      <c r="U28" s="97" t="s">
        <v>116</v>
      </c>
      <c r="V28" s="97" t="s">
        <v>116</v>
      </c>
      <c r="W28" s="97">
        <v>44.0</v>
      </c>
      <c r="X28" s="97">
        <v>0.0</v>
      </c>
      <c r="Y28" s="97">
        <v>49.0</v>
      </c>
      <c r="Z28" s="97">
        <v>40.0</v>
      </c>
      <c r="AA28" s="97">
        <v>39.0</v>
      </c>
      <c r="AB28" s="97" t="s">
        <v>116</v>
      </c>
      <c r="AC28" s="97">
        <v>57.0</v>
      </c>
      <c r="AD28" s="97">
        <v>0.0</v>
      </c>
      <c r="AE28" s="97" t="s">
        <v>116</v>
      </c>
      <c r="AF28" s="97">
        <v>23.0</v>
      </c>
      <c r="AG28" s="97" t="s">
        <v>116</v>
      </c>
      <c r="AH28" s="97" t="s">
        <v>116</v>
      </c>
      <c r="AI28" s="97" t="s">
        <v>116</v>
      </c>
      <c r="AJ28" s="97">
        <v>21.0</v>
      </c>
      <c r="AK28" s="97" t="s">
        <v>116</v>
      </c>
      <c r="AL28" s="97">
        <v>45.0</v>
      </c>
      <c r="AM28" s="97" t="s">
        <v>116</v>
      </c>
      <c r="AN28" s="97">
        <v>29.0</v>
      </c>
      <c r="AO28" s="97">
        <v>32.0</v>
      </c>
    </row>
    <row r="29">
      <c r="A29" s="145" t="s">
        <v>98</v>
      </c>
      <c r="B29" s="97" t="s">
        <v>116</v>
      </c>
      <c r="C29" s="97">
        <v>36.0</v>
      </c>
      <c r="D29" s="97" t="s">
        <v>116</v>
      </c>
      <c r="E29" s="97">
        <v>114.0</v>
      </c>
      <c r="F29" s="97" t="s">
        <v>116</v>
      </c>
      <c r="G29" s="97" t="s">
        <v>116</v>
      </c>
      <c r="H29" s="97">
        <v>43.0</v>
      </c>
      <c r="I29" s="97">
        <v>32.0</v>
      </c>
      <c r="J29" s="97" t="s">
        <v>116</v>
      </c>
      <c r="K29" s="97">
        <v>32.0</v>
      </c>
      <c r="L29" s="97">
        <v>0.0</v>
      </c>
      <c r="M29" s="97">
        <v>0.0</v>
      </c>
      <c r="N29" s="97">
        <v>0.0</v>
      </c>
      <c r="O29" s="97">
        <v>0.0</v>
      </c>
      <c r="P29" s="97">
        <v>0.0</v>
      </c>
      <c r="Q29" s="97">
        <v>38.0</v>
      </c>
      <c r="R29" s="97">
        <v>23.0</v>
      </c>
      <c r="S29" s="97" t="s">
        <v>116</v>
      </c>
      <c r="T29" s="97" t="s">
        <v>116</v>
      </c>
      <c r="U29" s="97" t="s">
        <v>116</v>
      </c>
      <c r="V29" s="97">
        <v>0.0</v>
      </c>
      <c r="W29" s="97" t="s">
        <v>116</v>
      </c>
      <c r="X29" s="97" t="s">
        <v>116</v>
      </c>
      <c r="Y29" s="97">
        <v>43.0</v>
      </c>
      <c r="Z29" s="97" t="s">
        <v>116</v>
      </c>
      <c r="AA29" s="97">
        <v>79.0</v>
      </c>
      <c r="AB29" s="97" t="s">
        <v>116</v>
      </c>
      <c r="AC29" s="97">
        <v>67.0</v>
      </c>
      <c r="AD29" s="97">
        <v>0.0</v>
      </c>
      <c r="AE29" s="97" t="s">
        <v>116</v>
      </c>
      <c r="AF29" s="97">
        <v>60.0</v>
      </c>
      <c r="AG29" s="97">
        <v>0.0</v>
      </c>
      <c r="AH29" s="97" t="s">
        <v>116</v>
      </c>
      <c r="AI29" s="97" t="s">
        <v>116</v>
      </c>
      <c r="AJ29" s="97">
        <v>25.0</v>
      </c>
      <c r="AK29" s="97">
        <v>0.0</v>
      </c>
      <c r="AL29" s="97">
        <v>31.0</v>
      </c>
      <c r="AM29" s="97" t="s">
        <v>116</v>
      </c>
      <c r="AN29" s="97">
        <v>39.0</v>
      </c>
      <c r="AO29" s="97">
        <v>39.0</v>
      </c>
    </row>
    <row r="30">
      <c r="A30" s="145" t="s">
        <v>99</v>
      </c>
      <c r="B30" s="97">
        <v>0.0</v>
      </c>
      <c r="C30" s="97">
        <v>36.0</v>
      </c>
      <c r="D30" s="97" t="s">
        <v>116</v>
      </c>
      <c r="E30" s="97">
        <v>181.0</v>
      </c>
      <c r="F30" s="97" t="s">
        <v>116</v>
      </c>
      <c r="G30" s="97">
        <v>32.0</v>
      </c>
      <c r="H30" s="97">
        <v>54.0</v>
      </c>
      <c r="I30" s="97">
        <v>29.0</v>
      </c>
      <c r="J30" s="97">
        <v>46.0</v>
      </c>
      <c r="K30" s="97">
        <v>42.0</v>
      </c>
      <c r="L30" s="97" t="s">
        <v>116</v>
      </c>
      <c r="M30" s="97">
        <v>0.0</v>
      </c>
      <c r="N30" s="97" t="s">
        <v>116</v>
      </c>
      <c r="O30" s="97" t="s">
        <v>116</v>
      </c>
      <c r="P30" s="97" t="s">
        <v>116</v>
      </c>
      <c r="Q30" s="97">
        <v>65.0</v>
      </c>
      <c r="R30" s="97">
        <v>23.0</v>
      </c>
      <c r="S30" s="97">
        <v>0.0</v>
      </c>
      <c r="T30" s="97" t="s">
        <v>116</v>
      </c>
      <c r="U30" s="97" t="s">
        <v>116</v>
      </c>
      <c r="V30" s="97" t="s">
        <v>116</v>
      </c>
      <c r="W30" s="97">
        <v>32.0</v>
      </c>
      <c r="X30" s="97">
        <v>19.0</v>
      </c>
      <c r="Y30" s="97">
        <v>102.0</v>
      </c>
      <c r="Z30" s="97" t="s">
        <v>116</v>
      </c>
      <c r="AA30" s="97">
        <v>130.0</v>
      </c>
      <c r="AB30" s="97" t="s">
        <v>116</v>
      </c>
      <c r="AC30" s="97">
        <v>94.0</v>
      </c>
      <c r="AD30" s="97">
        <v>0.0</v>
      </c>
      <c r="AE30" s="97" t="s">
        <v>116</v>
      </c>
      <c r="AF30" s="97">
        <v>42.0</v>
      </c>
      <c r="AG30" s="97">
        <v>0.0</v>
      </c>
      <c r="AH30" s="97" t="s">
        <v>116</v>
      </c>
      <c r="AI30" s="97">
        <v>86.0</v>
      </c>
      <c r="AJ30" s="97">
        <v>42.0</v>
      </c>
      <c r="AK30" s="97" t="s">
        <v>116</v>
      </c>
      <c r="AL30" s="97">
        <v>35.0</v>
      </c>
      <c r="AM30" s="97" t="s">
        <v>116</v>
      </c>
      <c r="AN30" s="97">
        <v>41.0</v>
      </c>
      <c r="AO30" s="97">
        <v>58.0</v>
      </c>
    </row>
    <row r="31">
      <c r="A31" s="147" t="s">
        <v>100</v>
      </c>
      <c r="B31" s="97" t="s">
        <v>116</v>
      </c>
      <c r="C31" s="97">
        <v>22.0</v>
      </c>
      <c r="D31" s="97">
        <v>43.0</v>
      </c>
      <c r="E31" s="97">
        <v>191.0</v>
      </c>
      <c r="F31" s="97" t="s">
        <v>116</v>
      </c>
      <c r="G31" s="97">
        <v>20.0</v>
      </c>
      <c r="H31" s="97">
        <v>94.0</v>
      </c>
      <c r="I31" s="97">
        <v>29.0</v>
      </c>
      <c r="J31" s="97">
        <v>54.0</v>
      </c>
      <c r="K31" s="97">
        <v>30.0</v>
      </c>
      <c r="L31" s="97" t="s">
        <v>116</v>
      </c>
      <c r="M31" s="97" t="s">
        <v>116</v>
      </c>
      <c r="N31" s="97" t="s">
        <v>116</v>
      </c>
      <c r="O31" s="97">
        <v>0.0</v>
      </c>
      <c r="P31" s="97" t="s">
        <v>116</v>
      </c>
      <c r="Q31" s="97">
        <v>34.0</v>
      </c>
      <c r="R31" s="97">
        <v>60.0</v>
      </c>
      <c r="S31" s="97">
        <v>0.0</v>
      </c>
      <c r="T31" s="97">
        <v>37.0</v>
      </c>
      <c r="U31" s="97">
        <v>0.0</v>
      </c>
      <c r="V31" s="97" t="s">
        <v>116</v>
      </c>
      <c r="W31" s="97">
        <v>28.0</v>
      </c>
      <c r="X31" s="97">
        <v>19.0</v>
      </c>
      <c r="Y31" s="97">
        <v>105.0</v>
      </c>
      <c r="Z31" s="97" t="s">
        <v>116</v>
      </c>
      <c r="AA31" s="97">
        <v>145.0</v>
      </c>
      <c r="AB31" s="97">
        <v>0.0</v>
      </c>
      <c r="AC31" s="97">
        <v>106.0</v>
      </c>
      <c r="AD31" s="97" t="s">
        <v>116</v>
      </c>
      <c r="AE31" s="97" t="s">
        <v>116</v>
      </c>
      <c r="AF31" s="97" t="s">
        <v>116</v>
      </c>
      <c r="AG31" s="97" t="s">
        <v>116</v>
      </c>
      <c r="AH31" s="97" t="s">
        <v>116</v>
      </c>
      <c r="AI31" s="97" t="s">
        <v>116</v>
      </c>
      <c r="AJ31" s="97">
        <v>44.0</v>
      </c>
      <c r="AK31" s="97" t="s">
        <v>116</v>
      </c>
      <c r="AL31" s="97">
        <v>73.0</v>
      </c>
      <c r="AM31" s="97" t="s">
        <v>116</v>
      </c>
      <c r="AN31" s="97">
        <v>48.0</v>
      </c>
      <c r="AO31" s="97">
        <v>63.0</v>
      </c>
    </row>
    <row r="32">
      <c r="A32" s="147" t="s">
        <v>101</v>
      </c>
      <c r="B32" s="97" t="s">
        <v>116</v>
      </c>
      <c r="C32" s="97">
        <v>27.0</v>
      </c>
      <c r="D32" s="97" t="s">
        <v>116</v>
      </c>
      <c r="E32" s="97">
        <v>196.0</v>
      </c>
      <c r="F32" s="97">
        <v>0.0</v>
      </c>
      <c r="G32" s="97">
        <v>23.0</v>
      </c>
      <c r="H32" s="97">
        <v>116.0</v>
      </c>
      <c r="I32" s="97">
        <v>32.0</v>
      </c>
      <c r="J32" s="97" t="s">
        <v>116</v>
      </c>
      <c r="K32" s="97">
        <v>40.0</v>
      </c>
      <c r="L32" s="97" t="s">
        <v>116</v>
      </c>
      <c r="M32" s="97" t="s">
        <v>116</v>
      </c>
      <c r="N32" s="97" t="s">
        <v>116</v>
      </c>
      <c r="O32" s="97" t="s">
        <v>116</v>
      </c>
      <c r="P32" s="97">
        <v>0.0</v>
      </c>
      <c r="Q32" s="97">
        <v>55.0</v>
      </c>
      <c r="R32" s="97">
        <v>65.0</v>
      </c>
      <c r="S32" s="97">
        <v>0.0</v>
      </c>
      <c r="T32" s="97" t="s">
        <v>116</v>
      </c>
      <c r="U32" s="97" t="s">
        <v>116</v>
      </c>
      <c r="V32" s="97" t="s">
        <v>116</v>
      </c>
      <c r="W32" s="97">
        <v>20.0</v>
      </c>
      <c r="X32" s="97">
        <v>27.0</v>
      </c>
      <c r="Y32" s="97">
        <v>80.0</v>
      </c>
      <c r="Z32" s="97" t="s">
        <v>116</v>
      </c>
      <c r="AA32" s="97">
        <v>117.0</v>
      </c>
      <c r="AB32" s="97" t="s">
        <v>116</v>
      </c>
      <c r="AC32" s="97">
        <v>123.0</v>
      </c>
      <c r="AD32" s="97" t="s">
        <v>116</v>
      </c>
      <c r="AE32" s="97">
        <v>47.0</v>
      </c>
      <c r="AF32" s="97">
        <v>32.0</v>
      </c>
      <c r="AG32" s="97" t="s">
        <v>116</v>
      </c>
      <c r="AH32" s="97">
        <v>0.0</v>
      </c>
      <c r="AI32" s="97">
        <v>0.0</v>
      </c>
      <c r="AJ32" s="97">
        <v>37.0</v>
      </c>
      <c r="AK32" s="97">
        <v>0.0</v>
      </c>
      <c r="AL32" s="97">
        <v>38.0</v>
      </c>
      <c r="AM32" s="97">
        <v>22.0</v>
      </c>
      <c r="AN32" s="97">
        <v>51.0</v>
      </c>
      <c r="AO32" s="97">
        <v>62.0</v>
      </c>
    </row>
    <row r="33">
      <c r="A33" s="147" t="s">
        <v>102</v>
      </c>
      <c r="B33" s="97" t="s">
        <v>116</v>
      </c>
      <c r="C33" s="97">
        <v>22.0</v>
      </c>
      <c r="D33" s="97" t="s">
        <v>116</v>
      </c>
      <c r="E33" s="97">
        <v>175.0</v>
      </c>
      <c r="F33" s="97" t="s">
        <v>116</v>
      </c>
      <c r="G33" s="97">
        <v>17.0</v>
      </c>
      <c r="H33" s="97">
        <v>43.0</v>
      </c>
      <c r="I33" s="97">
        <v>43.0</v>
      </c>
      <c r="J33" s="97">
        <v>38.0</v>
      </c>
      <c r="K33" s="97">
        <v>27.0</v>
      </c>
      <c r="L33" s="97" t="s">
        <v>116</v>
      </c>
      <c r="M33" s="97" t="s">
        <v>116</v>
      </c>
      <c r="N33" s="97" t="s">
        <v>116</v>
      </c>
      <c r="O33" s="97">
        <v>0.0</v>
      </c>
      <c r="P33" s="97" t="s">
        <v>116</v>
      </c>
      <c r="Q33" s="97">
        <v>38.0</v>
      </c>
      <c r="R33" s="97">
        <v>28.0</v>
      </c>
      <c r="S33" s="97">
        <v>0.0</v>
      </c>
      <c r="T33" s="97">
        <v>0.0</v>
      </c>
      <c r="U33" s="97">
        <v>116.0</v>
      </c>
      <c r="V33" s="97" t="s">
        <v>116</v>
      </c>
      <c r="W33" s="97" t="s">
        <v>116</v>
      </c>
      <c r="X33" s="97">
        <v>42.0</v>
      </c>
      <c r="Y33" s="97">
        <v>59.0</v>
      </c>
      <c r="Z33" s="97">
        <v>0.0</v>
      </c>
      <c r="AA33" s="97">
        <v>77.0</v>
      </c>
      <c r="AB33" s="97" t="s">
        <v>116</v>
      </c>
      <c r="AC33" s="97">
        <v>124.0</v>
      </c>
      <c r="AD33" s="97" t="s">
        <v>116</v>
      </c>
      <c r="AE33" s="97" t="s">
        <v>116</v>
      </c>
      <c r="AF33" s="97">
        <v>46.0</v>
      </c>
      <c r="AG33" s="97">
        <v>55.0</v>
      </c>
      <c r="AH33" s="97" t="s">
        <v>116</v>
      </c>
      <c r="AI33" s="97">
        <v>0.0</v>
      </c>
      <c r="AJ33" s="97">
        <v>25.0</v>
      </c>
      <c r="AK33" s="97" t="s">
        <v>116</v>
      </c>
      <c r="AL33" s="97">
        <v>52.0</v>
      </c>
      <c r="AM33" s="97">
        <v>0.0</v>
      </c>
      <c r="AN33" s="97">
        <v>51.0</v>
      </c>
      <c r="AO33" s="97">
        <v>54.0</v>
      </c>
    </row>
    <row r="34">
      <c r="A34" s="147" t="s">
        <v>103</v>
      </c>
      <c r="B34" s="97">
        <v>0.0</v>
      </c>
      <c r="C34" s="97">
        <v>67.0</v>
      </c>
      <c r="D34" s="97" t="s">
        <v>116</v>
      </c>
      <c r="E34" s="97">
        <v>181.0</v>
      </c>
      <c r="F34" s="97">
        <v>0.0</v>
      </c>
      <c r="G34" s="97">
        <v>26.0</v>
      </c>
      <c r="H34" s="97">
        <v>62.0</v>
      </c>
      <c r="I34" s="97">
        <v>61.0</v>
      </c>
      <c r="J34" s="97">
        <v>69.0</v>
      </c>
      <c r="K34" s="97">
        <v>27.0</v>
      </c>
      <c r="L34" s="97" t="s">
        <v>116</v>
      </c>
      <c r="M34" s="97" t="s">
        <v>116</v>
      </c>
      <c r="N34" s="97" t="s">
        <v>116</v>
      </c>
      <c r="O34" s="97" t="s">
        <v>116</v>
      </c>
      <c r="P34" s="97" t="s">
        <v>116</v>
      </c>
      <c r="Q34" s="97">
        <v>75.0</v>
      </c>
      <c r="R34" s="97">
        <v>42.0</v>
      </c>
      <c r="S34" s="97">
        <v>0.0</v>
      </c>
      <c r="T34" s="97">
        <v>31.0</v>
      </c>
      <c r="U34" s="97">
        <v>58.0</v>
      </c>
      <c r="V34" s="97">
        <v>0.0</v>
      </c>
      <c r="W34" s="97" t="s">
        <v>116</v>
      </c>
      <c r="X34" s="97">
        <v>57.0</v>
      </c>
      <c r="Y34" s="97">
        <v>59.0</v>
      </c>
      <c r="Z34" s="97" t="s">
        <v>116</v>
      </c>
      <c r="AA34" s="97">
        <v>75.0</v>
      </c>
      <c r="AB34" s="97" t="s">
        <v>116</v>
      </c>
      <c r="AC34" s="97">
        <v>121.0</v>
      </c>
      <c r="AD34" s="97">
        <v>0.0</v>
      </c>
      <c r="AE34" s="97" t="s">
        <v>116</v>
      </c>
      <c r="AF34" s="97">
        <v>37.0</v>
      </c>
      <c r="AG34" s="97">
        <v>16.0</v>
      </c>
      <c r="AH34" s="97">
        <v>44.0</v>
      </c>
      <c r="AI34" s="97" t="s">
        <v>116</v>
      </c>
      <c r="AJ34" s="97">
        <v>44.0</v>
      </c>
      <c r="AK34" s="97" t="s">
        <v>116</v>
      </c>
      <c r="AL34" s="97" t="s">
        <v>116</v>
      </c>
      <c r="AM34" s="97" t="s">
        <v>116</v>
      </c>
      <c r="AN34" s="97">
        <v>39.0</v>
      </c>
      <c r="AO34" s="97">
        <v>60.0</v>
      </c>
    </row>
    <row r="35">
      <c r="A35" s="147" t="s">
        <v>104</v>
      </c>
      <c r="B35" s="97" t="s">
        <v>116</v>
      </c>
      <c r="C35" s="97">
        <v>31.0</v>
      </c>
      <c r="D35" s="97" t="s">
        <v>116</v>
      </c>
      <c r="E35" s="97">
        <v>114.0</v>
      </c>
      <c r="F35" s="97" t="s">
        <v>116</v>
      </c>
      <c r="G35" s="97">
        <v>26.0</v>
      </c>
      <c r="H35" s="97">
        <v>52.0</v>
      </c>
      <c r="I35" s="97">
        <v>32.0</v>
      </c>
      <c r="J35" s="97">
        <v>61.0</v>
      </c>
      <c r="K35" s="97">
        <v>11.0</v>
      </c>
      <c r="L35" s="97">
        <v>0.0</v>
      </c>
      <c r="M35" s="97" t="s">
        <v>116</v>
      </c>
      <c r="N35" s="97" t="s">
        <v>116</v>
      </c>
      <c r="O35" s="97" t="s">
        <v>116</v>
      </c>
      <c r="P35" s="97">
        <v>0.0</v>
      </c>
      <c r="Q35" s="97">
        <v>48.0</v>
      </c>
      <c r="R35" s="97">
        <v>37.0</v>
      </c>
      <c r="S35" s="97">
        <v>0.0</v>
      </c>
      <c r="T35" s="97" t="s">
        <v>116</v>
      </c>
      <c r="U35" s="97">
        <v>39.0</v>
      </c>
      <c r="V35" s="97">
        <v>0.0</v>
      </c>
      <c r="W35" s="97">
        <v>20.0</v>
      </c>
      <c r="X35" s="97">
        <v>27.0</v>
      </c>
      <c r="Y35" s="97">
        <v>49.0</v>
      </c>
      <c r="Z35" s="97" t="s">
        <v>116</v>
      </c>
      <c r="AA35" s="97">
        <v>53.0</v>
      </c>
      <c r="AB35" s="97">
        <v>29.0</v>
      </c>
      <c r="AC35" s="97">
        <v>106.0</v>
      </c>
      <c r="AD35" s="97" t="s">
        <v>116</v>
      </c>
      <c r="AE35" s="97" t="s">
        <v>116</v>
      </c>
      <c r="AF35" s="97">
        <v>37.0</v>
      </c>
      <c r="AG35" s="97" t="s">
        <v>116</v>
      </c>
      <c r="AH35" s="97">
        <v>32.0</v>
      </c>
      <c r="AI35" s="97" t="s">
        <v>116</v>
      </c>
      <c r="AJ35" s="97">
        <v>17.0</v>
      </c>
      <c r="AK35" s="97" t="s">
        <v>116</v>
      </c>
      <c r="AL35" s="97">
        <v>21.0</v>
      </c>
      <c r="AM35" s="97" t="s">
        <v>116</v>
      </c>
      <c r="AN35" s="97">
        <v>43.0</v>
      </c>
      <c r="AO35" s="97">
        <v>46.0</v>
      </c>
    </row>
    <row r="36">
      <c r="A36" s="147" t="s">
        <v>105</v>
      </c>
      <c r="B36" s="97" t="s">
        <v>116</v>
      </c>
      <c r="C36" s="97" t="s">
        <v>116</v>
      </c>
      <c r="D36" s="97" t="s">
        <v>116</v>
      </c>
      <c r="E36" s="97">
        <v>26.0</v>
      </c>
      <c r="F36" s="97">
        <v>0.0</v>
      </c>
      <c r="G36" s="97" t="s">
        <v>116</v>
      </c>
      <c r="H36" s="97">
        <v>44.0</v>
      </c>
      <c r="I36" s="97">
        <v>43.0</v>
      </c>
      <c r="J36" s="97">
        <v>0.0</v>
      </c>
      <c r="K36" s="97">
        <v>21.0</v>
      </c>
      <c r="L36" s="97">
        <v>0.0</v>
      </c>
      <c r="M36" s="97" t="s">
        <v>116</v>
      </c>
      <c r="N36" s="97" t="s">
        <v>116</v>
      </c>
      <c r="O36" s="97">
        <v>0.0</v>
      </c>
      <c r="P36" s="97" t="s">
        <v>116</v>
      </c>
      <c r="Q36" s="97">
        <v>48.0</v>
      </c>
      <c r="R36" s="97">
        <v>28.0</v>
      </c>
      <c r="S36" s="97">
        <v>0.0</v>
      </c>
      <c r="T36" s="97" t="s">
        <v>116</v>
      </c>
      <c r="U36" s="97" t="s">
        <v>116</v>
      </c>
      <c r="V36" s="97">
        <v>0.0</v>
      </c>
      <c r="W36" s="97">
        <v>24.0</v>
      </c>
      <c r="X36" s="97">
        <v>23.0</v>
      </c>
      <c r="Y36" s="97">
        <v>86.0</v>
      </c>
      <c r="Z36" s="97" t="s">
        <v>116</v>
      </c>
      <c r="AA36" s="97">
        <v>53.0</v>
      </c>
      <c r="AB36" s="97" t="s">
        <v>116</v>
      </c>
      <c r="AC36" s="97">
        <v>100.0</v>
      </c>
      <c r="AD36" s="97">
        <v>0.0</v>
      </c>
      <c r="AE36" s="97" t="s">
        <v>116</v>
      </c>
      <c r="AF36" s="97">
        <v>28.0</v>
      </c>
      <c r="AG36" s="97">
        <v>0.0</v>
      </c>
      <c r="AH36" s="97">
        <v>38.0</v>
      </c>
      <c r="AI36" s="97" t="s">
        <v>116</v>
      </c>
      <c r="AJ36" s="97">
        <v>32.0</v>
      </c>
      <c r="AK36" s="97">
        <v>0.0</v>
      </c>
      <c r="AL36" s="97" t="s">
        <v>116</v>
      </c>
      <c r="AM36" s="97" t="s">
        <v>116</v>
      </c>
      <c r="AN36" s="97">
        <v>29.0</v>
      </c>
      <c r="AO36" s="97">
        <v>43.0</v>
      </c>
    </row>
    <row r="37">
      <c r="A37" s="147" t="s">
        <v>106</v>
      </c>
      <c r="B37" s="97">
        <v>31.0</v>
      </c>
      <c r="C37" s="97">
        <v>45.0</v>
      </c>
      <c r="D37" s="97">
        <v>43.0</v>
      </c>
      <c r="E37" s="97">
        <v>98.0</v>
      </c>
      <c r="F37" s="97" t="s">
        <v>116</v>
      </c>
      <c r="G37" s="97" t="s">
        <v>116</v>
      </c>
      <c r="H37" s="97">
        <v>38.0</v>
      </c>
      <c r="I37" s="97">
        <v>87.0</v>
      </c>
      <c r="J37" s="97" t="s">
        <v>116</v>
      </c>
      <c r="K37" s="97">
        <v>34.0</v>
      </c>
      <c r="L37" s="97">
        <v>0.0</v>
      </c>
      <c r="M37" s="97" t="s">
        <v>116</v>
      </c>
      <c r="N37" s="97">
        <v>0.0</v>
      </c>
      <c r="O37" s="97">
        <v>0.0</v>
      </c>
      <c r="P37" s="97">
        <v>0.0</v>
      </c>
      <c r="Q37" s="97">
        <v>31.0</v>
      </c>
      <c r="R37" s="97" t="s">
        <v>116</v>
      </c>
      <c r="S37" s="97">
        <v>0.0</v>
      </c>
      <c r="T37" s="97" t="s">
        <v>116</v>
      </c>
      <c r="U37" s="97">
        <v>32.0</v>
      </c>
      <c r="V37" s="97">
        <v>0.0</v>
      </c>
      <c r="W37" s="97">
        <v>52.0</v>
      </c>
      <c r="X37" s="97">
        <v>27.0</v>
      </c>
      <c r="Y37" s="97">
        <v>34.0</v>
      </c>
      <c r="Z37" s="97" t="s">
        <v>116</v>
      </c>
      <c r="AA37" s="97">
        <v>77.0</v>
      </c>
      <c r="AB37" s="97" t="s">
        <v>116</v>
      </c>
      <c r="AC37" s="97">
        <v>81.0</v>
      </c>
      <c r="AD37" s="97">
        <v>0.0</v>
      </c>
      <c r="AE37" s="97" t="s">
        <v>116</v>
      </c>
      <c r="AF37" s="97">
        <v>28.0</v>
      </c>
      <c r="AG37" s="97" t="s">
        <v>116</v>
      </c>
      <c r="AH37" s="97" t="s">
        <v>116</v>
      </c>
      <c r="AI37" s="97">
        <v>0.0</v>
      </c>
      <c r="AJ37" s="97">
        <v>27.0</v>
      </c>
      <c r="AK37" s="97" t="s">
        <v>116</v>
      </c>
      <c r="AL37" s="97">
        <v>38.0</v>
      </c>
      <c r="AM37" s="97">
        <v>22.0</v>
      </c>
      <c r="AN37" s="97">
        <v>39.0</v>
      </c>
      <c r="AO37" s="97">
        <v>44.0</v>
      </c>
    </row>
    <row r="38">
      <c r="A38" s="147" t="s">
        <v>107</v>
      </c>
      <c r="B38" s="97">
        <v>31.0</v>
      </c>
      <c r="C38" s="97">
        <v>31.0</v>
      </c>
      <c r="D38" s="97">
        <v>61.0</v>
      </c>
      <c r="E38" s="97">
        <v>114.0</v>
      </c>
      <c r="F38" s="97" t="s">
        <v>116</v>
      </c>
      <c r="G38" s="97">
        <v>61.0</v>
      </c>
      <c r="H38" s="97">
        <v>48.0</v>
      </c>
      <c r="I38" s="97">
        <v>43.0</v>
      </c>
      <c r="J38" s="97" t="s">
        <v>116</v>
      </c>
      <c r="K38" s="97">
        <v>19.0</v>
      </c>
      <c r="L38" s="97" t="s">
        <v>116</v>
      </c>
      <c r="M38" s="97">
        <v>0.0</v>
      </c>
      <c r="N38" s="97">
        <v>0.0</v>
      </c>
      <c r="O38" s="97">
        <v>0.0</v>
      </c>
      <c r="P38" s="97" t="s">
        <v>116</v>
      </c>
      <c r="Q38" s="97">
        <v>72.0</v>
      </c>
      <c r="R38" s="97">
        <v>23.0</v>
      </c>
      <c r="S38" s="97">
        <v>0.0</v>
      </c>
      <c r="T38" s="97">
        <v>0.0</v>
      </c>
      <c r="U38" s="97">
        <v>212.0</v>
      </c>
      <c r="V38" s="97">
        <v>0.0</v>
      </c>
      <c r="W38" s="97">
        <v>28.0</v>
      </c>
      <c r="X38" s="97">
        <v>19.0</v>
      </c>
      <c r="Y38" s="97">
        <v>65.0</v>
      </c>
      <c r="Z38" s="97">
        <v>49.0</v>
      </c>
      <c r="AA38" s="97">
        <v>56.0</v>
      </c>
      <c r="AB38" s="97" t="s">
        <v>116</v>
      </c>
      <c r="AC38" s="97">
        <v>157.0</v>
      </c>
      <c r="AD38" s="97">
        <v>0.0</v>
      </c>
      <c r="AE38" s="97" t="s">
        <v>116</v>
      </c>
      <c r="AF38" s="97">
        <v>46.0</v>
      </c>
      <c r="AG38" s="97">
        <v>23.0</v>
      </c>
      <c r="AH38" s="97">
        <v>32.0</v>
      </c>
      <c r="AI38" s="97" t="s">
        <v>116</v>
      </c>
      <c r="AJ38" s="97">
        <v>41.0</v>
      </c>
      <c r="AK38" s="97" t="s">
        <v>116</v>
      </c>
      <c r="AL38" s="97">
        <v>35.0</v>
      </c>
      <c r="AM38" s="97">
        <v>35.0</v>
      </c>
      <c r="AN38" s="97">
        <v>36.0</v>
      </c>
      <c r="AO38" s="97">
        <v>63.0</v>
      </c>
    </row>
    <row r="39">
      <c r="A39" s="147" t="s">
        <v>108</v>
      </c>
      <c r="B39" s="97" t="s">
        <v>116</v>
      </c>
      <c r="C39" s="97" t="s">
        <v>116</v>
      </c>
      <c r="D39" s="97">
        <v>43.0</v>
      </c>
      <c r="E39" s="97">
        <v>175.0</v>
      </c>
      <c r="F39" s="97" t="s">
        <v>116</v>
      </c>
      <c r="G39" s="97">
        <v>17.0</v>
      </c>
      <c r="H39" s="97">
        <v>52.0</v>
      </c>
      <c r="I39" s="97">
        <v>40.0</v>
      </c>
      <c r="J39" s="97" t="s">
        <v>116</v>
      </c>
      <c r="K39" s="97">
        <v>17.0</v>
      </c>
      <c r="L39" s="97" t="s">
        <v>116</v>
      </c>
      <c r="M39" s="97">
        <v>0.0</v>
      </c>
      <c r="N39" s="97" t="s">
        <v>116</v>
      </c>
      <c r="O39" s="97" t="s">
        <v>116</v>
      </c>
      <c r="P39" s="97" t="s">
        <v>116</v>
      </c>
      <c r="Q39" s="97">
        <v>96.0</v>
      </c>
      <c r="R39" s="97">
        <v>65.0</v>
      </c>
      <c r="S39" s="97">
        <v>0.0</v>
      </c>
      <c r="T39" s="97" t="s">
        <v>116</v>
      </c>
      <c r="U39" s="97">
        <v>193.0</v>
      </c>
      <c r="V39" s="97">
        <v>0.0</v>
      </c>
      <c r="W39" s="97" t="s">
        <v>116</v>
      </c>
      <c r="X39" s="97">
        <v>19.0</v>
      </c>
      <c r="Y39" s="97">
        <v>59.0</v>
      </c>
      <c r="Z39" s="97">
        <v>65.0</v>
      </c>
      <c r="AA39" s="97">
        <v>109.0</v>
      </c>
      <c r="AB39" s="97">
        <v>0.0</v>
      </c>
      <c r="AC39" s="97">
        <v>134.0</v>
      </c>
      <c r="AD39" s="97" t="s">
        <v>116</v>
      </c>
      <c r="AE39" s="97" t="s">
        <v>116</v>
      </c>
      <c r="AF39" s="97">
        <v>51.0</v>
      </c>
      <c r="AG39" s="97" t="s">
        <v>116</v>
      </c>
      <c r="AH39" s="97" t="s">
        <v>116</v>
      </c>
      <c r="AI39" s="97">
        <v>67.0</v>
      </c>
      <c r="AJ39" s="97">
        <v>28.0</v>
      </c>
      <c r="AK39" s="97" t="s">
        <v>116</v>
      </c>
      <c r="AL39" s="97">
        <v>31.0</v>
      </c>
      <c r="AM39" s="97">
        <v>44.0</v>
      </c>
      <c r="AN39" s="97">
        <v>26.0</v>
      </c>
      <c r="AO39" s="97">
        <v>62.0</v>
      </c>
    </row>
    <row r="40">
      <c r="A40" s="147" t="s">
        <v>109</v>
      </c>
      <c r="B40" s="97" t="s">
        <v>116</v>
      </c>
      <c r="C40" s="97">
        <v>40.0</v>
      </c>
      <c r="D40" s="97" t="s">
        <v>116</v>
      </c>
      <c r="E40" s="97">
        <v>165.0</v>
      </c>
      <c r="F40" s="97" t="s">
        <v>116</v>
      </c>
      <c r="G40" s="97">
        <v>40.0</v>
      </c>
      <c r="H40" s="97">
        <v>74.0</v>
      </c>
      <c r="I40" s="97">
        <v>66.0</v>
      </c>
      <c r="J40" s="97">
        <v>76.0</v>
      </c>
      <c r="K40" s="97">
        <v>67.0</v>
      </c>
      <c r="L40" s="97" t="s">
        <v>116</v>
      </c>
      <c r="M40" s="97" t="s">
        <v>116</v>
      </c>
      <c r="N40" s="97" t="s">
        <v>116</v>
      </c>
      <c r="O40" s="97">
        <v>0.0</v>
      </c>
      <c r="P40" s="97" t="s">
        <v>116</v>
      </c>
      <c r="Q40" s="97">
        <v>86.0</v>
      </c>
      <c r="R40" s="97">
        <v>74.0</v>
      </c>
      <c r="S40" s="97" t="s">
        <v>116</v>
      </c>
      <c r="T40" s="97" t="s">
        <v>116</v>
      </c>
      <c r="U40" s="97">
        <v>257.0</v>
      </c>
      <c r="V40" s="97">
        <v>0.0</v>
      </c>
      <c r="W40" s="97" t="s">
        <v>116</v>
      </c>
      <c r="X40" s="97">
        <v>57.0</v>
      </c>
      <c r="Y40" s="97">
        <v>102.0</v>
      </c>
      <c r="Z40" s="97">
        <v>49.0</v>
      </c>
      <c r="AA40" s="97">
        <v>160.0</v>
      </c>
      <c r="AB40" s="97">
        <v>29.0</v>
      </c>
      <c r="AC40" s="97">
        <v>158.0</v>
      </c>
      <c r="AD40" s="97">
        <v>0.0</v>
      </c>
      <c r="AE40" s="97" t="s">
        <v>116</v>
      </c>
      <c r="AF40" s="97">
        <v>65.0</v>
      </c>
      <c r="AG40" s="97">
        <v>33.0</v>
      </c>
      <c r="AH40" s="97" t="s">
        <v>116</v>
      </c>
      <c r="AI40" s="97">
        <v>0.0</v>
      </c>
      <c r="AJ40" s="97">
        <v>48.0</v>
      </c>
      <c r="AK40" s="97" t="s">
        <v>116</v>
      </c>
      <c r="AL40" s="97">
        <v>48.0</v>
      </c>
      <c r="AM40" s="97">
        <v>53.0</v>
      </c>
      <c r="AN40" s="97">
        <v>60.0</v>
      </c>
      <c r="AO40" s="97">
        <v>85.0</v>
      </c>
    </row>
    <row r="41">
      <c r="A41" s="147" t="s">
        <v>110</v>
      </c>
      <c r="B41" s="97">
        <v>43.0</v>
      </c>
      <c r="C41" s="97">
        <v>54.0</v>
      </c>
      <c r="D41" s="97">
        <v>49.0</v>
      </c>
      <c r="E41" s="97">
        <v>237.0</v>
      </c>
      <c r="F41" s="97" t="s">
        <v>116</v>
      </c>
      <c r="G41" s="97">
        <v>55.0</v>
      </c>
      <c r="H41" s="97">
        <v>113.0</v>
      </c>
      <c r="I41" s="97">
        <v>92.0</v>
      </c>
      <c r="J41" s="97">
        <v>61.0</v>
      </c>
      <c r="K41" s="97">
        <v>65.0</v>
      </c>
      <c r="L41" s="97">
        <v>74.0</v>
      </c>
      <c r="M41" s="97">
        <v>128.0</v>
      </c>
      <c r="N41" s="97" t="s">
        <v>116</v>
      </c>
      <c r="O41" s="97">
        <v>0.0</v>
      </c>
      <c r="P41" s="97">
        <v>109.0</v>
      </c>
      <c r="Q41" s="97">
        <v>75.0</v>
      </c>
      <c r="R41" s="97">
        <v>79.0</v>
      </c>
      <c r="S41" s="97" t="s">
        <v>116</v>
      </c>
      <c r="T41" s="97" t="s">
        <v>116</v>
      </c>
      <c r="U41" s="97">
        <v>605.0</v>
      </c>
      <c r="V41" s="97">
        <v>0.0</v>
      </c>
      <c r="W41" s="97">
        <v>32.0</v>
      </c>
      <c r="X41" s="97">
        <v>72.0</v>
      </c>
      <c r="Y41" s="97">
        <v>132.0</v>
      </c>
      <c r="Z41" s="97">
        <v>73.0</v>
      </c>
      <c r="AA41" s="97">
        <v>162.0</v>
      </c>
      <c r="AB41" s="97">
        <v>29.0</v>
      </c>
      <c r="AC41" s="97">
        <v>160.0</v>
      </c>
      <c r="AD41" s="97" t="s">
        <v>116</v>
      </c>
      <c r="AE41" s="97" t="s">
        <v>116</v>
      </c>
      <c r="AF41" s="97">
        <v>55.0</v>
      </c>
      <c r="AG41" s="97">
        <v>78.0</v>
      </c>
      <c r="AH41" s="97">
        <v>101.0</v>
      </c>
      <c r="AI41" s="97">
        <v>57.0</v>
      </c>
      <c r="AJ41" s="97">
        <v>76.0</v>
      </c>
      <c r="AK41" s="97">
        <v>81.0</v>
      </c>
      <c r="AL41" s="97">
        <v>90.0</v>
      </c>
      <c r="AM41" s="97">
        <v>93.0</v>
      </c>
      <c r="AN41" s="97">
        <v>91.0</v>
      </c>
      <c r="AO41" s="97">
        <v>113.0</v>
      </c>
    </row>
    <row r="42">
      <c r="A42" s="147" t="s">
        <v>111</v>
      </c>
      <c r="B42" s="97">
        <v>43.0</v>
      </c>
      <c r="C42" s="97">
        <v>108.0</v>
      </c>
      <c r="D42" s="97">
        <v>103.0</v>
      </c>
      <c r="E42" s="97">
        <v>335.0</v>
      </c>
      <c r="F42" s="97" t="s">
        <v>116</v>
      </c>
      <c r="G42" s="97">
        <v>93.0</v>
      </c>
      <c r="H42" s="97">
        <v>165.0</v>
      </c>
      <c r="I42" s="97">
        <v>118.0</v>
      </c>
      <c r="J42" s="97">
        <v>92.0</v>
      </c>
      <c r="K42" s="97">
        <v>84.0</v>
      </c>
      <c r="L42" s="97" t="s">
        <v>116</v>
      </c>
      <c r="M42" s="97" t="s">
        <v>116</v>
      </c>
      <c r="N42" s="97">
        <v>0.0</v>
      </c>
      <c r="O42" s="97">
        <v>0.0</v>
      </c>
      <c r="P42" s="97" t="s">
        <v>116</v>
      </c>
      <c r="Q42" s="97">
        <v>168.0</v>
      </c>
      <c r="R42" s="97">
        <v>97.0</v>
      </c>
      <c r="S42" s="97" t="s">
        <v>116</v>
      </c>
      <c r="T42" s="97" t="s">
        <v>116</v>
      </c>
      <c r="U42" s="97">
        <v>238.0</v>
      </c>
      <c r="V42" s="97" t="s">
        <v>116</v>
      </c>
      <c r="W42" s="97">
        <v>52.0</v>
      </c>
      <c r="X42" s="97">
        <v>57.0</v>
      </c>
      <c r="Y42" s="97">
        <v>173.0</v>
      </c>
      <c r="Z42" s="97">
        <v>146.0</v>
      </c>
      <c r="AA42" s="97">
        <v>220.0</v>
      </c>
      <c r="AB42" s="97">
        <v>57.0</v>
      </c>
      <c r="AC42" s="97">
        <v>194.0</v>
      </c>
      <c r="AD42" s="97" t="s">
        <v>116</v>
      </c>
      <c r="AE42" s="97" t="s">
        <v>116</v>
      </c>
      <c r="AF42" s="97">
        <v>106.0</v>
      </c>
      <c r="AG42" s="97">
        <v>39.0</v>
      </c>
      <c r="AH42" s="97">
        <v>95.0</v>
      </c>
      <c r="AI42" s="97" t="s">
        <v>116</v>
      </c>
      <c r="AJ42" s="97">
        <v>67.0</v>
      </c>
      <c r="AK42" s="97">
        <v>194.0</v>
      </c>
      <c r="AL42" s="97">
        <v>90.0</v>
      </c>
      <c r="AM42" s="97">
        <v>62.0</v>
      </c>
      <c r="AN42" s="97">
        <v>111.0</v>
      </c>
      <c r="AO42" s="97">
        <v>136.0</v>
      </c>
    </row>
    <row r="43">
      <c r="A43" s="147" t="s">
        <v>112</v>
      </c>
      <c r="B43" s="97">
        <v>130.0</v>
      </c>
      <c r="C43" s="97">
        <v>108.0</v>
      </c>
      <c r="D43" s="97">
        <v>115.0</v>
      </c>
      <c r="E43" s="97">
        <v>475.0</v>
      </c>
      <c r="F43" s="97" t="s">
        <v>116</v>
      </c>
      <c r="G43" s="97">
        <v>139.0</v>
      </c>
      <c r="H43" s="97">
        <v>252.0</v>
      </c>
      <c r="I43" s="97">
        <v>156.0</v>
      </c>
      <c r="J43" s="97">
        <v>260.0</v>
      </c>
      <c r="K43" s="97">
        <v>148.0</v>
      </c>
      <c r="L43" s="97" t="s">
        <v>116</v>
      </c>
      <c r="M43" s="97" t="s">
        <v>116</v>
      </c>
      <c r="N43" s="97">
        <v>199.0</v>
      </c>
      <c r="O43" s="97" t="s">
        <v>116</v>
      </c>
      <c r="P43" s="97">
        <v>0.0</v>
      </c>
      <c r="Q43" s="97">
        <v>274.0</v>
      </c>
      <c r="R43" s="97">
        <v>171.0</v>
      </c>
      <c r="S43" s="97" t="s">
        <v>116</v>
      </c>
      <c r="T43" s="97">
        <v>44.0</v>
      </c>
      <c r="U43" s="97">
        <v>193.0</v>
      </c>
      <c r="V43" s="97">
        <v>0.0</v>
      </c>
      <c r="W43" s="97">
        <v>69.0</v>
      </c>
      <c r="X43" s="97">
        <v>95.0</v>
      </c>
      <c r="Y43" s="97">
        <v>243.0</v>
      </c>
      <c r="Z43" s="97">
        <v>170.0</v>
      </c>
      <c r="AA43" s="97">
        <v>339.0</v>
      </c>
      <c r="AB43" s="97">
        <v>34.0</v>
      </c>
      <c r="AC43" s="97">
        <v>331.0</v>
      </c>
      <c r="AD43" s="97" t="s">
        <v>116</v>
      </c>
      <c r="AE43" s="97">
        <v>113.0</v>
      </c>
      <c r="AF43" s="97">
        <v>171.0</v>
      </c>
      <c r="AG43" s="97">
        <v>39.0</v>
      </c>
      <c r="AH43" s="97">
        <v>89.0</v>
      </c>
      <c r="AI43" s="97">
        <v>105.0</v>
      </c>
      <c r="AJ43" s="97">
        <v>146.0</v>
      </c>
      <c r="AK43" s="97">
        <v>259.0</v>
      </c>
      <c r="AL43" s="97">
        <v>173.0</v>
      </c>
      <c r="AM43" s="97">
        <v>49.0</v>
      </c>
      <c r="AN43" s="97">
        <v>142.0</v>
      </c>
      <c r="AO43" s="97">
        <v>224.0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217</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219</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44132.0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220</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174</v>
      </c>
      <c r="C8" s="154" t="s">
        <v>175</v>
      </c>
      <c r="D8" s="154" t="s">
        <v>176</v>
      </c>
      <c r="E8" s="154" t="s">
        <v>177</v>
      </c>
      <c r="F8" s="154" t="s">
        <v>178</v>
      </c>
      <c r="G8" s="154" t="s">
        <v>179</v>
      </c>
      <c r="H8" s="154" t="s">
        <v>180</v>
      </c>
      <c r="I8" s="154" t="s">
        <v>181</v>
      </c>
      <c r="J8" s="154" t="s">
        <v>182</v>
      </c>
      <c r="K8" s="154" t="s">
        <v>183</v>
      </c>
      <c r="L8" s="154" t="s">
        <v>184</v>
      </c>
      <c r="M8" s="154" t="s">
        <v>185</v>
      </c>
      <c r="N8" s="154" t="s">
        <v>186</v>
      </c>
      <c r="O8" s="154" t="s">
        <v>187</v>
      </c>
      <c r="P8" s="154" t="s">
        <v>188</v>
      </c>
      <c r="Q8" s="154" t="s">
        <v>189</v>
      </c>
      <c r="R8" s="154" t="s">
        <v>190</v>
      </c>
      <c r="S8" s="154" t="s">
        <v>191</v>
      </c>
      <c r="T8" s="154" t="s">
        <v>192</v>
      </c>
      <c r="U8" s="154" t="s">
        <v>193</v>
      </c>
      <c r="V8" s="154" t="s">
        <v>194</v>
      </c>
      <c r="W8" s="154" t="s">
        <v>195</v>
      </c>
      <c r="X8" s="154" t="s">
        <v>196</v>
      </c>
      <c r="Y8" s="154" t="s">
        <v>197</v>
      </c>
      <c r="Z8" s="154" t="s">
        <v>198</v>
      </c>
      <c r="AA8" s="154" t="s">
        <v>199</v>
      </c>
      <c r="AB8" s="154" t="s">
        <v>200</v>
      </c>
      <c r="AC8" s="154" t="s">
        <v>201</v>
      </c>
      <c r="AD8" s="154" t="s">
        <v>202</v>
      </c>
      <c r="AE8" s="154" t="s">
        <v>203</v>
      </c>
      <c r="AF8" s="154" t="s">
        <v>204</v>
      </c>
      <c r="AG8" s="154" t="s">
        <v>205</v>
      </c>
      <c r="AH8" s="154" t="s">
        <v>206</v>
      </c>
      <c r="AI8" s="154" t="s">
        <v>207</v>
      </c>
      <c r="AJ8" s="154" t="s">
        <v>208</v>
      </c>
      <c r="AK8" s="154" t="s">
        <v>209</v>
      </c>
      <c r="AL8" s="154" t="s">
        <v>210</v>
      </c>
      <c r="AM8" s="154" t="s">
        <v>211</v>
      </c>
      <c r="AN8" s="154" t="s">
        <v>212</v>
      </c>
      <c r="AO8" s="154" t="s">
        <v>213</v>
      </c>
      <c r="AP8" s="154" t="s">
        <v>168</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15879.0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2963.0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13768.0</v>
      </c>
    </row>
    <row r="27">
      <c r="A27" s="155" t="s">
        <v>97</v>
      </c>
      <c r="B27" s="157">
        <v>263.0</v>
      </c>
      <c r="C27" s="157">
        <v>411.0</v>
      </c>
      <c r="D27" s="157">
        <v>184.0</v>
      </c>
      <c r="E27" s="157">
        <v>303.0</v>
      </c>
      <c r="F27" s="157">
        <v>156.0</v>
      </c>
      <c r="G27" s="157">
        <v>599.0</v>
      </c>
      <c r="H27" s="158">
        <v>1271.0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483.0</v>
      </c>
      <c r="Y27" s="157">
        <v>574.0</v>
      </c>
      <c r="Z27" s="157">
        <v>146.0</v>
      </c>
      <c r="AA27" s="158">
        <v>1151.0</v>
      </c>
      <c r="AB27" s="157">
        <v>267.0</v>
      </c>
      <c r="AC27" s="158">
        <v>3983.0</v>
      </c>
      <c r="AD27" s="157">
        <v>59.0</v>
      </c>
      <c r="AE27" s="157">
        <v>190.0</v>
      </c>
      <c r="AF27" s="157">
        <v>343.0</v>
      </c>
      <c r="AG27" s="157">
        <v>598.0</v>
      </c>
      <c r="AH27" s="157">
        <v>134.0</v>
      </c>
      <c r="AI27" s="157">
        <v>174.0</v>
      </c>
      <c r="AJ27" s="158">
        <v>1202.0</v>
      </c>
      <c r="AK27" s="157">
        <v>102.0</v>
      </c>
      <c r="AL27" s="157">
        <v>493.0</v>
      </c>
      <c r="AM27" s="157">
        <v>274.0</v>
      </c>
      <c r="AN27" s="157">
        <v>580.0</v>
      </c>
      <c r="AO27" s="157">
        <v>405.0</v>
      </c>
      <c r="AP27" s="159">
        <v>18718.0</v>
      </c>
    </row>
    <row r="28">
      <c r="A28" s="155" t="s">
        <v>98</v>
      </c>
      <c r="B28" s="157">
        <v>276.0</v>
      </c>
      <c r="C28" s="157">
        <v>353.0</v>
      </c>
      <c r="D28" s="157">
        <v>176.0</v>
      </c>
      <c r="E28" s="157">
        <v>340.0</v>
      </c>
      <c r="F28" s="157">
        <v>171.0</v>
      </c>
      <c r="G28" s="157">
        <v>567.0</v>
      </c>
      <c r="H28" s="158">
        <v>1125.0</v>
      </c>
      <c r="I28" s="157">
        <v>477.0</v>
      </c>
      <c r="J28" s="157">
        <v>407.0</v>
      </c>
      <c r="K28" s="157">
        <v>743.0</v>
      </c>
      <c r="L28" s="157">
        <v>78.0</v>
      </c>
      <c r="M28" s="157">
        <v>75.0</v>
      </c>
      <c r="N28" s="157">
        <v>98.0</v>
      </c>
      <c r="O28" s="157">
        <v>94.0</v>
      </c>
      <c r="P28" s="157">
        <v>108.0</v>
      </c>
      <c r="Q28" s="157">
        <v>394.0</v>
      </c>
      <c r="R28" s="157">
        <v>292.0</v>
      </c>
      <c r="S28" s="157">
        <v>50.0</v>
      </c>
      <c r="T28" s="157">
        <v>341.0</v>
      </c>
      <c r="U28" s="157">
        <v>186.0</v>
      </c>
      <c r="V28" s="157">
        <v>40.0</v>
      </c>
      <c r="W28" s="157">
        <v>432.0</v>
      </c>
      <c r="X28" s="157">
        <v>464.0</v>
      </c>
      <c r="Y28" s="157">
        <v>525.0</v>
      </c>
      <c r="Z28" s="157">
        <v>133.0</v>
      </c>
      <c r="AA28" s="158">
        <v>1289.0</v>
      </c>
      <c r="AB28" s="157">
        <v>217.0</v>
      </c>
      <c r="AC28" s="158">
        <v>3529.0</v>
      </c>
      <c r="AD28" s="157">
        <v>73.0</v>
      </c>
      <c r="AE28" s="157">
        <v>175.0</v>
      </c>
      <c r="AF28" s="157">
        <v>311.0</v>
      </c>
      <c r="AG28" s="157">
        <v>526.0</v>
      </c>
      <c r="AH28" s="157">
        <v>154.0</v>
      </c>
      <c r="AI28" s="157">
        <v>178.0</v>
      </c>
      <c r="AJ28" s="158">
        <v>1161.0</v>
      </c>
      <c r="AK28" s="157">
        <v>79.0</v>
      </c>
      <c r="AL28" s="157">
        <v>469.0</v>
      </c>
      <c r="AM28" s="157">
        <v>306.0</v>
      </c>
      <c r="AN28" s="157">
        <v>551.0</v>
      </c>
      <c r="AO28" s="157">
        <v>523.0</v>
      </c>
      <c r="AP28" s="159">
        <v>17486.0</v>
      </c>
    </row>
    <row r="29">
      <c r="A29" s="160" t="s">
        <v>99</v>
      </c>
      <c r="B29" s="157">
        <v>267.0</v>
      </c>
      <c r="C29" s="157">
        <v>460.0</v>
      </c>
      <c r="D29" s="157">
        <v>197.0</v>
      </c>
      <c r="E29" s="157">
        <v>441.0</v>
      </c>
      <c r="F29" s="157">
        <v>151.0</v>
      </c>
      <c r="G29" s="157">
        <v>846.0</v>
      </c>
      <c r="H29" s="158">
        <v>1495.0</v>
      </c>
      <c r="I29" s="157">
        <v>497.0</v>
      </c>
      <c r="J29" s="157">
        <v>556.0</v>
      </c>
      <c r="K29" s="158">
        <v>1048.0</v>
      </c>
      <c r="L29" s="157">
        <v>106.0</v>
      </c>
      <c r="M29" s="157">
        <v>88.0</v>
      </c>
      <c r="N29" s="157">
        <v>129.0</v>
      </c>
      <c r="O29" s="157">
        <v>116.0</v>
      </c>
      <c r="P29" s="157">
        <v>113.0</v>
      </c>
      <c r="Q29" s="157">
        <v>521.0</v>
      </c>
      <c r="R29" s="157">
        <v>333.0</v>
      </c>
      <c r="S29" s="157">
        <v>52.0</v>
      </c>
      <c r="T29" s="157">
        <v>402.0</v>
      </c>
      <c r="U29" s="157">
        <v>269.0</v>
      </c>
      <c r="V29" s="157">
        <v>50.0</v>
      </c>
      <c r="W29" s="157">
        <v>637.0</v>
      </c>
      <c r="X29" s="157">
        <v>590.0</v>
      </c>
      <c r="Y29" s="157">
        <v>646.0</v>
      </c>
      <c r="Z29" s="157">
        <v>154.0</v>
      </c>
      <c r="AA29" s="158">
        <v>1628.0</v>
      </c>
      <c r="AB29" s="157">
        <v>208.0</v>
      </c>
      <c r="AC29" s="158">
        <v>4518.0</v>
      </c>
      <c r="AD29" s="157">
        <v>68.0</v>
      </c>
      <c r="AE29" s="157">
        <v>220.0</v>
      </c>
      <c r="AF29" s="157">
        <v>354.0</v>
      </c>
      <c r="AG29" s="157">
        <v>670.0</v>
      </c>
      <c r="AH29" s="157">
        <v>175.0</v>
      </c>
      <c r="AI29" s="157">
        <v>234.0</v>
      </c>
      <c r="AJ29" s="158">
        <v>1498.0</v>
      </c>
      <c r="AK29" s="157">
        <v>129.0</v>
      </c>
      <c r="AL29" s="157">
        <v>600.0</v>
      </c>
      <c r="AM29" s="157">
        <v>395.0</v>
      </c>
      <c r="AN29" s="157">
        <v>737.0</v>
      </c>
      <c r="AO29" s="158">
        <v>1095.0</v>
      </c>
      <c r="AP29" s="159">
        <v>22693.0</v>
      </c>
    </row>
    <row r="30">
      <c r="A30" s="161" t="s">
        <v>100</v>
      </c>
      <c r="B30" s="157">
        <v>334.0</v>
      </c>
      <c r="C30" s="157">
        <v>428.0</v>
      </c>
      <c r="D30" s="157">
        <v>201.0</v>
      </c>
      <c r="E30" s="157">
        <v>496.0</v>
      </c>
      <c r="F30" s="157">
        <v>145.0</v>
      </c>
      <c r="G30" s="157">
        <v>869.0</v>
      </c>
      <c r="H30" s="158">
        <v>1433.0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1789.0</v>
      </c>
      <c r="AB30" s="157">
        <v>243.0</v>
      </c>
      <c r="AC30" s="158">
        <v>4620.0</v>
      </c>
      <c r="AD30" s="157">
        <v>94.0</v>
      </c>
      <c r="AE30" s="157">
        <v>224.0</v>
      </c>
      <c r="AF30" s="157">
        <v>325.0</v>
      </c>
      <c r="AG30" s="157">
        <v>538.0</v>
      </c>
      <c r="AH30" s="157">
        <v>198.0</v>
      </c>
      <c r="AI30" s="157">
        <v>230.0</v>
      </c>
      <c r="AJ30" s="158">
        <v>1717.0</v>
      </c>
      <c r="AK30" s="157">
        <v>127.0</v>
      </c>
      <c r="AL30" s="157">
        <v>616.0</v>
      </c>
      <c r="AM30" s="157">
        <v>350.0</v>
      </c>
      <c r="AN30" s="157">
        <v>888.0</v>
      </c>
      <c r="AO30" s="158">
        <v>1869.0</v>
      </c>
      <c r="AP30" s="159">
        <v>23360.0</v>
      </c>
    </row>
    <row r="31">
      <c r="A31" s="131" t="s">
        <v>101</v>
      </c>
      <c r="B31" s="157">
        <v>377.0</v>
      </c>
      <c r="C31" s="158">
        <v>1067.0</v>
      </c>
      <c r="D31" s="157">
        <v>227.0</v>
      </c>
      <c r="E31" s="157">
        <v>521.0</v>
      </c>
      <c r="F31" s="157">
        <v>159.0</v>
      </c>
      <c r="G31" s="157">
        <v>755.0</v>
      </c>
      <c r="H31" s="158">
        <v>1546.0</v>
      </c>
      <c r="I31" s="157">
        <v>626.0</v>
      </c>
      <c r="J31" s="157">
        <v>319.0</v>
      </c>
      <c r="K31" s="158">
        <v>1101.0</v>
      </c>
      <c r="L31" s="157">
        <v>82.0</v>
      </c>
      <c r="M31" s="157">
        <v>83.0</v>
      </c>
      <c r="N31" s="157">
        <v>112.0</v>
      </c>
      <c r="O31" s="157">
        <v>98.0</v>
      </c>
      <c r="P31" s="157">
        <v>96.0</v>
      </c>
      <c r="Q31" s="157">
        <v>506.0</v>
      </c>
      <c r="R31" s="157">
        <v>393.0</v>
      </c>
      <c r="S31" s="157">
        <v>55.0</v>
      </c>
      <c r="T31" s="157">
        <v>517.0</v>
      </c>
      <c r="U31" s="157">
        <v>220.0</v>
      </c>
      <c r="V31" s="157">
        <v>32.0</v>
      </c>
      <c r="W31" s="157">
        <v>650.0</v>
      </c>
      <c r="X31" s="157">
        <v>476.0</v>
      </c>
      <c r="Y31" s="157">
        <v>641.0</v>
      </c>
      <c r="Z31" s="157">
        <v>171.0</v>
      </c>
      <c r="AA31" s="158">
        <v>1612.0</v>
      </c>
      <c r="AB31" s="157">
        <v>260.0</v>
      </c>
      <c r="AC31" s="158">
        <v>5071.0</v>
      </c>
      <c r="AD31" s="157">
        <v>75.0</v>
      </c>
      <c r="AE31" s="157">
        <v>209.0</v>
      </c>
      <c r="AF31" s="157">
        <v>324.0</v>
      </c>
      <c r="AG31" s="157">
        <v>555.0</v>
      </c>
      <c r="AH31" s="157">
        <v>259.0</v>
      </c>
      <c r="AI31" s="157">
        <v>224.0</v>
      </c>
      <c r="AJ31" s="158">
        <v>1443.0</v>
      </c>
      <c r="AK31" s="157">
        <v>91.0</v>
      </c>
      <c r="AL31" s="157">
        <v>525.0</v>
      </c>
      <c r="AM31" s="157">
        <v>397.0</v>
      </c>
      <c r="AN31" s="157">
        <v>774.0</v>
      </c>
      <c r="AO31" s="158">
        <v>2589.0</v>
      </c>
      <c r="AP31" s="159">
        <v>25238.0</v>
      </c>
    </row>
    <row r="32">
      <c r="A32" s="131" t="s">
        <v>102</v>
      </c>
      <c r="B32" s="157">
        <v>403.0</v>
      </c>
      <c r="C32" s="157">
        <v>710.0</v>
      </c>
      <c r="D32" s="157">
        <v>302.0</v>
      </c>
      <c r="E32" s="157">
        <v>505.0</v>
      </c>
      <c r="F32" s="157">
        <v>147.0</v>
      </c>
      <c r="G32" s="157">
        <v>554.0</v>
      </c>
      <c r="H32" s="158">
        <v>1434.0</v>
      </c>
      <c r="I32" s="157">
        <v>741.0</v>
      </c>
      <c r="J32" s="157">
        <v>353.0</v>
      </c>
      <c r="K32" s="158">
        <v>1018.0</v>
      </c>
      <c r="L32" s="157">
        <v>79.0</v>
      </c>
      <c r="M32" s="157">
        <v>68.0</v>
      </c>
      <c r="N32" s="157">
        <v>116.0</v>
      </c>
      <c r="O32" s="157">
        <v>127.0</v>
      </c>
      <c r="P32" s="157">
        <v>122.0</v>
      </c>
      <c r="Q32" s="157">
        <v>489.0</v>
      </c>
      <c r="R32" s="157">
        <v>405.0</v>
      </c>
      <c r="S32" s="157">
        <v>58.0</v>
      </c>
      <c r="T32" s="157">
        <v>369.0</v>
      </c>
      <c r="U32" s="157">
        <v>255.0</v>
      </c>
      <c r="V32" s="157">
        <v>56.0</v>
      </c>
      <c r="W32" s="157">
        <v>547.0</v>
      </c>
      <c r="X32" s="157">
        <v>472.0</v>
      </c>
      <c r="Y32" s="157">
        <v>700.0</v>
      </c>
      <c r="Z32" s="157">
        <v>180.0</v>
      </c>
      <c r="AA32" s="158">
        <v>1626.0</v>
      </c>
      <c r="AB32" s="157">
        <v>303.0</v>
      </c>
      <c r="AC32" s="158">
        <v>4686.0</v>
      </c>
      <c r="AD32" s="157">
        <v>79.0</v>
      </c>
      <c r="AE32" s="157">
        <v>178.0</v>
      </c>
      <c r="AF32" s="157">
        <v>415.0</v>
      </c>
      <c r="AG32" s="157">
        <v>526.0</v>
      </c>
      <c r="AH32" s="157">
        <v>191.0</v>
      </c>
      <c r="AI32" s="157">
        <v>218.0</v>
      </c>
      <c r="AJ32" s="158">
        <v>1402.0</v>
      </c>
      <c r="AK32" s="157">
        <v>85.0</v>
      </c>
      <c r="AL32" s="157">
        <v>530.0</v>
      </c>
      <c r="AM32" s="157">
        <v>355.0</v>
      </c>
      <c r="AN32" s="157">
        <v>927.0</v>
      </c>
      <c r="AO32" s="158">
        <v>2359.0</v>
      </c>
      <c r="AP32" s="159">
        <v>24090.0</v>
      </c>
    </row>
    <row r="33">
      <c r="A33" s="131" t="s">
        <v>103</v>
      </c>
      <c r="B33" s="157">
        <v>439.0</v>
      </c>
      <c r="C33" s="158">
        <v>3649.0</v>
      </c>
      <c r="D33" s="157">
        <v>366.0</v>
      </c>
      <c r="E33" s="157">
        <v>417.0</v>
      </c>
      <c r="F33" s="157">
        <v>144.0</v>
      </c>
      <c r="G33" s="157">
        <v>569.0</v>
      </c>
      <c r="H33" s="158">
        <v>1399.0</v>
      </c>
      <c r="I33" s="157">
        <v>833.0</v>
      </c>
      <c r="J33" s="157">
        <v>405.0</v>
      </c>
      <c r="K33" s="158">
        <v>1002.0</v>
      </c>
      <c r="L33" s="157">
        <v>100.0</v>
      </c>
      <c r="M33" s="157">
        <v>85.0</v>
      </c>
      <c r="N33" s="157">
        <v>174.0</v>
      </c>
      <c r="O33" s="157">
        <v>124.0</v>
      </c>
      <c r="P33" s="157">
        <v>119.0</v>
      </c>
      <c r="Q33" s="157">
        <v>462.0</v>
      </c>
      <c r="R33" s="157">
        <v>440.0</v>
      </c>
      <c r="S33" s="157">
        <v>79.0</v>
      </c>
      <c r="T33" s="157">
        <v>392.0</v>
      </c>
      <c r="U33" s="157">
        <v>321.0</v>
      </c>
      <c r="V33" s="157">
        <v>47.0</v>
      </c>
      <c r="W33" s="157">
        <v>526.0</v>
      </c>
      <c r="X33" s="157">
        <v>708.0</v>
      </c>
      <c r="Y33" s="157">
        <v>614.0</v>
      </c>
      <c r="Z33" s="157">
        <v>218.0</v>
      </c>
      <c r="AA33" s="158">
        <v>1581.0</v>
      </c>
      <c r="AB33" s="157">
        <v>285.0</v>
      </c>
      <c r="AC33" s="158">
        <v>5399.0</v>
      </c>
      <c r="AD33" s="157">
        <v>71.0</v>
      </c>
      <c r="AE33" s="157">
        <v>208.0</v>
      </c>
      <c r="AF33" s="158">
        <v>2094.0</v>
      </c>
      <c r="AG33" s="157">
        <v>519.0</v>
      </c>
      <c r="AH33" s="157">
        <v>254.0</v>
      </c>
      <c r="AI33" s="157">
        <v>234.0</v>
      </c>
      <c r="AJ33" s="158">
        <v>1484.0</v>
      </c>
      <c r="AK33" s="157">
        <v>87.0</v>
      </c>
      <c r="AL33" s="157">
        <v>510.0</v>
      </c>
      <c r="AM33" s="157">
        <v>398.0</v>
      </c>
      <c r="AN33" s="157">
        <v>791.0</v>
      </c>
      <c r="AO33" s="158">
        <v>2266.0</v>
      </c>
      <c r="AP33" s="159">
        <v>29813.0</v>
      </c>
    </row>
    <row r="34">
      <c r="A34" s="131" t="s">
        <v>104</v>
      </c>
      <c r="B34" s="157">
        <v>454.0</v>
      </c>
      <c r="C34" s="158">
        <v>6354.0</v>
      </c>
      <c r="D34" s="157">
        <v>260.0</v>
      </c>
      <c r="E34" s="157">
        <v>456.0</v>
      </c>
      <c r="F34" s="157">
        <v>180.0</v>
      </c>
      <c r="G34" s="157">
        <v>692.0</v>
      </c>
      <c r="H34" s="158">
        <v>1555.0</v>
      </c>
      <c r="I34" s="157">
        <v>782.0</v>
      </c>
      <c r="J34" s="157">
        <v>467.0</v>
      </c>
      <c r="K34" s="158">
        <v>1009.0</v>
      </c>
      <c r="L34" s="157">
        <v>84.0</v>
      </c>
      <c r="M34" s="157">
        <v>110.0</v>
      </c>
      <c r="N34" s="157">
        <v>142.0</v>
      </c>
      <c r="O34" s="157">
        <v>130.0</v>
      </c>
      <c r="P34" s="157">
        <v>134.0</v>
      </c>
      <c r="Q34" s="157">
        <v>518.0</v>
      </c>
      <c r="R34" s="157">
        <v>475.0</v>
      </c>
      <c r="S34" s="157">
        <v>55.0</v>
      </c>
      <c r="T34" s="157">
        <v>288.0</v>
      </c>
      <c r="U34" s="157">
        <v>286.0</v>
      </c>
      <c r="V34" s="157">
        <v>44.0</v>
      </c>
      <c r="W34" s="157">
        <v>791.0</v>
      </c>
      <c r="X34" s="157">
        <v>598.0</v>
      </c>
      <c r="Y34" s="157">
        <v>648.0</v>
      </c>
      <c r="Z34" s="157">
        <v>331.0</v>
      </c>
      <c r="AA34" s="158">
        <v>1502.0</v>
      </c>
      <c r="AB34" s="157">
        <v>251.0</v>
      </c>
      <c r="AC34" s="158">
        <v>7154.0</v>
      </c>
      <c r="AD34" s="157">
        <v>68.0</v>
      </c>
      <c r="AE34" s="157">
        <v>241.0</v>
      </c>
      <c r="AF34" s="158">
        <v>4275.0</v>
      </c>
      <c r="AG34" s="157">
        <v>654.0</v>
      </c>
      <c r="AH34" s="157">
        <v>224.0</v>
      </c>
      <c r="AI34" s="157">
        <v>196.0</v>
      </c>
      <c r="AJ34" s="158">
        <v>1540.0</v>
      </c>
      <c r="AK34" s="157">
        <v>106.0</v>
      </c>
      <c r="AL34" s="157">
        <v>540.0</v>
      </c>
      <c r="AM34" s="157">
        <v>375.0</v>
      </c>
      <c r="AN34" s="157">
        <v>862.0</v>
      </c>
      <c r="AO34" s="158">
        <v>2028.0</v>
      </c>
      <c r="AP34" s="159">
        <v>36859.0</v>
      </c>
    </row>
    <row r="35">
      <c r="A35" s="131" t="s">
        <v>105</v>
      </c>
      <c r="B35" s="157">
        <v>571.0</v>
      </c>
      <c r="C35" s="158">
        <v>6994.0</v>
      </c>
      <c r="D35" s="157">
        <v>395.0</v>
      </c>
      <c r="E35" s="157">
        <v>349.0</v>
      </c>
      <c r="F35" s="157">
        <v>165.0</v>
      </c>
      <c r="G35" s="157">
        <v>675.0</v>
      </c>
      <c r="H35" s="158">
        <v>1735.0</v>
      </c>
      <c r="I35" s="157">
        <v>945.0</v>
      </c>
      <c r="J35" s="157">
        <v>532.0</v>
      </c>
      <c r="K35" s="158">
        <v>1128.0</v>
      </c>
      <c r="L35" s="157">
        <v>106.0</v>
      </c>
      <c r="M35" s="157">
        <v>126.0</v>
      </c>
      <c r="N35" s="157">
        <v>168.0</v>
      </c>
      <c r="O35" s="157">
        <v>135.0</v>
      </c>
      <c r="P35" s="157">
        <v>163.0</v>
      </c>
      <c r="Q35" s="157">
        <v>602.0</v>
      </c>
      <c r="R35" s="157">
        <v>555.0</v>
      </c>
      <c r="S35" s="157">
        <v>72.0</v>
      </c>
      <c r="T35" s="157">
        <v>406.0</v>
      </c>
      <c r="U35" s="157">
        <v>307.0</v>
      </c>
      <c r="V35" s="157">
        <v>28.0</v>
      </c>
      <c r="W35" s="158">
        <v>1227.0</v>
      </c>
      <c r="X35" s="157">
        <v>663.0</v>
      </c>
      <c r="Y35" s="157">
        <v>745.0</v>
      </c>
      <c r="Z35" s="157">
        <v>408.0</v>
      </c>
      <c r="AA35" s="158">
        <v>1800.0</v>
      </c>
      <c r="AB35" s="157">
        <v>361.0</v>
      </c>
      <c r="AC35" s="158">
        <v>12354.0</v>
      </c>
      <c r="AD35" s="157">
        <v>80.0</v>
      </c>
      <c r="AE35" s="157">
        <v>280.0</v>
      </c>
      <c r="AF35" s="158">
        <v>3401.0</v>
      </c>
      <c r="AG35" s="157">
        <v>640.0</v>
      </c>
      <c r="AH35" s="157">
        <v>271.0</v>
      </c>
      <c r="AI35" s="157">
        <v>260.0</v>
      </c>
      <c r="AJ35" s="158">
        <v>1538.0</v>
      </c>
      <c r="AK35" s="157">
        <v>133.0</v>
      </c>
      <c r="AL35" s="157">
        <v>482.0</v>
      </c>
      <c r="AM35" s="157">
        <v>361.0</v>
      </c>
      <c r="AN35" s="158">
        <v>1080.0</v>
      </c>
      <c r="AO35" s="158">
        <v>851.0</v>
      </c>
      <c r="AP35" s="159">
        <v>43092.0</v>
      </c>
    </row>
    <row r="36">
      <c r="A36" s="131" t="s">
        <v>106</v>
      </c>
      <c r="B36" s="157">
        <v>509.0</v>
      </c>
      <c r="C36" s="158">
        <v>7513.0</v>
      </c>
      <c r="D36" s="157">
        <v>263.0</v>
      </c>
      <c r="E36" s="157">
        <v>353.0</v>
      </c>
      <c r="F36" s="157">
        <v>144.0</v>
      </c>
      <c r="G36" s="157">
        <v>620.0</v>
      </c>
      <c r="H36" s="158">
        <v>1480.0</v>
      </c>
      <c r="I36" s="157">
        <v>742.0</v>
      </c>
      <c r="J36" s="157">
        <v>407.0</v>
      </c>
      <c r="K36" s="158">
        <v>1078.0</v>
      </c>
      <c r="L36" s="157">
        <v>78.0</v>
      </c>
      <c r="M36" s="157">
        <v>94.0</v>
      </c>
      <c r="N36" s="157">
        <v>172.0</v>
      </c>
      <c r="O36" s="157">
        <v>119.0</v>
      </c>
      <c r="P36" s="157">
        <v>126.0</v>
      </c>
      <c r="Q36" s="157">
        <v>469.0</v>
      </c>
      <c r="R36" s="157">
        <v>468.0</v>
      </c>
      <c r="S36" s="157">
        <v>50.0</v>
      </c>
      <c r="T36" s="157">
        <v>491.0</v>
      </c>
      <c r="U36" s="157">
        <v>263.0</v>
      </c>
      <c r="V36" s="157">
        <v>61.0</v>
      </c>
      <c r="W36" s="158">
        <v>1680.0</v>
      </c>
      <c r="X36" s="157">
        <v>546.0</v>
      </c>
      <c r="Y36" s="157">
        <v>603.0</v>
      </c>
      <c r="Z36" s="157">
        <v>271.0</v>
      </c>
      <c r="AA36" s="158">
        <v>1649.0</v>
      </c>
      <c r="AB36" s="157">
        <v>275.0</v>
      </c>
      <c r="AC36" s="158">
        <v>10205.0</v>
      </c>
      <c r="AD36" s="157">
        <v>66.0</v>
      </c>
      <c r="AE36" s="157">
        <v>229.0</v>
      </c>
      <c r="AF36" s="158">
        <v>3660.0</v>
      </c>
      <c r="AG36" s="157">
        <v>531.0</v>
      </c>
      <c r="AH36" s="157">
        <v>267.0</v>
      </c>
      <c r="AI36" s="157">
        <v>216.0</v>
      </c>
      <c r="AJ36" s="158">
        <v>1382.0</v>
      </c>
      <c r="AK36" s="157">
        <v>102.0</v>
      </c>
      <c r="AL36" s="157">
        <v>449.0</v>
      </c>
      <c r="AM36" s="157">
        <v>332.0</v>
      </c>
      <c r="AN36" s="157">
        <v>682.0</v>
      </c>
      <c r="AO36" s="158">
        <v>1222.0</v>
      </c>
      <c r="AP36" s="159">
        <v>39867.0</v>
      </c>
    </row>
    <row r="37">
      <c r="A37" s="131" t="s">
        <v>107</v>
      </c>
      <c r="B37" s="157">
        <v>555.0</v>
      </c>
      <c r="C37" s="158">
        <v>8138.0</v>
      </c>
      <c r="D37" s="157">
        <v>309.0</v>
      </c>
      <c r="E37" s="157">
        <v>407.0</v>
      </c>
      <c r="F37" s="157">
        <v>184.0</v>
      </c>
      <c r="G37" s="157">
        <v>752.0</v>
      </c>
      <c r="H37" s="158">
        <v>1767.0</v>
      </c>
      <c r="I37" s="157">
        <v>805.0</v>
      </c>
      <c r="J37" s="157">
        <v>491.0</v>
      </c>
      <c r="K37" s="158">
        <v>1163.0</v>
      </c>
      <c r="L37" s="157">
        <v>129.0</v>
      </c>
      <c r="M37" s="157">
        <v>132.0</v>
      </c>
      <c r="N37" s="157">
        <v>196.0</v>
      </c>
      <c r="O37" s="157">
        <v>161.0</v>
      </c>
      <c r="P37" s="157">
        <v>171.0</v>
      </c>
      <c r="Q37" s="157">
        <v>674.0</v>
      </c>
      <c r="R37" s="157">
        <v>599.0</v>
      </c>
      <c r="S37" s="157">
        <v>55.0</v>
      </c>
      <c r="T37" s="157">
        <v>308.0</v>
      </c>
      <c r="U37" s="157">
        <v>350.0</v>
      </c>
      <c r="V37" s="157">
        <v>39.0</v>
      </c>
      <c r="W37" s="157">
        <v>786.0</v>
      </c>
      <c r="X37" s="157">
        <v>736.0</v>
      </c>
      <c r="Y37" s="157">
        <v>753.0</v>
      </c>
      <c r="Z37" s="157">
        <v>338.0</v>
      </c>
      <c r="AA37" s="158">
        <v>1754.0</v>
      </c>
      <c r="AB37" s="157">
        <v>352.0</v>
      </c>
      <c r="AC37" s="158">
        <v>12361.0</v>
      </c>
      <c r="AD37" s="157">
        <v>72.0</v>
      </c>
      <c r="AE37" s="157">
        <v>297.0</v>
      </c>
      <c r="AF37" s="158">
        <v>3734.0</v>
      </c>
      <c r="AG37" s="157">
        <v>683.0</v>
      </c>
      <c r="AH37" s="157">
        <v>277.0</v>
      </c>
      <c r="AI37" s="157">
        <v>257.0</v>
      </c>
      <c r="AJ37" s="158">
        <v>1629.0</v>
      </c>
      <c r="AK37" s="157">
        <v>145.0</v>
      </c>
      <c r="AL37" s="157">
        <v>595.0</v>
      </c>
      <c r="AM37" s="157">
        <v>428.0</v>
      </c>
      <c r="AN37" s="157">
        <v>885.0</v>
      </c>
      <c r="AO37" s="158">
        <v>1187.0</v>
      </c>
      <c r="AP37" s="159">
        <v>44654.0</v>
      </c>
    </row>
    <row r="38">
      <c r="A38" s="131" t="s">
        <v>108</v>
      </c>
      <c r="B38" s="157">
        <v>684.0</v>
      </c>
      <c r="C38" s="158">
        <v>7829.0</v>
      </c>
      <c r="D38" s="157">
        <v>381.0</v>
      </c>
      <c r="E38" s="157">
        <v>493.0</v>
      </c>
      <c r="F38" s="157">
        <v>231.0</v>
      </c>
      <c r="G38" s="157">
        <v>813.0</v>
      </c>
      <c r="H38" s="158">
        <v>1898.0</v>
      </c>
      <c r="I38" s="158">
        <v>1030.0</v>
      </c>
      <c r="J38" s="157">
        <v>611.0</v>
      </c>
      <c r="K38" s="158">
        <v>1380.0</v>
      </c>
      <c r="L38" s="157">
        <v>139.0</v>
      </c>
      <c r="M38" s="157">
        <v>160.0</v>
      </c>
      <c r="N38" s="157">
        <v>233.0</v>
      </c>
      <c r="O38" s="157">
        <v>183.0</v>
      </c>
      <c r="P38" s="157">
        <v>177.0</v>
      </c>
      <c r="Q38" s="157">
        <v>738.0</v>
      </c>
      <c r="R38" s="157">
        <v>670.0</v>
      </c>
      <c r="S38" s="157">
        <v>68.0</v>
      </c>
      <c r="T38" s="157">
        <v>384.0</v>
      </c>
      <c r="U38" s="157">
        <v>371.0</v>
      </c>
      <c r="V38" s="157">
        <v>36.0</v>
      </c>
      <c r="W38" s="157">
        <v>944.0</v>
      </c>
      <c r="X38" s="157">
        <v>795.0</v>
      </c>
      <c r="Y38" s="157">
        <v>821.0</v>
      </c>
      <c r="Z38" s="157">
        <v>408.0</v>
      </c>
      <c r="AA38" s="158">
        <v>1979.0</v>
      </c>
      <c r="AB38" s="157">
        <v>354.0</v>
      </c>
      <c r="AC38" s="158">
        <v>13737.0</v>
      </c>
      <c r="AD38" s="157">
        <v>91.0</v>
      </c>
      <c r="AE38" s="157">
        <v>347.0</v>
      </c>
      <c r="AF38" s="158">
        <v>3781.0</v>
      </c>
      <c r="AG38" s="157">
        <v>727.0</v>
      </c>
      <c r="AH38" s="157">
        <v>322.0</v>
      </c>
      <c r="AI38" s="157">
        <v>279.0</v>
      </c>
      <c r="AJ38" s="158">
        <v>1790.0</v>
      </c>
      <c r="AK38" s="157">
        <v>158.0</v>
      </c>
      <c r="AL38" s="157">
        <v>606.0</v>
      </c>
      <c r="AM38" s="157">
        <v>533.0</v>
      </c>
      <c r="AN38" s="157">
        <v>900.0</v>
      </c>
      <c r="AO38" s="158">
        <v>1842.0</v>
      </c>
      <c r="AP38" s="159">
        <v>48923.0</v>
      </c>
    </row>
    <row r="39">
      <c r="A39" s="131" t="s">
        <v>109</v>
      </c>
      <c r="B39" s="157">
        <v>692.0</v>
      </c>
      <c r="C39" s="158">
        <v>7525.0</v>
      </c>
      <c r="D39" s="157">
        <v>484.0</v>
      </c>
      <c r="E39" s="157">
        <v>562.0</v>
      </c>
      <c r="F39" s="157">
        <v>245.0</v>
      </c>
      <c r="G39" s="157">
        <v>908.0</v>
      </c>
      <c r="H39" s="158">
        <v>1995.0</v>
      </c>
      <c r="I39" s="158">
        <v>1043.0</v>
      </c>
      <c r="J39" s="157">
        <v>599.0</v>
      </c>
      <c r="K39" s="158">
        <v>1483.0</v>
      </c>
      <c r="L39" s="157">
        <v>147.0</v>
      </c>
      <c r="M39" s="157">
        <v>140.0</v>
      </c>
      <c r="N39" s="157">
        <v>228.0</v>
      </c>
      <c r="O39" s="157">
        <v>222.0</v>
      </c>
      <c r="P39" s="157">
        <v>173.0</v>
      </c>
      <c r="Q39" s="157">
        <v>832.0</v>
      </c>
      <c r="R39" s="157">
        <v>720.0</v>
      </c>
      <c r="S39" s="157">
        <v>89.0</v>
      </c>
      <c r="T39" s="157">
        <v>404.0</v>
      </c>
      <c r="U39" s="157">
        <v>433.0</v>
      </c>
      <c r="V39" s="157">
        <v>27.0</v>
      </c>
      <c r="W39" s="157">
        <v>797.0</v>
      </c>
      <c r="X39" s="157">
        <v>988.0</v>
      </c>
      <c r="Y39" s="157">
        <v>945.0</v>
      </c>
      <c r="Z39" s="157">
        <v>406.0</v>
      </c>
      <c r="AA39" s="158">
        <v>2369.0</v>
      </c>
      <c r="AB39" s="157">
        <v>344.0</v>
      </c>
      <c r="AC39" s="158">
        <v>14528.0</v>
      </c>
      <c r="AD39" s="157">
        <v>130.0</v>
      </c>
      <c r="AE39" s="157">
        <v>341.0</v>
      </c>
      <c r="AF39" s="158">
        <v>3771.0</v>
      </c>
      <c r="AG39" s="157">
        <v>875.0</v>
      </c>
      <c r="AH39" s="157">
        <v>310.0</v>
      </c>
      <c r="AI39" s="157">
        <v>272.0</v>
      </c>
      <c r="AJ39" s="158">
        <v>1850.0</v>
      </c>
      <c r="AK39" s="157">
        <v>173.0</v>
      </c>
      <c r="AL39" s="157">
        <v>631.0</v>
      </c>
      <c r="AM39" s="157">
        <v>578.0</v>
      </c>
      <c r="AN39" s="157">
        <v>967.0</v>
      </c>
      <c r="AO39" s="158">
        <v>1720.0</v>
      </c>
      <c r="AP39" s="159">
        <v>50946.0</v>
      </c>
    </row>
    <row r="40">
      <c r="A40" s="131" t="s">
        <v>110</v>
      </c>
      <c r="B40" s="157">
        <v>842.0</v>
      </c>
      <c r="C40" s="158">
        <v>7220.0</v>
      </c>
      <c r="D40" s="157">
        <v>495.0</v>
      </c>
      <c r="E40" s="157">
        <v>566.0</v>
      </c>
      <c r="F40" s="157">
        <v>283.0</v>
      </c>
      <c r="G40" s="157">
        <v>992.0</v>
      </c>
      <c r="H40" s="158">
        <v>2253.0</v>
      </c>
      <c r="I40" s="158">
        <v>1231.0</v>
      </c>
      <c r="J40" s="157">
        <v>839.0</v>
      </c>
      <c r="K40" s="158">
        <v>1452.0</v>
      </c>
      <c r="L40" s="157">
        <v>220.0</v>
      </c>
      <c r="M40" s="157">
        <v>189.0</v>
      </c>
      <c r="N40" s="157">
        <v>275.0</v>
      </c>
      <c r="O40" s="157">
        <v>334.0</v>
      </c>
      <c r="P40" s="157">
        <v>245.0</v>
      </c>
      <c r="Q40" s="157">
        <v>881.0</v>
      </c>
      <c r="R40" s="157">
        <v>795.0</v>
      </c>
      <c r="S40" s="157">
        <v>91.0</v>
      </c>
      <c r="T40" s="157">
        <v>482.0</v>
      </c>
      <c r="U40" s="157">
        <v>499.0</v>
      </c>
      <c r="V40" s="157">
        <v>28.0</v>
      </c>
      <c r="W40" s="157">
        <v>953.0</v>
      </c>
      <c r="X40" s="158">
        <v>1190.0</v>
      </c>
      <c r="Y40" s="158">
        <v>1012.0</v>
      </c>
      <c r="Z40" s="157">
        <v>425.0</v>
      </c>
      <c r="AA40" s="158">
        <v>2434.0</v>
      </c>
      <c r="AB40" s="157">
        <v>487.0</v>
      </c>
      <c r="AC40" s="158">
        <v>15432.0</v>
      </c>
      <c r="AD40" s="157">
        <v>162.0</v>
      </c>
      <c r="AE40" s="157">
        <v>424.0</v>
      </c>
      <c r="AF40" s="158">
        <v>3910.0</v>
      </c>
      <c r="AG40" s="158">
        <v>1386.0</v>
      </c>
      <c r="AH40" s="157">
        <v>413.0</v>
      </c>
      <c r="AI40" s="157">
        <v>316.0</v>
      </c>
      <c r="AJ40" s="158">
        <v>2141.0</v>
      </c>
      <c r="AK40" s="157">
        <v>242.0</v>
      </c>
      <c r="AL40" s="157">
        <v>704.0</v>
      </c>
      <c r="AM40" s="157">
        <v>723.0</v>
      </c>
      <c r="AN40" s="157">
        <v>982.0</v>
      </c>
      <c r="AO40" s="158">
        <v>4019.0</v>
      </c>
      <c r="AP40" s="159">
        <v>57567.0</v>
      </c>
    </row>
    <row r="41">
      <c r="A41" s="131" t="s">
        <v>111</v>
      </c>
      <c r="B41" s="157">
        <v>755.0</v>
      </c>
      <c r="C41" s="158">
        <v>7072.0</v>
      </c>
      <c r="D41" s="157">
        <v>570.0</v>
      </c>
      <c r="E41" s="157">
        <v>620.0</v>
      </c>
      <c r="F41" s="157">
        <v>326.0</v>
      </c>
      <c r="G41" s="158">
        <v>1180.0</v>
      </c>
      <c r="H41" s="158">
        <v>2399.0</v>
      </c>
      <c r="I41" s="158">
        <v>1177.0</v>
      </c>
      <c r="J41" s="157">
        <v>714.0</v>
      </c>
      <c r="K41" s="158">
        <v>1512.0</v>
      </c>
      <c r="L41" s="157">
        <v>188.0</v>
      </c>
      <c r="M41" s="157">
        <v>205.0</v>
      </c>
      <c r="N41" s="157">
        <v>301.0</v>
      </c>
      <c r="O41" s="157">
        <v>273.0</v>
      </c>
      <c r="P41" s="157">
        <v>191.0</v>
      </c>
      <c r="Q41" s="157">
        <v>981.0</v>
      </c>
      <c r="R41" s="157">
        <v>756.0</v>
      </c>
      <c r="S41" s="157">
        <v>101.0</v>
      </c>
      <c r="T41" s="157">
        <v>496.0</v>
      </c>
      <c r="U41" s="157">
        <v>462.0</v>
      </c>
      <c r="V41" s="157">
        <v>43.0</v>
      </c>
      <c r="W41" s="158">
        <v>1028.0</v>
      </c>
      <c r="X41" s="158">
        <v>1147.0</v>
      </c>
      <c r="Y41" s="158">
        <v>1018.0</v>
      </c>
      <c r="Z41" s="157">
        <v>484.0</v>
      </c>
      <c r="AA41" s="158">
        <v>2394.0</v>
      </c>
      <c r="AB41" s="157">
        <v>502.0</v>
      </c>
      <c r="AC41" s="158">
        <v>14621.0</v>
      </c>
      <c r="AD41" s="157">
        <v>158.0</v>
      </c>
      <c r="AE41" s="157">
        <v>434.0</v>
      </c>
      <c r="AF41" s="158">
        <v>3930.0</v>
      </c>
      <c r="AG41" s="158">
        <v>1276.0</v>
      </c>
      <c r="AH41" s="157">
        <v>444.0</v>
      </c>
      <c r="AI41" s="157">
        <v>328.0</v>
      </c>
      <c r="AJ41" s="158">
        <v>2363.0</v>
      </c>
      <c r="AK41" s="157">
        <v>249.0</v>
      </c>
      <c r="AL41" s="157">
        <v>846.0</v>
      </c>
      <c r="AM41" s="157">
        <v>738.0</v>
      </c>
      <c r="AN41" s="158">
        <v>1112.0</v>
      </c>
      <c r="AO41" s="158">
        <v>4379.0</v>
      </c>
      <c r="AP41" s="159">
        <v>57773.0</v>
      </c>
    </row>
    <row r="42">
      <c r="A42" s="131" t="s">
        <v>112</v>
      </c>
      <c r="B42" s="157">
        <v>806.0</v>
      </c>
      <c r="C42" s="158">
        <v>6829.0</v>
      </c>
      <c r="D42" s="157">
        <v>541.0</v>
      </c>
      <c r="E42" s="157">
        <v>854.0</v>
      </c>
      <c r="F42" s="157">
        <v>268.0</v>
      </c>
      <c r="G42" s="158">
        <v>1241.0</v>
      </c>
      <c r="H42" s="158">
        <v>2923.0</v>
      </c>
      <c r="I42" s="158">
        <v>1324.0</v>
      </c>
      <c r="J42" s="157">
        <v>808.0</v>
      </c>
      <c r="K42" s="158">
        <v>1858.0</v>
      </c>
      <c r="L42" s="157">
        <v>141.0</v>
      </c>
      <c r="M42" s="157">
        <v>176.0</v>
      </c>
      <c r="N42" s="157">
        <v>310.0</v>
      </c>
      <c r="O42" s="157">
        <v>245.0</v>
      </c>
      <c r="P42" s="157">
        <v>182.0</v>
      </c>
      <c r="Q42" s="158">
        <v>1174.0</v>
      </c>
      <c r="R42" s="157">
        <v>874.0</v>
      </c>
      <c r="S42" s="157">
        <v>120.0</v>
      </c>
      <c r="T42" s="157">
        <v>665.0</v>
      </c>
      <c r="U42" s="157">
        <v>436.0</v>
      </c>
      <c r="V42" s="157">
        <v>53.0</v>
      </c>
      <c r="W42" s="158">
        <v>1388.0</v>
      </c>
      <c r="X42" s="158">
        <v>1148.0</v>
      </c>
      <c r="Y42" s="158">
        <v>1243.0</v>
      </c>
      <c r="Z42" s="157">
        <v>445.0</v>
      </c>
      <c r="AA42" s="158">
        <v>2966.0</v>
      </c>
      <c r="AB42" s="157">
        <v>532.0</v>
      </c>
      <c r="AC42" s="158">
        <v>16507.0</v>
      </c>
      <c r="AD42" s="157">
        <v>183.0</v>
      </c>
      <c r="AE42" s="157">
        <v>516.0</v>
      </c>
      <c r="AF42" s="158">
        <v>4028.0</v>
      </c>
      <c r="AG42" s="158">
        <v>1080.0</v>
      </c>
      <c r="AH42" s="157">
        <v>476.0</v>
      </c>
      <c r="AI42" s="157">
        <v>375.0</v>
      </c>
      <c r="AJ42" s="158">
        <v>2433.0</v>
      </c>
      <c r="AK42" s="157">
        <v>213.0</v>
      </c>
      <c r="AL42" s="157">
        <v>884.0</v>
      </c>
      <c r="AM42" s="157">
        <v>670.0</v>
      </c>
      <c r="AN42" s="158">
        <v>1248.0</v>
      </c>
      <c r="AO42" s="158">
        <v>8677.0</v>
      </c>
      <c r="AP42" s="159">
        <v>66840.0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174</v>
      </c>
      <c r="C8" s="163" t="s">
        <v>175</v>
      </c>
      <c r="D8" s="163" t="s">
        <v>176</v>
      </c>
      <c r="E8" s="163" t="s">
        <v>177</v>
      </c>
      <c r="F8" s="163" t="s">
        <v>178</v>
      </c>
      <c r="G8" s="163" t="s">
        <v>179</v>
      </c>
      <c r="H8" s="163" t="s">
        <v>180</v>
      </c>
      <c r="I8" s="163" t="s">
        <v>181</v>
      </c>
      <c r="J8" s="163" t="s">
        <v>182</v>
      </c>
      <c r="K8" s="163" t="s">
        <v>183</v>
      </c>
      <c r="L8" s="163" t="s">
        <v>184</v>
      </c>
      <c r="M8" s="163" t="s">
        <v>185</v>
      </c>
      <c r="N8" s="163" t="s">
        <v>186</v>
      </c>
      <c r="O8" s="163" t="s">
        <v>187</v>
      </c>
      <c r="P8" s="163" t="s">
        <v>188</v>
      </c>
      <c r="Q8" s="163" t="s">
        <v>189</v>
      </c>
      <c r="R8" s="163" t="s">
        <v>190</v>
      </c>
      <c r="S8" s="163" t="s">
        <v>191</v>
      </c>
      <c r="T8" s="163" t="s">
        <v>192</v>
      </c>
      <c r="U8" s="163" t="s">
        <v>193</v>
      </c>
      <c r="V8" s="163" t="s">
        <v>194</v>
      </c>
      <c r="W8" s="163" t="s">
        <v>195</v>
      </c>
      <c r="X8" s="163" t="s">
        <v>196</v>
      </c>
      <c r="Y8" s="163" t="s">
        <v>197</v>
      </c>
      <c r="Z8" s="163" t="s">
        <v>198</v>
      </c>
      <c r="AA8" s="163" t="s">
        <v>199</v>
      </c>
      <c r="AB8" s="163" t="s">
        <v>200</v>
      </c>
      <c r="AC8" s="163" t="s">
        <v>201</v>
      </c>
      <c r="AD8" s="163" t="s">
        <v>202</v>
      </c>
      <c r="AE8" s="163" t="s">
        <v>203</v>
      </c>
      <c r="AF8" s="163" t="s">
        <v>204</v>
      </c>
      <c r="AG8" s="163" t="s">
        <v>205</v>
      </c>
      <c r="AH8" s="163" t="s">
        <v>206</v>
      </c>
      <c r="AI8" s="163" t="s">
        <v>207</v>
      </c>
      <c r="AJ8" s="163" t="s">
        <v>208</v>
      </c>
      <c r="AK8" s="163" t="s">
        <v>209</v>
      </c>
      <c r="AL8" s="163" t="s">
        <v>210</v>
      </c>
      <c r="AM8" s="163" t="s">
        <v>211</v>
      </c>
      <c r="AN8" s="163" t="s">
        <v>212</v>
      </c>
      <c r="AO8" s="163" t="s">
        <v>168</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116</v>
      </c>
      <c r="C17" s="165">
        <v>0.051</v>
      </c>
      <c r="D17" s="165">
        <v>0.052</v>
      </c>
      <c r="E17" s="165">
        <v>0.227</v>
      </c>
      <c r="F17" s="164" t="s">
        <v>116</v>
      </c>
      <c r="G17" s="165">
        <v>0.044</v>
      </c>
      <c r="H17" s="165">
        <v>0.103</v>
      </c>
      <c r="I17" s="165">
        <v>0.049</v>
      </c>
      <c r="J17" s="165">
        <v>0.067</v>
      </c>
      <c r="K17" s="165">
        <v>0.057</v>
      </c>
      <c r="L17" s="164" t="s">
        <v>116</v>
      </c>
      <c r="M17" s="164" t="s">
        <v>116</v>
      </c>
      <c r="N17" s="164" t="s">
        <v>116</v>
      </c>
      <c r="O17" s="165">
        <v>0.0</v>
      </c>
      <c r="P17" s="165">
        <v>0.0</v>
      </c>
      <c r="Q17" s="165">
        <v>0.071</v>
      </c>
      <c r="R17" s="165">
        <v>0.073</v>
      </c>
      <c r="S17" s="165">
        <v>0.0</v>
      </c>
      <c r="T17" s="164" t="s">
        <v>116</v>
      </c>
      <c r="U17" s="164" t="s">
        <v>116</v>
      </c>
      <c r="V17" s="165">
        <v>0.0</v>
      </c>
      <c r="W17" s="165">
        <v>0.037</v>
      </c>
      <c r="X17" s="165">
        <v>0.021</v>
      </c>
      <c r="Y17" s="165">
        <v>0.098</v>
      </c>
      <c r="Z17" s="164" t="s">
        <v>116</v>
      </c>
      <c r="AA17" s="165">
        <v>0.155</v>
      </c>
      <c r="AB17" s="164" t="s">
        <v>116</v>
      </c>
      <c r="AC17" s="165">
        <v>0.197</v>
      </c>
      <c r="AD17" s="165">
        <v>0.116</v>
      </c>
      <c r="AE17" s="164" t="s">
        <v>116</v>
      </c>
      <c r="AF17" s="165">
        <v>0.055</v>
      </c>
      <c r="AG17" s="164" t="s">
        <v>116</v>
      </c>
      <c r="AH17" s="165">
        <v>0.049</v>
      </c>
      <c r="AI17" s="164" t="s">
        <v>116</v>
      </c>
      <c r="AJ17" s="165">
        <v>0.076</v>
      </c>
      <c r="AK17" s="164" t="s">
        <v>116</v>
      </c>
      <c r="AL17" s="165">
        <v>0.085</v>
      </c>
      <c r="AM17" s="165">
        <v>0.074</v>
      </c>
      <c r="AN17" s="165">
        <v>0.107</v>
      </c>
      <c r="AO17" s="165">
        <v>0.114</v>
      </c>
    </row>
    <row r="18">
      <c r="A18" s="161" t="s">
        <v>88</v>
      </c>
      <c r="B18" s="164" t="s">
        <v>116</v>
      </c>
      <c r="C18" s="165">
        <v>0.039</v>
      </c>
      <c r="D18" s="164" t="s">
        <v>116</v>
      </c>
      <c r="E18" s="165">
        <v>0.199</v>
      </c>
      <c r="F18" s="164" t="s">
        <v>116</v>
      </c>
      <c r="G18" s="165">
        <v>0.037</v>
      </c>
      <c r="H18" s="165">
        <v>0.071</v>
      </c>
      <c r="I18" s="165">
        <v>0.061</v>
      </c>
      <c r="J18" s="165">
        <v>0.046</v>
      </c>
      <c r="K18" s="165">
        <v>0.068</v>
      </c>
      <c r="L18" s="165">
        <v>0.15</v>
      </c>
      <c r="M18" s="164" t="s">
        <v>116</v>
      </c>
      <c r="N18" s="164" t="s">
        <v>116</v>
      </c>
      <c r="O18" s="164" t="s">
        <v>116</v>
      </c>
      <c r="P18" s="164" t="s">
        <v>116</v>
      </c>
      <c r="Q18" s="165">
        <v>0.077</v>
      </c>
      <c r="R18" s="165">
        <v>0.066</v>
      </c>
      <c r="S18" s="164" t="s">
        <v>116</v>
      </c>
      <c r="T18" s="164" t="s">
        <v>116</v>
      </c>
      <c r="U18" s="164" t="s">
        <v>116</v>
      </c>
      <c r="V18" s="165">
        <v>0.0</v>
      </c>
      <c r="W18" s="165">
        <v>0.036</v>
      </c>
      <c r="X18" s="165">
        <v>0.035</v>
      </c>
      <c r="Y18" s="165">
        <v>0.079</v>
      </c>
      <c r="Z18" s="164" t="s">
        <v>116</v>
      </c>
      <c r="AA18" s="165">
        <v>0.13</v>
      </c>
      <c r="AB18" s="164" t="s">
        <v>116</v>
      </c>
      <c r="AC18" s="165">
        <v>0.142</v>
      </c>
      <c r="AD18" s="164" t="s">
        <v>116</v>
      </c>
      <c r="AE18" s="164" t="s">
        <v>116</v>
      </c>
      <c r="AF18" s="165">
        <v>0.058</v>
      </c>
      <c r="AG18" s="164" t="s">
        <v>116</v>
      </c>
      <c r="AH18" s="165">
        <v>0.029</v>
      </c>
      <c r="AI18" s="164" t="s">
        <v>116</v>
      </c>
      <c r="AJ18" s="165">
        <v>0.049</v>
      </c>
      <c r="AK18" s="165">
        <v>0.0</v>
      </c>
      <c r="AL18" s="165">
        <v>0.085</v>
      </c>
      <c r="AM18" s="164" t="s">
        <v>116</v>
      </c>
      <c r="AN18" s="165">
        <v>0.115</v>
      </c>
      <c r="AO18" s="165">
        <v>0.089</v>
      </c>
    </row>
    <row r="19">
      <c r="A19" s="161" t="s">
        <v>89</v>
      </c>
      <c r="B19" s="165">
        <v>0.058</v>
      </c>
      <c r="C19" s="165">
        <v>0.028</v>
      </c>
      <c r="D19" s="164" t="s">
        <v>116</v>
      </c>
      <c r="E19" s="165">
        <v>0.158</v>
      </c>
      <c r="F19" s="165">
        <v>0.0</v>
      </c>
      <c r="G19" s="165">
        <v>0.025</v>
      </c>
      <c r="H19" s="165">
        <v>0.066</v>
      </c>
      <c r="I19" s="165">
        <v>0.029</v>
      </c>
      <c r="J19" s="165">
        <v>0.029</v>
      </c>
      <c r="K19" s="165">
        <v>0.046</v>
      </c>
      <c r="L19" s="164" t="s">
        <v>116</v>
      </c>
      <c r="M19" s="164" t="s">
        <v>116</v>
      </c>
      <c r="N19" s="165">
        <v>0.087</v>
      </c>
      <c r="O19" s="164" t="s">
        <v>116</v>
      </c>
      <c r="P19" s="165">
        <v>0.0</v>
      </c>
      <c r="Q19" s="165">
        <v>0.053</v>
      </c>
      <c r="R19" s="165">
        <v>0.043</v>
      </c>
      <c r="S19" s="165">
        <v>0.0</v>
      </c>
      <c r="T19" s="165">
        <v>0.0</v>
      </c>
      <c r="U19" s="164" t="s">
        <v>116</v>
      </c>
      <c r="V19" s="164" t="s">
        <v>116</v>
      </c>
      <c r="W19" s="164" t="s">
        <v>116</v>
      </c>
      <c r="X19" s="165">
        <v>0.016</v>
      </c>
      <c r="Y19" s="165">
        <v>0.074</v>
      </c>
      <c r="Z19" s="165">
        <v>0.031</v>
      </c>
      <c r="AA19" s="165">
        <v>0.086</v>
      </c>
      <c r="AB19" s="164" t="s">
        <v>116</v>
      </c>
      <c r="AC19" s="165">
        <v>0.121</v>
      </c>
      <c r="AD19" s="164" t="s">
        <v>116</v>
      </c>
      <c r="AE19" s="165">
        <v>0.036</v>
      </c>
      <c r="AF19" s="165">
        <v>0.054</v>
      </c>
      <c r="AG19" s="164" t="s">
        <v>116</v>
      </c>
      <c r="AH19" s="165">
        <v>0.051</v>
      </c>
      <c r="AI19" s="165">
        <v>0.083</v>
      </c>
      <c r="AJ19" s="165">
        <v>0.035</v>
      </c>
      <c r="AK19" s="164" t="s">
        <v>116</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116</v>
      </c>
      <c r="K20" s="165">
        <v>0.023</v>
      </c>
      <c r="L20" s="164" t="s">
        <v>116</v>
      </c>
      <c r="M20" s="164" t="s">
        <v>116</v>
      </c>
      <c r="N20" s="164" t="s">
        <v>116</v>
      </c>
      <c r="O20" s="164" t="s">
        <v>116</v>
      </c>
      <c r="P20" s="164" t="s">
        <v>116</v>
      </c>
      <c r="Q20" s="165">
        <v>0.045</v>
      </c>
      <c r="R20" s="165">
        <v>0.035</v>
      </c>
      <c r="S20" s="164" t="s">
        <v>116</v>
      </c>
      <c r="T20" s="164" t="s">
        <v>116</v>
      </c>
      <c r="U20" s="164" t="s">
        <v>116</v>
      </c>
      <c r="V20" s="165">
        <v>0.0</v>
      </c>
      <c r="W20" s="164" t="s">
        <v>116</v>
      </c>
      <c r="X20" s="165">
        <v>0.017</v>
      </c>
      <c r="Y20" s="165">
        <v>0.045</v>
      </c>
      <c r="Z20" s="165">
        <v>0.035</v>
      </c>
      <c r="AA20" s="165">
        <v>0.071</v>
      </c>
      <c r="AB20" s="165">
        <v>0.047</v>
      </c>
      <c r="AC20" s="165">
        <v>0.1</v>
      </c>
      <c r="AD20" s="164" t="s">
        <v>116</v>
      </c>
      <c r="AE20" s="164" t="s">
        <v>116</v>
      </c>
      <c r="AF20" s="165">
        <v>0.027</v>
      </c>
      <c r="AG20" s="164" t="s">
        <v>116</v>
      </c>
      <c r="AH20" s="165">
        <v>0.053</v>
      </c>
      <c r="AI20" s="165">
        <v>0.028</v>
      </c>
      <c r="AJ20" s="165">
        <v>0.038</v>
      </c>
      <c r="AK20" s="164" t="s">
        <v>116</v>
      </c>
      <c r="AL20" s="165">
        <v>0.034</v>
      </c>
      <c r="AM20" s="164" t="s">
        <v>116</v>
      </c>
      <c r="AN20" s="165">
        <v>0.061</v>
      </c>
      <c r="AO20" s="165">
        <v>0.057</v>
      </c>
    </row>
    <row r="21">
      <c r="A21" s="161" t="s">
        <v>91</v>
      </c>
      <c r="B21" s="164" t="s">
        <v>116</v>
      </c>
      <c r="C21" s="165">
        <v>0.029</v>
      </c>
      <c r="D21" s="164" t="s">
        <v>116</v>
      </c>
      <c r="E21" s="165">
        <v>0.088</v>
      </c>
      <c r="F21" s="164" t="s">
        <v>116</v>
      </c>
      <c r="G21" s="165">
        <v>0.022</v>
      </c>
      <c r="H21" s="165">
        <v>0.048</v>
      </c>
      <c r="I21" s="165">
        <v>0.019</v>
      </c>
      <c r="J21" s="165">
        <v>0.0</v>
      </c>
      <c r="K21" s="165">
        <v>0.032</v>
      </c>
      <c r="L21" s="165">
        <v>0.0</v>
      </c>
      <c r="M21" s="164" t="s">
        <v>116</v>
      </c>
      <c r="N21" s="164" t="s">
        <v>116</v>
      </c>
      <c r="O21" s="165">
        <v>0.0</v>
      </c>
      <c r="P21" s="164" t="s">
        <v>116</v>
      </c>
      <c r="Q21" s="165">
        <v>0.096</v>
      </c>
      <c r="R21" s="165">
        <v>0.042</v>
      </c>
      <c r="S21" s="165">
        <v>0.0</v>
      </c>
      <c r="T21" s="164" t="s">
        <v>116</v>
      </c>
      <c r="U21" s="164" t="s">
        <v>116</v>
      </c>
      <c r="V21" s="165">
        <v>0.0</v>
      </c>
      <c r="W21" s="165">
        <v>0.041</v>
      </c>
      <c r="X21" s="165">
        <v>0.019</v>
      </c>
      <c r="Y21" s="165">
        <v>0.038</v>
      </c>
      <c r="Z21" s="164" t="s">
        <v>116</v>
      </c>
      <c r="AA21" s="165">
        <v>0.066</v>
      </c>
      <c r="AB21" s="165">
        <v>0.041</v>
      </c>
      <c r="AC21" s="165">
        <v>0.107</v>
      </c>
      <c r="AD21" s="164" t="s">
        <v>116</v>
      </c>
      <c r="AE21" s="164" t="s">
        <v>116</v>
      </c>
      <c r="AF21" s="165">
        <v>0.0</v>
      </c>
      <c r="AG21" s="165">
        <v>0.0</v>
      </c>
      <c r="AH21" s="164" t="s">
        <v>116</v>
      </c>
      <c r="AI21" s="165">
        <v>0.0</v>
      </c>
      <c r="AJ21" s="165">
        <v>0.02</v>
      </c>
      <c r="AK21" s="164" t="s">
        <v>116</v>
      </c>
      <c r="AL21" s="165">
        <v>0.026</v>
      </c>
      <c r="AM21" s="164" t="s">
        <v>116</v>
      </c>
      <c r="AN21" s="165">
        <v>0.068</v>
      </c>
      <c r="AO21" s="165">
        <v>0.052</v>
      </c>
    </row>
    <row r="22">
      <c r="A22" s="161" t="s">
        <v>92</v>
      </c>
      <c r="B22" s="164" t="s">
        <v>116</v>
      </c>
      <c r="C22" s="164" t="s">
        <v>116</v>
      </c>
      <c r="D22" s="164" t="s">
        <v>116</v>
      </c>
      <c r="E22" s="165">
        <v>0.097</v>
      </c>
      <c r="F22" s="165">
        <v>0.0</v>
      </c>
      <c r="G22" s="164" t="s">
        <v>116</v>
      </c>
      <c r="H22" s="165">
        <v>0.031</v>
      </c>
      <c r="I22" s="165">
        <v>0.03</v>
      </c>
      <c r="J22" s="164" t="s">
        <v>116</v>
      </c>
      <c r="K22" s="165">
        <v>0.014</v>
      </c>
      <c r="L22" s="164" t="s">
        <v>116</v>
      </c>
      <c r="M22" s="165">
        <v>0.0</v>
      </c>
      <c r="N22" s="164" t="s">
        <v>116</v>
      </c>
      <c r="O22" s="165">
        <v>0.0</v>
      </c>
      <c r="P22" s="164" t="s">
        <v>116</v>
      </c>
      <c r="Q22" s="165">
        <v>0.028</v>
      </c>
      <c r="R22" s="164" t="s">
        <v>116</v>
      </c>
      <c r="S22" s="165">
        <v>0.0</v>
      </c>
      <c r="T22" s="164" t="s">
        <v>116</v>
      </c>
      <c r="U22" s="164" t="s">
        <v>116</v>
      </c>
      <c r="V22" s="165">
        <v>0.0</v>
      </c>
      <c r="W22" s="164" t="s">
        <v>116</v>
      </c>
      <c r="X22" s="164" t="s">
        <v>116</v>
      </c>
      <c r="Y22" s="165">
        <v>0.036</v>
      </c>
      <c r="Z22" s="164" t="s">
        <v>116</v>
      </c>
      <c r="AA22" s="165">
        <v>0.041</v>
      </c>
      <c r="AB22" s="165">
        <v>0.027</v>
      </c>
      <c r="AC22" s="165">
        <v>0.073</v>
      </c>
      <c r="AD22" s="165">
        <v>0.0</v>
      </c>
      <c r="AE22" s="164" t="s">
        <v>116</v>
      </c>
      <c r="AF22" s="164" t="s">
        <v>116</v>
      </c>
      <c r="AG22" s="165">
        <v>0.0</v>
      </c>
      <c r="AH22" s="164" t="s">
        <v>116</v>
      </c>
      <c r="AI22" s="164" t="s">
        <v>116</v>
      </c>
      <c r="AJ22" s="165">
        <v>0.017</v>
      </c>
      <c r="AK22" s="165">
        <v>0.0</v>
      </c>
      <c r="AL22" s="165">
        <v>0.023</v>
      </c>
      <c r="AM22" s="165">
        <v>0.0</v>
      </c>
      <c r="AN22" s="165">
        <v>0.043</v>
      </c>
      <c r="AO22" s="165">
        <v>0.034</v>
      </c>
    </row>
    <row r="23">
      <c r="A23" s="161" t="s">
        <v>93</v>
      </c>
      <c r="B23" s="164" t="s">
        <v>116</v>
      </c>
      <c r="C23" s="164" t="s">
        <v>116</v>
      </c>
      <c r="D23" s="164" t="s">
        <v>116</v>
      </c>
      <c r="E23" s="165">
        <v>0.083</v>
      </c>
      <c r="F23" s="164" t="s">
        <v>116</v>
      </c>
      <c r="G23" s="164" t="s">
        <v>116</v>
      </c>
      <c r="H23" s="165">
        <v>0.032</v>
      </c>
      <c r="I23" s="165">
        <v>0.02</v>
      </c>
      <c r="J23" s="164" t="s">
        <v>116</v>
      </c>
      <c r="K23" s="165">
        <v>0.019</v>
      </c>
      <c r="L23" s="164" t="s">
        <v>116</v>
      </c>
      <c r="M23" s="165">
        <v>0.0</v>
      </c>
      <c r="N23" s="165">
        <v>0.0</v>
      </c>
      <c r="O23" s="165">
        <v>0.0</v>
      </c>
      <c r="P23" s="165">
        <v>0.0</v>
      </c>
      <c r="Q23" s="165">
        <v>0.037</v>
      </c>
      <c r="R23" s="165">
        <v>0.018</v>
      </c>
      <c r="S23" s="165">
        <v>0.0</v>
      </c>
      <c r="T23" s="164" t="s">
        <v>116</v>
      </c>
      <c r="U23" s="165">
        <v>0.0</v>
      </c>
      <c r="V23" s="165">
        <v>0.0</v>
      </c>
      <c r="W23" s="164" t="s">
        <v>116</v>
      </c>
      <c r="X23" s="164" t="s">
        <v>116</v>
      </c>
      <c r="Y23" s="165">
        <v>0.018</v>
      </c>
      <c r="Z23" s="165">
        <v>0.05</v>
      </c>
      <c r="AA23" s="165">
        <v>0.037</v>
      </c>
      <c r="AB23" s="165">
        <v>0.0</v>
      </c>
      <c r="AC23" s="165">
        <v>0.047</v>
      </c>
      <c r="AD23" s="165">
        <v>0.0</v>
      </c>
      <c r="AE23" s="164" t="s">
        <v>116</v>
      </c>
      <c r="AF23" s="164" t="s">
        <v>116</v>
      </c>
      <c r="AG23" s="164" t="s">
        <v>116</v>
      </c>
      <c r="AH23" s="164" t="s">
        <v>116</v>
      </c>
      <c r="AI23" s="164" t="s">
        <v>116</v>
      </c>
      <c r="AJ23" s="165">
        <v>0.011</v>
      </c>
      <c r="AK23" s="165">
        <v>0.0</v>
      </c>
      <c r="AL23" s="164" t="s">
        <v>116</v>
      </c>
      <c r="AM23" s="165">
        <v>0.0</v>
      </c>
      <c r="AN23" s="165">
        <v>0.037</v>
      </c>
      <c r="AO23" s="165">
        <v>0.027</v>
      </c>
    </row>
    <row r="24">
      <c r="A24" s="161" t="s">
        <v>94</v>
      </c>
      <c r="B24" s="165">
        <v>0.0</v>
      </c>
      <c r="C24" s="164" t="s">
        <v>116</v>
      </c>
      <c r="D24" s="164" t="s">
        <v>116</v>
      </c>
      <c r="E24" s="165">
        <v>0.077</v>
      </c>
      <c r="F24" s="164" t="s">
        <v>116</v>
      </c>
      <c r="G24" s="165">
        <v>0.0</v>
      </c>
      <c r="H24" s="165">
        <v>0.02</v>
      </c>
      <c r="I24" s="164" t="s">
        <v>116</v>
      </c>
      <c r="J24" s="164" t="s">
        <v>116</v>
      </c>
      <c r="K24" s="165">
        <v>0.014</v>
      </c>
      <c r="L24" s="165">
        <v>0.0</v>
      </c>
      <c r="M24" s="165">
        <v>0.0</v>
      </c>
      <c r="N24" s="165">
        <v>0.0</v>
      </c>
      <c r="O24" s="165">
        <v>0.0</v>
      </c>
      <c r="P24" s="164" t="s">
        <v>116</v>
      </c>
      <c r="Q24" s="165">
        <v>0.015</v>
      </c>
      <c r="R24" s="165">
        <v>0.034</v>
      </c>
      <c r="S24" s="165">
        <v>0.0</v>
      </c>
      <c r="T24" s="164" t="s">
        <v>116</v>
      </c>
      <c r="U24" s="164" t="s">
        <v>116</v>
      </c>
      <c r="V24" s="165">
        <v>0.0</v>
      </c>
      <c r="W24" s="165">
        <v>0.016</v>
      </c>
      <c r="X24" s="164" t="s">
        <v>116</v>
      </c>
      <c r="Y24" s="164" t="s">
        <v>116</v>
      </c>
      <c r="Z24" s="164" t="s">
        <v>116</v>
      </c>
      <c r="AA24" s="165">
        <v>0.032</v>
      </c>
      <c r="AB24" s="165">
        <v>0.0</v>
      </c>
      <c r="AC24" s="165">
        <v>0.04</v>
      </c>
      <c r="AD24" s="164" t="s">
        <v>116</v>
      </c>
      <c r="AE24" s="164" t="s">
        <v>116</v>
      </c>
      <c r="AF24" s="164" t="s">
        <v>116</v>
      </c>
      <c r="AG24" s="165">
        <v>0.0</v>
      </c>
      <c r="AH24" s="165">
        <v>0.0</v>
      </c>
      <c r="AI24" s="164" t="s">
        <v>116</v>
      </c>
      <c r="AJ24" s="165">
        <v>0.013</v>
      </c>
      <c r="AK24" s="165">
        <v>0.0</v>
      </c>
      <c r="AL24" s="165">
        <v>0.027</v>
      </c>
      <c r="AM24" s="164" t="s">
        <v>116</v>
      </c>
      <c r="AN24" s="165">
        <v>0.036</v>
      </c>
      <c r="AO24" s="165">
        <v>0.021</v>
      </c>
    </row>
    <row r="25">
      <c r="A25" s="161" t="s">
        <v>95</v>
      </c>
      <c r="B25" s="164" t="s">
        <v>116</v>
      </c>
      <c r="C25" s="164" t="s">
        <v>116</v>
      </c>
      <c r="D25" s="164" t="s">
        <v>116</v>
      </c>
      <c r="E25" s="165">
        <v>0.043</v>
      </c>
      <c r="F25" s="164" t="s">
        <v>116</v>
      </c>
      <c r="G25" s="164" t="s">
        <v>116</v>
      </c>
      <c r="H25" s="165">
        <v>0.012</v>
      </c>
      <c r="I25" s="165">
        <v>0.02</v>
      </c>
      <c r="J25" s="164" t="s">
        <v>116</v>
      </c>
      <c r="K25" s="165">
        <v>0.01</v>
      </c>
      <c r="L25" s="165">
        <v>0.0</v>
      </c>
      <c r="M25" s="164" t="s">
        <v>116</v>
      </c>
      <c r="N25" s="164" t="s">
        <v>116</v>
      </c>
      <c r="O25" s="164" t="s">
        <v>116</v>
      </c>
      <c r="P25" s="165">
        <v>0.0</v>
      </c>
      <c r="Q25" s="165">
        <v>0.021</v>
      </c>
      <c r="R25" s="165">
        <v>0.019</v>
      </c>
      <c r="S25" s="165">
        <v>0.0</v>
      </c>
      <c r="T25" s="165">
        <v>0.025</v>
      </c>
      <c r="U25" s="165">
        <v>0.0</v>
      </c>
      <c r="V25" s="165">
        <v>0.0</v>
      </c>
      <c r="W25" s="165">
        <v>0.029</v>
      </c>
      <c r="X25" s="164" t="s">
        <v>116</v>
      </c>
      <c r="Y25" s="165">
        <v>0.022</v>
      </c>
      <c r="Z25" s="164" t="s">
        <v>116</v>
      </c>
      <c r="AA25" s="165">
        <v>0.038</v>
      </c>
      <c r="AB25" s="164" t="s">
        <v>116</v>
      </c>
      <c r="AC25" s="165">
        <v>0.033</v>
      </c>
      <c r="AD25" s="165">
        <v>0.0</v>
      </c>
      <c r="AE25" s="164" t="s">
        <v>116</v>
      </c>
      <c r="AF25" s="164" t="s">
        <v>116</v>
      </c>
      <c r="AG25" s="164" t="s">
        <v>116</v>
      </c>
      <c r="AH25" s="164" t="s">
        <v>116</v>
      </c>
      <c r="AI25" s="164" t="s">
        <v>116</v>
      </c>
      <c r="AJ25" s="165">
        <v>0.009</v>
      </c>
      <c r="AK25" s="164" t="s">
        <v>116</v>
      </c>
      <c r="AL25" s="165">
        <v>0.024</v>
      </c>
      <c r="AM25" s="164" t="s">
        <v>116</v>
      </c>
      <c r="AN25" s="165">
        <v>0.026</v>
      </c>
      <c r="AO25" s="165">
        <v>0.02</v>
      </c>
    </row>
    <row r="26">
      <c r="A26" s="161" t="s">
        <v>96</v>
      </c>
      <c r="B26" s="164" t="s">
        <v>116</v>
      </c>
      <c r="C26" s="164" t="s">
        <v>116</v>
      </c>
      <c r="D26" s="164" t="s">
        <v>116</v>
      </c>
      <c r="E26" s="165">
        <v>0.024</v>
      </c>
      <c r="F26" s="164" t="s">
        <v>116</v>
      </c>
      <c r="G26" s="165">
        <v>0.021</v>
      </c>
      <c r="H26" s="165">
        <v>0.037</v>
      </c>
      <c r="I26" s="164" t="s">
        <v>116</v>
      </c>
      <c r="J26" s="164" t="s">
        <v>116</v>
      </c>
      <c r="K26" s="165">
        <v>0.009</v>
      </c>
      <c r="L26" s="165">
        <v>0.0</v>
      </c>
      <c r="M26" s="164" t="s">
        <v>116</v>
      </c>
      <c r="N26" s="164" t="s">
        <v>116</v>
      </c>
      <c r="O26" s="165">
        <v>0.0</v>
      </c>
      <c r="P26" s="164" t="s">
        <v>116</v>
      </c>
      <c r="Q26" s="165">
        <v>0.03</v>
      </c>
      <c r="R26" s="164" t="s">
        <v>116</v>
      </c>
      <c r="S26" s="164" t="s">
        <v>116</v>
      </c>
      <c r="T26" s="165">
        <v>0.019</v>
      </c>
      <c r="U26" s="165">
        <v>0.0</v>
      </c>
      <c r="V26" s="165">
        <v>0.0</v>
      </c>
      <c r="W26" s="165">
        <v>0.019</v>
      </c>
      <c r="X26" s="164" t="s">
        <v>116</v>
      </c>
      <c r="Y26" s="165">
        <v>0.026</v>
      </c>
      <c r="Z26" s="164" t="s">
        <v>116</v>
      </c>
      <c r="AA26" s="165">
        <v>0.015</v>
      </c>
      <c r="AB26" s="164" t="s">
        <v>116</v>
      </c>
      <c r="AC26" s="165">
        <v>0.028</v>
      </c>
      <c r="AD26" s="165">
        <v>0.0</v>
      </c>
      <c r="AE26" s="164" t="s">
        <v>116</v>
      </c>
      <c r="AF26" s="165">
        <v>0.024</v>
      </c>
      <c r="AG26" s="165">
        <v>0.0</v>
      </c>
      <c r="AH26" s="164" t="s">
        <v>116</v>
      </c>
      <c r="AI26" s="164" t="s">
        <v>116</v>
      </c>
      <c r="AJ26" s="165">
        <v>0.01</v>
      </c>
      <c r="AK26" s="165">
        <v>0.0</v>
      </c>
      <c r="AL26" s="165">
        <v>0.02</v>
      </c>
      <c r="AM26" s="165">
        <v>0.017</v>
      </c>
      <c r="AN26" s="165">
        <v>0.014</v>
      </c>
      <c r="AO26" s="165">
        <v>0.019</v>
      </c>
    </row>
    <row r="27">
      <c r="A27" s="161" t="s">
        <v>97</v>
      </c>
      <c r="B27" s="164" t="s">
        <v>116</v>
      </c>
      <c r="C27" s="165">
        <v>0.017</v>
      </c>
      <c r="D27" s="164" t="s">
        <v>116</v>
      </c>
      <c r="E27" s="165">
        <v>0.05</v>
      </c>
      <c r="F27" s="164" t="s">
        <v>116</v>
      </c>
      <c r="G27" s="165">
        <v>0.015</v>
      </c>
      <c r="H27" s="165">
        <v>0.019</v>
      </c>
      <c r="I27" s="164" t="s">
        <v>116</v>
      </c>
      <c r="J27" s="165">
        <v>0.016</v>
      </c>
      <c r="K27" s="165">
        <v>0.008</v>
      </c>
      <c r="L27" s="165">
        <v>0.0</v>
      </c>
      <c r="M27" s="165">
        <v>0.0</v>
      </c>
      <c r="N27" s="164" t="s">
        <v>116</v>
      </c>
      <c r="O27" s="164" t="s">
        <v>116</v>
      </c>
      <c r="P27" s="164" t="s">
        <v>116</v>
      </c>
      <c r="Q27" s="165">
        <v>0.014</v>
      </c>
      <c r="R27" s="165">
        <v>0.019</v>
      </c>
      <c r="S27" s="165">
        <v>0.0</v>
      </c>
      <c r="T27" s="165">
        <v>0.021</v>
      </c>
      <c r="U27" s="164" t="s">
        <v>116</v>
      </c>
      <c r="V27" s="164" t="s">
        <v>116</v>
      </c>
      <c r="W27" s="165">
        <v>0.017</v>
      </c>
      <c r="X27" s="165">
        <v>0.0</v>
      </c>
      <c r="Y27" s="165">
        <v>0.028</v>
      </c>
      <c r="Z27" s="165">
        <v>0.034</v>
      </c>
      <c r="AA27" s="165">
        <v>0.024</v>
      </c>
      <c r="AB27" s="164" t="s">
        <v>116</v>
      </c>
      <c r="AC27" s="165">
        <v>0.026</v>
      </c>
      <c r="AD27" s="165">
        <v>0.0</v>
      </c>
      <c r="AE27" s="164" t="s">
        <v>116</v>
      </c>
      <c r="AF27" s="165">
        <v>0.015</v>
      </c>
      <c r="AG27" s="164" t="s">
        <v>116</v>
      </c>
      <c r="AH27" s="164" t="s">
        <v>116</v>
      </c>
      <c r="AI27" s="164" t="s">
        <v>116</v>
      </c>
      <c r="AJ27" s="165">
        <v>0.014</v>
      </c>
      <c r="AK27" s="164" t="s">
        <v>116</v>
      </c>
      <c r="AL27" s="165">
        <v>0.026</v>
      </c>
      <c r="AM27" s="164" t="s">
        <v>116</v>
      </c>
      <c r="AN27" s="165">
        <v>0.021</v>
      </c>
      <c r="AO27" s="165">
        <v>0.018</v>
      </c>
    </row>
    <row r="28">
      <c r="A28" s="161" t="s">
        <v>98</v>
      </c>
      <c r="B28" s="164" t="s">
        <v>116</v>
      </c>
      <c r="C28" s="165">
        <v>0.023</v>
      </c>
      <c r="D28" s="164" t="s">
        <v>116</v>
      </c>
      <c r="E28" s="165">
        <v>0.065</v>
      </c>
      <c r="F28" s="164" t="s">
        <v>116</v>
      </c>
      <c r="G28" s="164" t="s">
        <v>116</v>
      </c>
      <c r="H28" s="165">
        <v>0.031</v>
      </c>
      <c r="I28" s="165">
        <v>0.023</v>
      </c>
      <c r="J28" s="164" t="s">
        <v>116</v>
      </c>
      <c r="K28" s="165">
        <v>0.02</v>
      </c>
      <c r="L28" s="165">
        <v>0.0</v>
      </c>
      <c r="M28" s="165">
        <v>0.0</v>
      </c>
      <c r="N28" s="165">
        <v>0.0</v>
      </c>
      <c r="O28" s="165">
        <v>0.0</v>
      </c>
      <c r="P28" s="165">
        <v>0.0</v>
      </c>
      <c r="Q28" s="165">
        <v>0.028</v>
      </c>
      <c r="R28" s="165">
        <v>0.017</v>
      </c>
      <c r="S28" s="164" t="s">
        <v>116</v>
      </c>
      <c r="T28" s="164" t="s">
        <v>116</v>
      </c>
      <c r="U28" s="164" t="s">
        <v>116</v>
      </c>
      <c r="V28" s="165">
        <v>0.0</v>
      </c>
      <c r="W28" s="164" t="s">
        <v>116</v>
      </c>
      <c r="X28" s="164" t="s">
        <v>116</v>
      </c>
      <c r="Y28" s="165">
        <v>0.027</v>
      </c>
      <c r="Z28" s="164" t="s">
        <v>116</v>
      </c>
      <c r="AA28" s="165">
        <v>0.044</v>
      </c>
      <c r="AB28" s="164" t="s">
        <v>116</v>
      </c>
      <c r="AC28" s="165">
        <v>0.034</v>
      </c>
      <c r="AD28" s="165">
        <v>0.0</v>
      </c>
      <c r="AE28" s="164" t="s">
        <v>116</v>
      </c>
      <c r="AF28" s="165">
        <v>0.042</v>
      </c>
      <c r="AG28" s="165">
        <v>0.0</v>
      </c>
      <c r="AH28" s="164" t="s">
        <v>116</v>
      </c>
      <c r="AI28" s="164" t="s">
        <v>116</v>
      </c>
      <c r="AJ28" s="165">
        <v>0.017</v>
      </c>
      <c r="AK28" s="165">
        <v>0.0</v>
      </c>
      <c r="AL28" s="165">
        <v>0.019</v>
      </c>
      <c r="AM28" s="164" t="s">
        <v>116</v>
      </c>
      <c r="AN28" s="165">
        <v>0.029</v>
      </c>
      <c r="AO28" s="165">
        <v>0.024</v>
      </c>
    </row>
    <row r="29">
      <c r="A29" s="166" t="s">
        <v>99</v>
      </c>
      <c r="B29" s="165">
        <v>0.0</v>
      </c>
      <c r="C29" s="165">
        <v>0.017</v>
      </c>
      <c r="D29" s="164" t="s">
        <v>116</v>
      </c>
      <c r="E29" s="165">
        <v>0.079</v>
      </c>
      <c r="F29" s="164" t="s">
        <v>116</v>
      </c>
      <c r="G29" s="165">
        <v>0.013</v>
      </c>
      <c r="H29" s="165">
        <v>0.029</v>
      </c>
      <c r="I29" s="165">
        <v>0.02</v>
      </c>
      <c r="J29" s="165">
        <v>0.011</v>
      </c>
      <c r="K29" s="165">
        <v>0.019</v>
      </c>
      <c r="L29" s="164" t="s">
        <v>116</v>
      </c>
      <c r="M29" s="165">
        <v>0.0</v>
      </c>
      <c r="N29" s="164" t="s">
        <v>116</v>
      </c>
      <c r="O29" s="164" t="s">
        <v>116</v>
      </c>
      <c r="P29" s="164" t="s">
        <v>116</v>
      </c>
      <c r="Q29" s="165">
        <v>0.036</v>
      </c>
      <c r="R29" s="165">
        <v>0.015</v>
      </c>
      <c r="S29" s="165">
        <v>0.0</v>
      </c>
      <c r="T29" s="164" t="s">
        <v>116</v>
      </c>
      <c r="U29" s="164" t="s">
        <v>116</v>
      </c>
      <c r="V29" s="164" t="s">
        <v>116</v>
      </c>
      <c r="W29" s="165">
        <v>0.013</v>
      </c>
      <c r="X29" s="165">
        <v>0.008</v>
      </c>
      <c r="Y29" s="165">
        <v>0.051</v>
      </c>
      <c r="Z29" s="164" t="s">
        <v>116</v>
      </c>
      <c r="AA29" s="165">
        <v>0.057</v>
      </c>
      <c r="AB29" s="164" t="s">
        <v>116</v>
      </c>
      <c r="AC29" s="165">
        <v>0.037</v>
      </c>
      <c r="AD29" s="165">
        <v>0.0</v>
      </c>
      <c r="AE29" s="164" t="s">
        <v>116</v>
      </c>
      <c r="AF29" s="165">
        <v>0.025</v>
      </c>
      <c r="AG29" s="165">
        <v>0.0</v>
      </c>
      <c r="AH29" s="164" t="s">
        <v>116</v>
      </c>
      <c r="AI29" s="165">
        <v>0.038</v>
      </c>
      <c r="AJ29" s="165">
        <v>0.023</v>
      </c>
      <c r="AK29" s="164" t="s">
        <v>116</v>
      </c>
      <c r="AL29" s="165">
        <v>0.017</v>
      </c>
      <c r="AM29" s="164" t="s">
        <v>116</v>
      </c>
      <c r="AN29" s="165">
        <v>0.023</v>
      </c>
      <c r="AO29" s="165">
        <v>0.027</v>
      </c>
    </row>
    <row r="30">
      <c r="A30" s="161" t="s">
        <v>100</v>
      </c>
      <c r="B30" s="164" t="s">
        <v>116</v>
      </c>
      <c r="C30" s="165">
        <v>0.012</v>
      </c>
      <c r="D30" s="165">
        <v>0.035</v>
      </c>
      <c r="E30" s="165">
        <v>0.075</v>
      </c>
      <c r="F30" s="164" t="s">
        <v>116</v>
      </c>
      <c r="G30" s="165">
        <v>0.008</v>
      </c>
      <c r="H30" s="165">
        <v>0.053</v>
      </c>
      <c r="I30" s="165">
        <v>0.017</v>
      </c>
      <c r="J30" s="165">
        <v>0.022</v>
      </c>
      <c r="K30" s="165">
        <v>0.012</v>
      </c>
      <c r="L30" s="164" t="s">
        <v>116</v>
      </c>
      <c r="M30" s="164" t="s">
        <v>116</v>
      </c>
      <c r="N30" s="164" t="s">
        <v>116</v>
      </c>
      <c r="O30" s="165">
        <v>0.0</v>
      </c>
      <c r="P30" s="164" t="s">
        <v>116</v>
      </c>
      <c r="Q30" s="165">
        <v>0.023</v>
      </c>
      <c r="R30" s="165">
        <v>0.041</v>
      </c>
      <c r="S30" s="165">
        <v>0.0</v>
      </c>
      <c r="T30" s="165">
        <v>0.018</v>
      </c>
      <c r="U30" s="165">
        <v>0.0</v>
      </c>
      <c r="V30" s="164" t="s">
        <v>116</v>
      </c>
      <c r="W30" s="165">
        <v>0.013</v>
      </c>
      <c r="X30" s="165">
        <v>0.011</v>
      </c>
      <c r="Y30" s="165">
        <v>0.055</v>
      </c>
      <c r="Z30" s="164" t="s">
        <v>116</v>
      </c>
      <c r="AA30" s="165">
        <v>0.058</v>
      </c>
      <c r="AB30" s="165">
        <v>0.0</v>
      </c>
      <c r="AC30" s="165">
        <v>0.041</v>
      </c>
      <c r="AD30" s="164" t="s">
        <v>116</v>
      </c>
      <c r="AE30" s="164" t="s">
        <v>116</v>
      </c>
      <c r="AF30" s="164" t="s">
        <v>116</v>
      </c>
      <c r="AG30" s="164" t="s">
        <v>116</v>
      </c>
      <c r="AH30" s="164" t="s">
        <v>116</v>
      </c>
      <c r="AI30" s="164" t="s">
        <v>116</v>
      </c>
      <c r="AJ30" s="165">
        <v>0.021</v>
      </c>
      <c r="AK30" s="164" t="s">
        <v>116</v>
      </c>
      <c r="AL30" s="165">
        <v>0.034</v>
      </c>
      <c r="AM30" s="164" t="s">
        <v>116</v>
      </c>
      <c r="AN30" s="165">
        <v>0.023</v>
      </c>
      <c r="AO30" s="165">
        <v>0.029</v>
      </c>
    </row>
    <row r="31">
      <c r="A31" s="167" t="s">
        <v>101</v>
      </c>
      <c r="B31" s="164" t="s">
        <v>116</v>
      </c>
      <c r="C31" s="165">
        <v>0.006</v>
      </c>
      <c r="D31" s="164" t="s">
        <v>116</v>
      </c>
      <c r="E31" s="165">
        <v>0.073</v>
      </c>
      <c r="F31" s="165">
        <v>0.0</v>
      </c>
      <c r="G31" s="165">
        <v>0.011</v>
      </c>
      <c r="H31" s="165">
        <v>0.061</v>
      </c>
      <c r="I31" s="165">
        <v>0.018</v>
      </c>
      <c r="J31" s="164" t="s">
        <v>116</v>
      </c>
      <c r="K31" s="165">
        <v>0.017</v>
      </c>
      <c r="L31" s="164" t="s">
        <v>116</v>
      </c>
      <c r="M31" s="164" t="s">
        <v>116</v>
      </c>
      <c r="N31" s="164" t="s">
        <v>116</v>
      </c>
      <c r="O31" s="164" t="s">
        <v>116</v>
      </c>
      <c r="P31" s="165">
        <v>0.0</v>
      </c>
      <c r="Q31" s="165">
        <v>0.032</v>
      </c>
      <c r="R31" s="165">
        <v>0.036</v>
      </c>
      <c r="S31" s="165">
        <v>0.0</v>
      </c>
      <c r="T31" s="164" t="s">
        <v>116</v>
      </c>
      <c r="U31" s="164" t="s">
        <v>116</v>
      </c>
      <c r="V31" s="164" t="s">
        <v>116</v>
      </c>
      <c r="W31" s="165">
        <v>0.008</v>
      </c>
      <c r="X31" s="165">
        <v>0.015</v>
      </c>
      <c r="Y31" s="165">
        <v>0.041</v>
      </c>
      <c r="Z31" s="164" t="s">
        <v>116</v>
      </c>
      <c r="AA31" s="165">
        <v>0.052</v>
      </c>
      <c r="AB31" s="164" t="s">
        <v>116</v>
      </c>
      <c r="AC31" s="165">
        <v>0.044</v>
      </c>
      <c r="AD31" s="164" t="s">
        <v>116</v>
      </c>
      <c r="AE31" s="165">
        <v>0.024</v>
      </c>
      <c r="AF31" s="165">
        <v>0.022</v>
      </c>
      <c r="AG31" s="164" t="s">
        <v>116</v>
      </c>
      <c r="AH31" s="165">
        <v>0.0</v>
      </c>
      <c r="AI31" s="165">
        <v>0.0</v>
      </c>
      <c r="AJ31" s="165">
        <v>0.021</v>
      </c>
      <c r="AK31" s="165">
        <v>0.0</v>
      </c>
      <c r="AL31" s="165">
        <v>0.021</v>
      </c>
      <c r="AM31" s="165">
        <v>0.013</v>
      </c>
      <c r="AN31" s="165">
        <v>0.027</v>
      </c>
      <c r="AO31" s="165">
        <v>0.026</v>
      </c>
    </row>
    <row r="32">
      <c r="A32" s="167" t="s">
        <v>102</v>
      </c>
      <c r="B32" s="164" t="s">
        <v>116</v>
      </c>
      <c r="C32" s="165">
        <v>0.007</v>
      </c>
      <c r="D32" s="164" t="s">
        <v>116</v>
      </c>
      <c r="E32" s="165">
        <v>0.067</v>
      </c>
      <c r="F32" s="164" t="s">
        <v>116</v>
      </c>
      <c r="G32" s="165">
        <v>0.011</v>
      </c>
      <c r="H32" s="165">
        <v>0.024</v>
      </c>
      <c r="I32" s="165">
        <v>0.02</v>
      </c>
      <c r="J32" s="165">
        <v>0.014</v>
      </c>
      <c r="K32" s="165">
        <v>0.013</v>
      </c>
      <c r="L32" s="164" t="s">
        <v>116</v>
      </c>
      <c r="M32" s="164" t="s">
        <v>116</v>
      </c>
      <c r="N32" s="164" t="s">
        <v>116</v>
      </c>
      <c r="O32" s="165">
        <v>0.0</v>
      </c>
      <c r="P32" s="164" t="s">
        <v>116</v>
      </c>
      <c r="Q32" s="165">
        <v>0.022</v>
      </c>
      <c r="R32" s="165">
        <v>0.015</v>
      </c>
      <c r="S32" s="165">
        <v>0.0</v>
      </c>
      <c r="T32" s="165">
        <v>0.0</v>
      </c>
      <c r="U32" s="165">
        <v>0.071</v>
      </c>
      <c r="V32" s="164" t="s">
        <v>116</v>
      </c>
      <c r="W32" s="164" t="s">
        <v>116</v>
      </c>
      <c r="X32" s="165">
        <v>0.023</v>
      </c>
      <c r="Y32" s="165">
        <v>0.027</v>
      </c>
      <c r="Z32" s="165">
        <v>0.0</v>
      </c>
      <c r="AA32" s="165">
        <v>0.034</v>
      </c>
      <c r="AB32" s="164" t="s">
        <v>116</v>
      </c>
      <c r="AC32" s="165">
        <v>0.047</v>
      </c>
      <c r="AD32" s="164" t="s">
        <v>116</v>
      </c>
      <c r="AE32" s="164" t="s">
        <v>116</v>
      </c>
      <c r="AF32" s="165">
        <v>0.024</v>
      </c>
      <c r="AG32" s="165">
        <v>0.032</v>
      </c>
      <c r="AH32" s="164" t="s">
        <v>116</v>
      </c>
      <c r="AI32" s="165">
        <v>0.0</v>
      </c>
      <c r="AJ32" s="165">
        <v>0.014</v>
      </c>
      <c r="AK32" s="164" t="s">
        <v>116</v>
      </c>
      <c r="AL32" s="165">
        <v>0.028</v>
      </c>
      <c r="AM32" s="165">
        <v>0.0</v>
      </c>
      <c r="AN32" s="165">
        <v>0.023</v>
      </c>
      <c r="AO32" s="165">
        <v>0.024</v>
      </c>
    </row>
    <row r="33">
      <c r="A33" s="167" t="s">
        <v>103</v>
      </c>
      <c r="B33" s="165">
        <v>0.0</v>
      </c>
      <c r="C33" s="165">
        <v>0.004</v>
      </c>
      <c r="D33" s="164" t="s">
        <v>116</v>
      </c>
      <c r="E33" s="165">
        <v>0.084</v>
      </c>
      <c r="F33" s="165">
        <v>0.0</v>
      </c>
      <c r="G33" s="165">
        <v>0.016</v>
      </c>
      <c r="H33" s="165">
        <v>0.036</v>
      </c>
      <c r="I33" s="165">
        <v>0.025</v>
      </c>
      <c r="J33" s="165">
        <v>0.022</v>
      </c>
      <c r="K33" s="165">
        <v>0.013</v>
      </c>
      <c r="L33" s="164" t="s">
        <v>116</v>
      </c>
      <c r="M33" s="164" t="s">
        <v>116</v>
      </c>
      <c r="N33" s="164" t="s">
        <v>116</v>
      </c>
      <c r="O33" s="164" t="s">
        <v>116</v>
      </c>
      <c r="P33" s="164" t="s">
        <v>116</v>
      </c>
      <c r="Q33" s="165">
        <v>0.048</v>
      </c>
      <c r="R33" s="165">
        <v>0.02</v>
      </c>
      <c r="S33" s="165">
        <v>0.0</v>
      </c>
      <c r="T33" s="165">
        <v>0.013</v>
      </c>
      <c r="U33" s="165">
        <v>0.028</v>
      </c>
      <c r="V33" s="165">
        <v>0.0</v>
      </c>
      <c r="W33" s="164" t="s">
        <v>116</v>
      </c>
      <c r="X33" s="165">
        <v>0.021</v>
      </c>
      <c r="Y33" s="165">
        <v>0.031</v>
      </c>
      <c r="Z33" s="164" t="s">
        <v>116</v>
      </c>
      <c r="AA33" s="165">
        <v>0.034</v>
      </c>
      <c r="AB33" s="164" t="s">
        <v>116</v>
      </c>
      <c r="AC33" s="165">
        <v>0.04</v>
      </c>
      <c r="AD33" s="165">
        <v>0.0</v>
      </c>
      <c r="AE33" s="164" t="s">
        <v>116</v>
      </c>
      <c r="AF33" s="165">
        <v>0.004</v>
      </c>
      <c r="AG33" s="165">
        <v>0.01</v>
      </c>
      <c r="AH33" s="165">
        <v>0.028</v>
      </c>
      <c r="AI33" s="164" t="s">
        <v>116</v>
      </c>
      <c r="AJ33" s="165">
        <v>0.024</v>
      </c>
      <c r="AK33" s="164" t="s">
        <v>116</v>
      </c>
      <c r="AL33" s="164" t="s">
        <v>116</v>
      </c>
      <c r="AM33" s="164" t="s">
        <v>116</v>
      </c>
      <c r="AN33" s="165">
        <v>0.02</v>
      </c>
      <c r="AO33" s="165">
        <v>0.021</v>
      </c>
    </row>
    <row r="34">
      <c r="A34" s="167" t="s">
        <v>104</v>
      </c>
      <c r="B34" s="164" t="s">
        <v>116</v>
      </c>
      <c r="C34" s="165">
        <v>0.001</v>
      </c>
      <c r="D34" s="164" t="s">
        <v>116</v>
      </c>
      <c r="E34" s="165">
        <v>0.048</v>
      </c>
      <c r="F34" s="164" t="s">
        <v>116</v>
      </c>
      <c r="G34" s="165">
        <v>0.013</v>
      </c>
      <c r="H34" s="165">
        <v>0.027</v>
      </c>
      <c r="I34" s="165">
        <v>0.014</v>
      </c>
      <c r="J34" s="165">
        <v>0.017</v>
      </c>
      <c r="K34" s="165">
        <v>0.005</v>
      </c>
      <c r="L34" s="165">
        <v>0.0</v>
      </c>
      <c r="M34" s="164" t="s">
        <v>116</v>
      </c>
      <c r="N34" s="164" t="s">
        <v>116</v>
      </c>
      <c r="O34" s="164" t="s">
        <v>116</v>
      </c>
      <c r="P34" s="165">
        <v>0.0</v>
      </c>
      <c r="Q34" s="165">
        <v>0.027</v>
      </c>
      <c r="R34" s="165">
        <v>0.017</v>
      </c>
      <c r="S34" s="165">
        <v>0.0</v>
      </c>
      <c r="T34" s="164" t="s">
        <v>116</v>
      </c>
      <c r="U34" s="165">
        <v>0.021</v>
      </c>
      <c r="V34" s="165">
        <v>0.0</v>
      </c>
      <c r="W34" s="165">
        <v>0.006</v>
      </c>
      <c r="X34" s="165">
        <v>0.012</v>
      </c>
      <c r="Y34" s="165">
        <v>0.025</v>
      </c>
      <c r="Z34" s="164" t="s">
        <v>116</v>
      </c>
      <c r="AA34" s="165">
        <v>0.025</v>
      </c>
      <c r="AB34" s="165">
        <v>0.02</v>
      </c>
      <c r="AC34" s="165">
        <v>0.027</v>
      </c>
      <c r="AD34" s="164" t="s">
        <v>116</v>
      </c>
      <c r="AE34" s="164" t="s">
        <v>116</v>
      </c>
      <c r="AF34" s="165">
        <v>0.002</v>
      </c>
      <c r="AG34" s="164" t="s">
        <v>116</v>
      </c>
      <c r="AH34" s="165">
        <v>0.022</v>
      </c>
      <c r="AI34" s="164" t="s">
        <v>116</v>
      </c>
      <c r="AJ34" s="165">
        <v>0.009</v>
      </c>
      <c r="AK34" s="164" t="s">
        <v>116</v>
      </c>
      <c r="AL34" s="165">
        <v>0.011</v>
      </c>
      <c r="AM34" s="164" t="s">
        <v>116</v>
      </c>
      <c r="AN34" s="165">
        <v>0.021</v>
      </c>
      <c r="AO34" s="165">
        <v>0.013</v>
      </c>
    </row>
    <row r="35">
      <c r="A35" s="167" t="s">
        <v>105</v>
      </c>
      <c r="B35" s="164" t="s">
        <v>116</v>
      </c>
      <c r="C35" s="164" t="s">
        <v>116</v>
      </c>
      <c r="D35" s="164" t="s">
        <v>116</v>
      </c>
      <c r="E35" s="165">
        <v>0.014</v>
      </c>
      <c r="F35" s="165">
        <v>0.0</v>
      </c>
      <c r="G35" s="164" t="s">
        <v>116</v>
      </c>
      <c r="H35" s="165">
        <v>0.021</v>
      </c>
      <c r="I35" s="165">
        <v>0.016</v>
      </c>
      <c r="J35" s="165">
        <v>0.0</v>
      </c>
      <c r="K35" s="165">
        <v>0.009</v>
      </c>
      <c r="L35" s="165">
        <v>0.0</v>
      </c>
      <c r="M35" s="164" t="s">
        <v>116</v>
      </c>
      <c r="N35" s="164" t="s">
        <v>116</v>
      </c>
      <c r="O35" s="165">
        <v>0.0</v>
      </c>
      <c r="P35" s="164" t="s">
        <v>116</v>
      </c>
      <c r="Q35" s="165">
        <v>0.023</v>
      </c>
      <c r="R35" s="165">
        <v>0.011</v>
      </c>
      <c r="S35" s="165">
        <v>0.0</v>
      </c>
      <c r="T35" s="164" t="s">
        <v>116</v>
      </c>
      <c r="U35" s="164" t="s">
        <v>116</v>
      </c>
      <c r="V35" s="165">
        <v>0.0</v>
      </c>
      <c r="W35" s="165">
        <v>0.005</v>
      </c>
      <c r="X35" s="165">
        <v>0.009</v>
      </c>
      <c r="Y35" s="165">
        <v>0.038</v>
      </c>
      <c r="Z35" s="164" t="s">
        <v>116</v>
      </c>
      <c r="AA35" s="165">
        <v>0.021</v>
      </c>
      <c r="AB35" s="164" t="s">
        <v>116</v>
      </c>
      <c r="AC35" s="165">
        <v>0.015</v>
      </c>
      <c r="AD35" s="165">
        <v>0.0</v>
      </c>
      <c r="AE35" s="164" t="s">
        <v>116</v>
      </c>
      <c r="AF35" s="165">
        <v>0.002</v>
      </c>
      <c r="AG35" s="165">
        <v>0.0</v>
      </c>
      <c r="AH35" s="165">
        <v>0.022</v>
      </c>
      <c r="AI35" s="164" t="s">
        <v>116</v>
      </c>
      <c r="AJ35" s="165">
        <v>0.017</v>
      </c>
      <c r="AK35" s="165">
        <v>0.0</v>
      </c>
      <c r="AL35" s="164" t="s">
        <v>116</v>
      </c>
      <c r="AM35" s="164" t="s">
        <v>116</v>
      </c>
      <c r="AN35" s="165">
        <v>0.011</v>
      </c>
      <c r="AO35" s="165">
        <v>0.01</v>
      </c>
    </row>
    <row r="36">
      <c r="A36" s="167" t="s">
        <v>106</v>
      </c>
      <c r="B36" s="165">
        <v>0.01</v>
      </c>
      <c r="C36" s="165">
        <v>0.001</v>
      </c>
      <c r="D36" s="165">
        <v>0.027</v>
      </c>
      <c r="E36" s="165">
        <v>0.054</v>
      </c>
      <c r="F36" s="164" t="s">
        <v>116</v>
      </c>
      <c r="G36" s="164" t="s">
        <v>116</v>
      </c>
      <c r="H36" s="165">
        <v>0.021</v>
      </c>
      <c r="I36" s="165">
        <v>0.04</v>
      </c>
      <c r="J36" s="164" t="s">
        <v>116</v>
      </c>
      <c r="K36" s="165">
        <v>0.015</v>
      </c>
      <c r="L36" s="165">
        <v>0.0</v>
      </c>
      <c r="M36" s="164" t="s">
        <v>116</v>
      </c>
      <c r="N36" s="165">
        <v>0.0</v>
      </c>
      <c r="O36" s="165">
        <v>0.0</v>
      </c>
      <c r="P36" s="165">
        <v>0.0</v>
      </c>
      <c r="Q36" s="165">
        <v>0.019</v>
      </c>
      <c r="R36" s="164" t="s">
        <v>116</v>
      </c>
      <c r="S36" s="165">
        <v>0.0</v>
      </c>
      <c r="T36" s="164" t="s">
        <v>116</v>
      </c>
      <c r="U36" s="165">
        <v>0.019</v>
      </c>
      <c r="V36" s="165">
        <v>0.0</v>
      </c>
      <c r="W36" s="165">
        <v>0.008</v>
      </c>
      <c r="X36" s="165">
        <v>0.013</v>
      </c>
      <c r="Y36" s="165">
        <v>0.018</v>
      </c>
      <c r="Z36" s="164" t="s">
        <v>116</v>
      </c>
      <c r="AA36" s="165">
        <v>0.033</v>
      </c>
      <c r="AB36" s="164" t="s">
        <v>116</v>
      </c>
      <c r="AC36" s="165">
        <v>0.014</v>
      </c>
      <c r="AD36" s="165">
        <v>0.0</v>
      </c>
      <c r="AE36" s="164" t="s">
        <v>116</v>
      </c>
      <c r="AF36" s="165">
        <v>0.002</v>
      </c>
      <c r="AG36" s="164" t="s">
        <v>116</v>
      </c>
      <c r="AH36" s="164" t="s">
        <v>116</v>
      </c>
      <c r="AI36" s="165">
        <v>0.0</v>
      </c>
      <c r="AJ36" s="165">
        <v>0.016</v>
      </c>
      <c r="AK36" s="164" t="s">
        <v>116</v>
      </c>
      <c r="AL36" s="165">
        <v>0.024</v>
      </c>
      <c r="AM36" s="165">
        <v>0.015</v>
      </c>
      <c r="AN36" s="165">
        <v>0.023</v>
      </c>
      <c r="AO36" s="165">
        <v>0.012</v>
      </c>
    </row>
    <row r="37">
      <c r="A37" s="167" t="s">
        <v>107</v>
      </c>
      <c r="B37" s="165">
        <v>0.009</v>
      </c>
      <c r="C37" s="165">
        <v>0.001</v>
      </c>
      <c r="D37" s="165">
        <v>0.032</v>
      </c>
      <c r="E37" s="165">
        <v>0.054</v>
      </c>
      <c r="F37" s="164" t="s">
        <v>116</v>
      </c>
      <c r="G37" s="165">
        <v>0.028</v>
      </c>
      <c r="H37" s="165">
        <v>0.022</v>
      </c>
      <c r="I37" s="165">
        <v>0.019</v>
      </c>
      <c r="J37" s="164" t="s">
        <v>116</v>
      </c>
      <c r="K37" s="165">
        <v>0.008</v>
      </c>
      <c r="L37" s="164" t="s">
        <v>116</v>
      </c>
      <c r="M37" s="165">
        <v>0.0</v>
      </c>
      <c r="N37" s="165">
        <v>0.0</v>
      </c>
      <c r="O37" s="165">
        <v>0.0</v>
      </c>
      <c r="P37" s="164" t="s">
        <v>116</v>
      </c>
      <c r="Q37" s="165">
        <v>0.031</v>
      </c>
      <c r="R37" s="165">
        <v>0.008</v>
      </c>
      <c r="S37" s="165">
        <v>0.0</v>
      </c>
      <c r="T37" s="165">
        <v>0.0</v>
      </c>
      <c r="U37" s="165">
        <v>0.094</v>
      </c>
      <c r="V37" s="165">
        <v>0.0</v>
      </c>
      <c r="W37" s="165">
        <v>0.009</v>
      </c>
      <c r="X37" s="165">
        <v>0.007</v>
      </c>
      <c r="Y37" s="165">
        <v>0.028</v>
      </c>
      <c r="Z37" s="165">
        <v>0.018</v>
      </c>
      <c r="AA37" s="165">
        <v>0.023</v>
      </c>
      <c r="AB37" s="164" t="s">
        <v>116</v>
      </c>
      <c r="AC37" s="165">
        <v>0.023</v>
      </c>
      <c r="AD37" s="165">
        <v>0.0</v>
      </c>
      <c r="AE37" s="164" t="s">
        <v>116</v>
      </c>
      <c r="AF37" s="165">
        <v>0.003</v>
      </c>
      <c r="AG37" s="165">
        <v>0.01</v>
      </c>
      <c r="AH37" s="165">
        <v>0.018</v>
      </c>
      <c r="AI37" s="164" t="s">
        <v>116</v>
      </c>
      <c r="AJ37" s="165">
        <v>0.02</v>
      </c>
      <c r="AK37" s="164" t="s">
        <v>116</v>
      </c>
      <c r="AL37" s="165">
        <v>0.017</v>
      </c>
      <c r="AM37" s="165">
        <v>0.019</v>
      </c>
      <c r="AN37" s="165">
        <v>0.017</v>
      </c>
      <c r="AO37" s="165">
        <v>0.015</v>
      </c>
    </row>
    <row r="38">
      <c r="A38" s="167" t="s">
        <v>108</v>
      </c>
      <c r="B38" s="164" t="s">
        <v>116</v>
      </c>
      <c r="C38" s="164" t="s">
        <v>116</v>
      </c>
      <c r="D38" s="165">
        <v>0.018</v>
      </c>
      <c r="E38" s="165">
        <v>0.069</v>
      </c>
      <c r="F38" s="164" t="s">
        <v>116</v>
      </c>
      <c r="G38" s="165">
        <v>0.007</v>
      </c>
      <c r="H38" s="165">
        <v>0.022</v>
      </c>
      <c r="I38" s="165">
        <v>0.014</v>
      </c>
      <c r="J38" s="164" t="s">
        <v>116</v>
      </c>
      <c r="K38" s="165">
        <v>0.006</v>
      </c>
      <c r="L38" s="164" t="s">
        <v>116</v>
      </c>
      <c r="M38" s="165">
        <v>0.0</v>
      </c>
      <c r="N38" s="164" t="s">
        <v>116</v>
      </c>
      <c r="O38" s="164" t="s">
        <v>116</v>
      </c>
      <c r="P38" s="164" t="s">
        <v>116</v>
      </c>
      <c r="Q38" s="165">
        <v>0.038</v>
      </c>
      <c r="R38" s="165">
        <v>0.021</v>
      </c>
      <c r="S38" s="165">
        <v>0.0</v>
      </c>
      <c r="T38" s="164" t="s">
        <v>116</v>
      </c>
      <c r="U38" s="165">
        <v>0.081</v>
      </c>
      <c r="V38" s="165">
        <v>0.0</v>
      </c>
      <c r="W38" s="164" t="s">
        <v>116</v>
      </c>
      <c r="X38" s="165">
        <v>0.006</v>
      </c>
      <c r="Y38" s="165">
        <v>0.023</v>
      </c>
      <c r="Z38" s="165">
        <v>0.02</v>
      </c>
      <c r="AA38" s="165">
        <v>0.039</v>
      </c>
      <c r="AB38" s="165">
        <v>0.0</v>
      </c>
      <c r="AC38" s="165">
        <v>0.017</v>
      </c>
      <c r="AD38" s="164" t="s">
        <v>116</v>
      </c>
      <c r="AE38" s="164" t="s">
        <v>116</v>
      </c>
      <c r="AF38" s="165">
        <v>0.003</v>
      </c>
      <c r="AG38" s="164" t="s">
        <v>116</v>
      </c>
      <c r="AH38" s="164" t="s">
        <v>116</v>
      </c>
      <c r="AI38" s="165">
        <v>0.025</v>
      </c>
      <c r="AJ38" s="165">
        <v>0.013</v>
      </c>
      <c r="AK38" s="164" t="s">
        <v>116</v>
      </c>
      <c r="AL38" s="165">
        <v>0.015</v>
      </c>
      <c r="AM38" s="165">
        <v>0.019</v>
      </c>
      <c r="AN38" s="165">
        <v>0.012</v>
      </c>
      <c r="AO38" s="165">
        <v>0.013</v>
      </c>
    </row>
    <row r="39">
      <c r="A39" s="167" t="s">
        <v>109</v>
      </c>
      <c r="B39" s="164" t="s">
        <v>116</v>
      </c>
      <c r="C39" s="165">
        <v>0.001</v>
      </c>
      <c r="D39" s="164" t="s">
        <v>116</v>
      </c>
      <c r="E39" s="165">
        <v>0.057</v>
      </c>
      <c r="F39" s="164" t="s">
        <v>116</v>
      </c>
      <c r="G39" s="165">
        <v>0.015</v>
      </c>
      <c r="H39" s="165">
        <v>0.03</v>
      </c>
      <c r="I39" s="165">
        <v>0.022</v>
      </c>
      <c r="J39" s="165">
        <v>0.017</v>
      </c>
      <c r="K39" s="165">
        <v>0.022</v>
      </c>
      <c r="L39" s="164" t="s">
        <v>116</v>
      </c>
      <c r="M39" s="164" t="s">
        <v>116</v>
      </c>
      <c r="N39" s="164" t="s">
        <v>116</v>
      </c>
      <c r="O39" s="165">
        <v>0.0</v>
      </c>
      <c r="P39" s="164" t="s">
        <v>116</v>
      </c>
      <c r="Q39" s="165">
        <v>0.03</v>
      </c>
      <c r="R39" s="165">
        <v>0.022</v>
      </c>
      <c r="S39" s="164" t="s">
        <v>116</v>
      </c>
      <c r="T39" s="164" t="s">
        <v>116</v>
      </c>
      <c r="U39" s="165">
        <v>0.092</v>
      </c>
      <c r="V39" s="165">
        <v>0.0</v>
      </c>
      <c r="W39" s="164" t="s">
        <v>116</v>
      </c>
      <c r="X39" s="165">
        <v>0.015</v>
      </c>
      <c r="Y39" s="165">
        <v>0.035</v>
      </c>
      <c r="Z39" s="165">
        <v>0.015</v>
      </c>
      <c r="AA39" s="165">
        <v>0.049</v>
      </c>
      <c r="AB39" s="165">
        <v>0.015</v>
      </c>
      <c r="AC39" s="165">
        <v>0.02</v>
      </c>
      <c r="AD39" s="165">
        <v>0.0</v>
      </c>
      <c r="AE39" s="164" t="s">
        <v>116</v>
      </c>
      <c r="AF39" s="165">
        <v>0.004</v>
      </c>
      <c r="AG39" s="165">
        <v>0.011</v>
      </c>
      <c r="AH39" s="164" t="s">
        <v>116</v>
      </c>
      <c r="AI39" s="165">
        <v>0.0</v>
      </c>
      <c r="AJ39" s="165">
        <v>0.021</v>
      </c>
      <c r="AK39" s="164" t="s">
        <v>116</v>
      </c>
      <c r="AL39" s="165">
        <v>0.022</v>
      </c>
      <c r="AM39" s="165">
        <v>0.021</v>
      </c>
      <c r="AN39" s="165">
        <v>0.026</v>
      </c>
      <c r="AO39" s="165">
        <v>0.018</v>
      </c>
    </row>
    <row r="40">
      <c r="A40" s="167" t="s">
        <v>110</v>
      </c>
      <c r="B40" s="165">
        <v>0.008</v>
      </c>
      <c r="C40" s="165">
        <v>0.002</v>
      </c>
      <c r="D40" s="165">
        <v>0.016</v>
      </c>
      <c r="E40" s="165">
        <v>0.081</v>
      </c>
      <c r="F40" s="164" t="s">
        <v>116</v>
      </c>
      <c r="G40" s="165">
        <v>0.019</v>
      </c>
      <c r="H40" s="165">
        <v>0.041</v>
      </c>
      <c r="I40" s="165">
        <v>0.026</v>
      </c>
      <c r="J40" s="165">
        <v>0.01</v>
      </c>
      <c r="K40" s="165">
        <v>0.021</v>
      </c>
      <c r="L40" s="165">
        <v>0.023</v>
      </c>
      <c r="M40" s="165">
        <v>0.032</v>
      </c>
      <c r="N40" s="164" t="s">
        <v>116</v>
      </c>
      <c r="O40" s="165">
        <v>0.0</v>
      </c>
      <c r="P40" s="165">
        <v>0.024</v>
      </c>
      <c r="Q40" s="165">
        <v>0.025</v>
      </c>
      <c r="R40" s="165">
        <v>0.021</v>
      </c>
      <c r="S40" s="164" t="s">
        <v>116</v>
      </c>
      <c r="T40" s="164" t="s">
        <v>116</v>
      </c>
      <c r="U40" s="165">
        <v>0.188</v>
      </c>
      <c r="V40" s="165">
        <v>0.0</v>
      </c>
      <c r="W40" s="165">
        <v>0.008</v>
      </c>
      <c r="X40" s="165">
        <v>0.016</v>
      </c>
      <c r="Y40" s="165">
        <v>0.042</v>
      </c>
      <c r="Z40" s="165">
        <v>0.021</v>
      </c>
      <c r="AA40" s="165">
        <v>0.048</v>
      </c>
      <c r="AB40" s="165">
        <v>0.01</v>
      </c>
      <c r="AC40" s="165">
        <v>0.019</v>
      </c>
      <c r="AD40" s="164" t="s">
        <v>116</v>
      </c>
      <c r="AE40" s="164" t="s">
        <v>116</v>
      </c>
      <c r="AF40" s="165">
        <v>0.003</v>
      </c>
      <c r="AG40" s="165">
        <v>0.017</v>
      </c>
      <c r="AH40" s="165">
        <v>0.039</v>
      </c>
      <c r="AI40" s="165">
        <v>0.019</v>
      </c>
      <c r="AJ40" s="165">
        <v>0.029</v>
      </c>
      <c r="AK40" s="165">
        <v>0.021</v>
      </c>
      <c r="AL40" s="165">
        <v>0.037</v>
      </c>
      <c r="AM40" s="165">
        <v>0.029</v>
      </c>
      <c r="AN40" s="165">
        <v>0.039</v>
      </c>
      <c r="AO40" s="165">
        <v>0.021</v>
      </c>
    </row>
    <row r="41">
      <c r="A41" s="167" t="s">
        <v>111</v>
      </c>
      <c r="B41" s="165">
        <v>0.009</v>
      </c>
      <c r="C41" s="165">
        <v>0.003</v>
      </c>
      <c r="D41" s="165">
        <v>0.03</v>
      </c>
      <c r="E41" s="165">
        <v>0.105</v>
      </c>
      <c r="F41" s="164" t="s">
        <v>116</v>
      </c>
      <c r="G41" s="165">
        <v>0.027</v>
      </c>
      <c r="H41" s="165">
        <v>0.056</v>
      </c>
      <c r="I41" s="165">
        <v>0.035</v>
      </c>
      <c r="J41" s="165">
        <v>0.017</v>
      </c>
      <c r="K41" s="165">
        <v>0.026</v>
      </c>
      <c r="L41" s="164" t="s">
        <v>116</v>
      </c>
      <c r="M41" s="164" t="s">
        <v>116</v>
      </c>
      <c r="N41" s="165">
        <v>0.0</v>
      </c>
      <c r="O41" s="165">
        <v>0.0</v>
      </c>
      <c r="P41" s="164" t="s">
        <v>116</v>
      </c>
      <c r="Q41" s="165">
        <v>0.05</v>
      </c>
      <c r="R41" s="165">
        <v>0.028</v>
      </c>
      <c r="S41" s="164" t="s">
        <v>116</v>
      </c>
      <c r="T41" s="164" t="s">
        <v>116</v>
      </c>
      <c r="U41" s="165">
        <v>0.08</v>
      </c>
      <c r="V41" s="164" t="s">
        <v>116</v>
      </c>
      <c r="W41" s="165">
        <v>0.013</v>
      </c>
      <c r="X41" s="165">
        <v>0.013</v>
      </c>
      <c r="Y41" s="165">
        <v>0.055</v>
      </c>
      <c r="Z41" s="165">
        <v>0.037</v>
      </c>
      <c r="AA41" s="165">
        <v>0.066</v>
      </c>
      <c r="AB41" s="165">
        <v>0.02</v>
      </c>
      <c r="AC41" s="165">
        <v>0.024</v>
      </c>
      <c r="AD41" s="164" t="s">
        <v>116</v>
      </c>
      <c r="AE41" s="164" t="s">
        <v>116</v>
      </c>
      <c r="AF41" s="165">
        <v>0.006</v>
      </c>
      <c r="AG41" s="165">
        <v>0.009</v>
      </c>
      <c r="AH41" s="165">
        <v>0.034</v>
      </c>
      <c r="AI41" s="164" t="s">
        <v>116</v>
      </c>
      <c r="AJ41" s="165">
        <v>0.023</v>
      </c>
      <c r="AK41" s="165">
        <v>0.048</v>
      </c>
      <c r="AL41" s="165">
        <v>0.031</v>
      </c>
      <c r="AM41" s="165">
        <v>0.019</v>
      </c>
      <c r="AN41" s="165">
        <v>0.041</v>
      </c>
      <c r="AO41" s="165">
        <v>0.025</v>
      </c>
    </row>
    <row r="42">
      <c r="A42" s="167" t="s">
        <v>112</v>
      </c>
      <c r="B42" s="165">
        <v>0.026</v>
      </c>
      <c r="C42" s="165">
        <v>0.004</v>
      </c>
      <c r="D42" s="165">
        <v>0.035</v>
      </c>
      <c r="E42" s="165">
        <v>0.108</v>
      </c>
      <c r="F42" s="164" t="s">
        <v>116</v>
      </c>
      <c r="G42" s="165">
        <v>0.039</v>
      </c>
      <c r="H42" s="165">
        <v>0.07</v>
      </c>
      <c r="I42" s="165">
        <v>0.041</v>
      </c>
      <c r="J42" s="165">
        <v>0.042</v>
      </c>
      <c r="K42" s="165">
        <v>0.038</v>
      </c>
      <c r="L42" s="164" t="s">
        <v>116</v>
      </c>
      <c r="M42" s="164" t="s">
        <v>116</v>
      </c>
      <c r="N42" s="165">
        <v>0.065</v>
      </c>
      <c r="O42" s="164" t="s">
        <v>116</v>
      </c>
      <c r="P42" s="165">
        <v>0.0</v>
      </c>
      <c r="Q42" s="165">
        <v>0.068</v>
      </c>
      <c r="R42" s="165">
        <v>0.042</v>
      </c>
      <c r="S42" s="164" t="s">
        <v>116</v>
      </c>
      <c r="T42" s="165">
        <v>0.011</v>
      </c>
      <c r="U42" s="165">
        <v>0.069</v>
      </c>
      <c r="V42" s="165">
        <v>0.0</v>
      </c>
      <c r="W42" s="165">
        <v>0.012</v>
      </c>
      <c r="X42" s="165">
        <v>0.022</v>
      </c>
      <c r="Y42" s="165">
        <v>0.064</v>
      </c>
      <c r="Z42" s="165">
        <v>0.047</v>
      </c>
      <c r="AA42" s="165">
        <v>0.082</v>
      </c>
      <c r="AB42" s="165">
        <v>0.011</v>
      </c>
      <c r="AC42" s="165">
        <v>0.036</v>
      </c>
      <c r="AD42" s="164" t="s">
        <v>116</v>
      </c>
      <c r="AE42" s="165">
        <v>0.023</v>
      </c>
      <c r="AF42" s="165">
        <v>0.009</v>
      </c>
      <c r="AG42" s="165">
        <v>0.011</v>
      </c>
      <c r="AH42" s="165">
        <v>0.029</v>
      </c>
      <c r="AI42" s="165">
        <v>0.029</v>
      </c>
      <c r="AJ42" s="165">
        <v>0.048</v>
      </c>
      <c r="AK42" s="165">
        <v>0.075</v>
      </c>
      <c r="AL42" s="165">
        <v>0.057</v>
      </c>
      <c r="AM42" s="165">
        <v>0.016</v>
      </c>
      <c r="AN42" s="165">
        <v>0.047</v>
      </c>
      <c r="AO42" s="165">
        <v>0.035</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225</v>
      </c>
      <c r="B1" s="169" t="s">
        <v>226</v>
      </c>
      <c r="C1" s="170" t="s">
        <v>124</v>
      </c>
      <c r="D1" s="170" t="s">
        <v>125</v>
      </c>
      <c r="E1" s="170" t="s">
        <v>126</v>
      </c>
      <c r="F1" s="170" t="s">
        <v>127</v>
      </c>
      <c r="G1" s="170" t="s">
        <v>25</v>
      </c>
      <c r="H1" s="170" t="s">
        <v>128</v>
      </c>
    </row>
    <row r="2" ht="14.25" customHeight="1">
      <c r="A2" s="171" t="s">
        <v>129</v>
      </c>
      <c r="B2" s="169" t="s">
        <v>174</v>
      </c>
      <c r="C2" s="172">
        <f>Municipality!B2</f>
        <v>121</v>
      </c>
      <c r="D2" s="172">
        <f>Municipality!C2</f>
        <v>748</v>
      </c>
      <c r="E2" s="172">
        <f>Municipality!D2</f>
        <v>11</v>
      </c>
      <c r="F2" s="172">
        <f>Municipality!E2</f>
        <v>68</v>
      </c>
      <c r="G2" s="172">
        <f>Municipality!F2</f>
        <v>0</v>
      </c>
      <c r="H2" s="172">
        <f>Municipality!G2</f>
        <v>0</v>
      </c>
    </row>
    <row r="3" ht="14.25" customHeight="1">
      <c r="A3" s="171" t="s">
        <v>130</v>
      </c>
      <c r="B3" s="169" t="s">
        <v>175</v>
      </c>
      <c r="C3" s="172">
        <f>Municipality!B3</f>
        <v>289</v>
      </c>
      <c r="D3" s="172">
        <f>Municipality!C3</f>
        <v>1300</v>
      </c>
      <c r="E3" s="172">
        <f>Municipality!D3</f>
        <v>18</v>
      </c>
      <c r="F3" s="172">
        <f>Municipality!E3</f>
        <v>81</v>
      </c>
      <c r="G3" s="172">
        <f>Municipality!F3</f>
        <v>9</v>
      </c>
      <c r="H3" s="172">
        <f>Municipality!G3</f>
        <v>40</v>
      </c>
    </row>
    <row r="4" ht="14.25" customHeight="1">
      <c r="A4" s="171" t="s">
        <v>131</v>
      </c>
      <c r="B4" s="169" t="s">
        <v>176</v>
      </c>
      <c r="C4" s="172">
        <f>Municipality!B4</f>
        <v>214</v>
      </c>
      <c r="D4" s="172">
        <f>Municipality!C4</f>
        <v>1301</v>
      </c>
      <c r="E4" s="172">
        <f>Municipality!D4</f>
        <v>22</v>
      </c>
      <c r="F4" s="172">
        <f>Municipality!E4</f>
        <v>134</v>
      </c>
      <c r="G4" s="172">
        <f>Municipality!F4</f>
        <v>22</v>
      </c>
      <c r="H4" s="172">
        <f>Municipality!G4</f>
        <v>134</v>
      </c>
    </row>
    <row r="5" ht="14.25" customHeight="1">
      <c r="A5" s="171" t="s">
        <v>132</v>
      </c>
      <c r="B5" s="169" t="s">
        <v>177</v>
      </c>
      <c r="C5" s="172">
        <f>Municipality!B5</f>
        <v>1641</v>
      </c>
      <c r="D5" s="172">
        <f>Municipality!C5</f>
        <v>8467</v>
      </c>
      <c r="E5" s="172">
        <f>Municipality!D5</f>
        <v>112</v>
      </c>
      <c r="F5" s="172">
        <f>Municipality!E5</f>
        <v>578</v>
      </c>
      <c r="G5" s="172">
        <f>Municipality!F5</f>
        <v>12</v>
      </c>
      <c r="H5" s="172">
        <f>Municipality!G5</f>
        <v>62</v>
      </c>
    </row>
    <row r="6" ht="14.25" customHeight="1">
      <c r="A6" s="171" t="s">
        <v>133</v>
      </c>
      <c r="B6" s="169" t="s">
        <v>178</v>
      </c>
      <c r="C6" s="172">
        <f>Municipality!B6</f>
        <v>51</v>
      </c>
      <c r="D6" s="172">
        <f>Municipality!C6</f>
        <v>656</v>
      </c>
      <c r="E6" s="172">
        <f>Municipality!D6</f>
        <v>5</v>
      </c>
      <c r="F6" s="172">
        <f>Municipality!E6</f>
        <v>64</v>
      </c>
      <c r="G6" s="172" t="str">
        <f>Municipality!F6</f>
        <v>&lt;5</v>
      </c>
      <c r="H6" s="172" t="str">
        <f>Municipality!G6</f>
        <v>--</v>
      </c>
    </row>
    <row r="7" ht="14.25" customHeight="1">
      <c r="A7" s="171" t="s">
        <v>134</v>
      </c>
      <c r="B7" s="169" t="s">
        <v>179</v>
      </c>
      <c r="C7" s="172">
        <f>Municipality!B7</f>
        <v>482</v>
      </c>
      <c r="D7" s="172">
        <f>Municipality!C7</f>
        <v>1394</v>
      </c>
      <c r="E7" s="172">
        <f>Municipality!D7</f>
        <v>48</v>
      </c>
      <c r="F7" s="172">
        <f>Municipality!E7</f>
        <v>139</v>
      </c>
      <c r="G7" s="172">
        <f>Municipality!F7</f>
        <v>20</v>
      </c>
      <c r="H7" s="172">
        <f>Municipality!G7</f>
        <v>58</v>
      </c>
    </row>
    <row r="8" ht="14.25" customHeight="1">
      <c r="A8" s="171" t="s">
        <v>135</v>
      </c>
      <c r="B8" s="169" t="s">
        <v>180</v>
      </c>
      <c r="C8" s="172">
        <f>Municipality!B8</f>
        <v>2130</v>
      </c>
      <c r="D8" s="172">
        <f>Municipality!C8</f>
        <v>2623</v>
      </c>
      <c r="E8" s="172">
        <f>Municipality!D8</f>
        <v>197</v>
      </c>
      <c r="F8" s="172">
        <f>Municipality!E8</f>
        <v>243</v>
      </c>
      <c r="G8" s="172">
        <f>Municipality!F8</f>
        <v>33</v>
      </c>
      <c r="H8" s="172">
        <f>Municipality!G8</f>
        <v>41</v>
      </c>
    </row>
    <row r="9" ht="14.25" customHeight="1">
      <c r="A9" s="171" t="s">
        <v>136</v>
      </c>
      <c r="B9" s="169" t="s">
        <v>181</v>
      </c>
      <c r="C9" s="172">
        <f>Municipality!B9</f>
        <v>672</v>
      </c>
      <c r="D9" s="172">
        <f>Municipality!C9</f>
        <v>1939</v>
      </c>
      <c r="E9" s="172">
        <f>Municipality!D9</f>
        <v>74</v>
      </c>
      <c r="F9" s="172">
        <f>Municipality!E9</f>
        <v>214</v>
      </c>
      <c r="G9" s="172">
        <f>Municipality!F9</f>
        <v>38</v>
      </c>
      <c r="H9" s="172">
        <f>Municipality!G9</f>
        <v>110</v>
      </c>
    </row>
    <row r="10" ht="14.25" customHeight="1">
      <c r="A10" s="171" t="s">
        <v>137</v>
      </c>
      <c r="B10" s="169" t="s">
        <v>182</v>
      </c>
      <c r="C10" s="172">
        <f>Municipality!B10</f>
        <v>208</v>
      </c>
      <c r="D10" s="172">
        <f>Municipality!C10</f>
        <v>1591</v>
      </c>
      <c r="E10" s="172">
        <f>Municipality!D10</f>
        <v>13</v>
      </c>
      <c r="F10" s="172">
        <f>Municipality!E10</f>
        <v>99</v>
      </c>
      <c r="G10" s="172" t="str">
        <f>Municipality!F10</f>
        <v>&lt;5</v>
      </c>
      <c r="H10" s="172" t="str">
        <f>Municipality!G10</f>
        <v>--</v>
      </c>
    </row>
    <row r="11" ht="14.25" customHeight="1">
      <c r="A11" s="171" t="s">
        <v>138</v>
      </c>
      <c r="B11" s="169" t="s">
        <v>183</v>
      </c>
      <c r="C11" s="172">
        <f>Municipality!B11</f>
        <v>1090</v>
      </c>
      <c r="D11" s="172">
        <f>Municipality!C11</f>
        <v>2297</v>
      </c>
      <c r="E11" s="172">
        <f>Municipality!D11</f>
        <v>105</v>
      </c>
      <c r="F11" s="172">
        <f>Municipality!E11</f>
        <v>221</v>
      </c>
      <c r="G11" s="172">
        <f>Municipality!F11</f>
        <v>113</v>
      </c>
      <c r="H11" s="172">
        <f>Municipality!G11</f>
        <v>238</v>
      </c>
    </row>
    <row r="12" ht="14.25" customHeight="1">
      <c r="A12" s="171" t="s">
        <v>139</v>
      </c>
      <c r="B12" s="169" t="s">
        <v>184</v>
      </c>
      <c r="C12" s="172">
        <f>Municipality!B12</f>
        <v>63</v>
      </c>
      <c r="D12" s="172">
        <f>Municipality!C12</f>
        <v>929</v>
      </c>
      <c r="E12" s="172">
        <f>Municipality!D12</f>
        <v>8</v>
      </c>
      <c r="F12" s="172">
        <f>Municipality!E12</f>
        <v>118</v>
      </c>
      <c r="G12" s="172" t="str">
        <f>Municipality!F12</f>
        <v>&lt;5</v>
      </c>
      <c r="H12" s="172" t="str">
        <f>Municipality!G12</f>
        <v>--</v>
      </c>
    </row>
    <row r="13" ht="14.25" customHeight="1">
      <c r="A13" s="171" t="s">
        <v>140</v>
      </c>
      <c r="B13" s="169" t="s">
        <v>185</v>
      </c>
      <c r="C13" s="172">
        <f>Municipality!B13</f>
        <v>48</v>
      </c>
      <c r="D13" s="172">
        <f>Municipality!C13</f>
        <v>1024</v>
      </c>
      <c r="E13" s="172" t="str">
        <f>Municipality!D13</f>
        <v>&lt;5</v>
      </c>
      <c r="F13" s="172" t="str">
        <f>Municipality!E13</f>
        <v>--</v>
      </c>
      <c r="G13" s="172">
        <f>Municipality!F13</f>
        <v>0</v>
      </c>
      <c r="H13" s="172">
        <f>Municipality!G13</f>
        <v>0</v>
      </c>
    </row>
    <row r="14" ht="14.25" customHeight="1">
      <c r="A14" s="171" t="s">
        <v>141</v>
      </c>
      <c r="B14" s="169" t="s">
        <v>186</v>
      </c>
      <c r="C14" s="172">
        <f>Municipality!B14</f>
        <v>92</v>
      </c>
      <c r="D14" s="172">
        <f>Municipality!C14</f>
        <v>914</v>
      </c>
      <c r="E14" s="172">
        <f>Municipality!D14</f>
        <v>7</v>
      </c>
      <c r="F14" s="172">
        <f>Municipality!E14</f>
        <v>70</v>
      </c>
      <c r="G14" s="172">
        <f>Municipality!F14</f>
        <v>0</v>
      </c>
      <c r="H14" s="172">
        <f>Municipality!G14</f>
        <v>0</v>
      </c>
    </row>
    <row r="15" ht="14.25" customHeight="1">
      <c r="A15" s="171" t="s">
        <v>142</v>
      </c>
      <c r="B15" s="169" t="s">
        <v>187</v>
      </c>
      <c r="C15" s="172">
        <f>Municipality!B15</f>
        <v>24</v>
      </c>
      <c r="D15" s="172">
        <f>Municipality!C15</f>
        <v>296</v>
      </c>
      <c r="E15" s="172" t="str">
        <f>Municipality!D15</f>
        <v>&lt;5</v>
      </c>
      <c r="F15" s="172" t="str">
        <f>Municipality!E15</f>
        <v>--</v>
      </c>
      <c r="G15" s="172" t="str">
        <f>Municipality!F15</f>
        <v>&lt;5</v>
      </c>
      <c r="H15" s="172" t="str">
        <f>Municipality!G15</f>
        <v>--</v>
      </c>
    </row>
    <row r="16" ht="14.25" customHeight="1">
      <c r="A16" s="171" t="s">
        <v>143</v>
      </c>
      <c r="B16" s="169" t="s">
        <v>188</v>
      </c>
      <c r="C16" s="172">
        <f>Municipality!B16</f>
        <v>42</v>
      </c>
      <c r="D16" s="172">
        <f>Municipality!C16</f>
        <v>764</v>
      </c>
      <c r="E16" s="172" t="str">
        <f>Municipality!D16</f>
        <v>&lt;5</v>
      </c>
      <c r="F16" s="172" t="str">
        <f>Municipality!E16</f>
        <v>--</v>
      </c>
      <c r="G16" s="172">
        <f>Municipality!F16</f>
        <v>0</v>
      </c>
      <c r="H16" s="172">
        <f>Municipality!G16</f>
        <v>0</v>
      </c>
    </row>
    <row r="17" ht="14.25" customHeight="1">
      <c r="A17" s="171" t="s">
        <v>144</v>
      </c>
      <c r="B17" s="169" t="s">
        <v>189</v>
      </c>
      <c r="C17" s="172">
        <f>Municipality!B17</f>
        <v>902</v>
      </c>
      <c r="D17" s="172">
        <f>Municipality!C17</f>
        <v>3085</v>
      </c>
      <c r="E17" s="172">
        <f>Municipality!D17</f>
        <v>88</v>
      </c>
      <c r="F17" s="172">
        <f>Municipality!E17</f>
        <v>301</v>
      </c>
      <c r="G17" s="172">
        <f>Municipality!F17</f>
        <v>90</v>
      </c>
      <c r="H17" s="172">
        <f>Municipality!G17</f>
        <v>308</v>
      </c>
    </row>
    <row r="18" ht="14.25" customHeight="1">
      <c r="A18" s="171" t="s">
        <v>145</v>
      </c>
      <c r="B18" s="169" t="s">
        <v>190</v>
      </c>
      <c r="C18" s="172">
        <f>Municipality!B18</f>
        <v>472</v>
      </c>
      <c r="D18" s="172">
        <f>Municipality!C18</f>
        <v>2181</v>
      </c>
      <c r="E18" s="172">
        <f>Municipality!D18</f>
        <v>43</v>
      </c>
      <c r="F18" s="172">
        <f>Municipality!E18</f>
        <v>199</v>
      </c>
      <c r="G18" s="172">
        <f>Municipality!F18</f>
        <v>37</v>
      </c>
      <c r="H18" s="172">
        <f>Municipality!G18</f>
        <v>171</v>
      </c>
    </row>
    <row r="19" ht="14.25" customHeight="1">
      <c r="A19" s="171" t="s">
        <v>146</v>
      </c>
      <c r="B19" s="169" t="s">
        <v>191</v>
      </c>
      <c r="C19" s="172">
        <f>Municipality!B19</f>
        <v>22</v>
      </c>
      <c r="D19" s="172">
        <f>Municipality!C19</f>
        <v>628</v>
      </c>
      <c r="E19" s="172">
        <f>Municipality!D19</f>
        <v>0</v>
      </c>
      <c r="F19" s="172">
        <f>Municipality!E19</f>
        <v>0</v>
      </c>
      <c r="G19" s="172" t="str">
        <f>Municipality!F19</f>
        <v>&lt;5</v>
      </c>
      <c r="H19" s="172" t="str">
        <f>Municipality!G19</f>
        <v>--</v>
      </c>
    </row>
    <row r="20" ht="14.25" customHeight="1">
      <c r="A20" s="171" t="s">
        <v>147</v>
      </c>
      <c r="B20" s="169" t="s">
        <v>192</v>
      </c>
      <c r="C20" s="172">
        <f>Municipality!B20</f>
        <v>101</v>
      </c>
      <c r="D20" s="172">
        <f>Municipality!C20</f>
        <v>628</v>
      </c>
      <c r="E20" s="172">
        <f>Municipality!D20</f>
        <v>8</v>
      </c>
      <c r="F20" s="172">
        <f>Municipality!E20</f>
        <v>50</v>
      </c>
      <c r="G20" s="172" t="str">
        <f>Municipality!F20</f>
        <v>&lt;5</v>
      </c>
      <c r="H20" s="172" t="str">
        <f>Municipality!G20</f>
        <v>--</v>
      </c>
    </row>
    <row r="21" ht="14.25" customHeight="1">
      <c r="A21" s="171" t="s">
        <v>148</v>
      </c>
      <c r="B21" s="169" t="s">
        <v>193</v>
      </c>
      <c r="C21" s="172">
        <f>Municipality!B21</f>
        <v>362</v>
      </c>
      <c r="D21" s="172">
        <f>Municipality!C21</f>
        <v>2328</v>
      </c>
      <c r="E21" s="172">
        <f>Municipality!D21</f>
        <v>9</v>
      </c>
      <c r="F21" s="172">
        <f>Municipality!E21</f>
        <v>58</v>
      </c>
      <c r="G21" s="172">
        <f>Municipality!F21</f>
        <v>0</v>
      </c>
      <c r="H21" s="172">
        <f>Municipality!G21</f>
        <v>0</v>
      </c>
    </row>
    <row r="22" ht="14.25" customHeight="1">
      <c r="A22" s="171" t="s">
        <v>149</v>
      </c>
      <c r="B22" s="169" t="s">
        <v>194</v>
      </c>
      <c r="C22" s="172">
        <f>Municipality!B22</f>
        <v>7</v>
      </c>
      <c r="D22" s="172">
        <f>Municipality!C22</f>
        <v>846</v>
      </c>
      <c r="E22" s="172">
        <f>Municipality!D22</f>
        <v>0</v>
      </c>
      <c r="F22" s="172">
        <f>Municipality!E22</f>
        <v>0</v>
      </c>
      <c r="G22" s="172">
        <f>Municipality!F22</f>
        <v>0</v>
      </c>
      <c r="H22" s="172">
        <f>Municipality!G22</f>
        <v>0</v>
      </c>
    </row>
    <row r="23" ht="14.25" customHeight="1">
      <c r="A23" s="171" t="s">
        <v>150</v>
      </c>
      <c r="B23" s="169" t="s">
        <v>195</v>
      </c>
      <c r="C23" s="172">
        <f>Municipality!B23</f>
        <v>222</v>
      </c>
      <c r="D23" s="172">
        <f>Municipality!C23</f>
        <v>897</v>
      </c>
      <c r="E23" s="172">
        <f>Municipality!D23</f>
        <v>18</v>
      </c>
      <c r="F23" s="172">
        <f>Municipality!E23</f>
        <v>73</v>
      </c>
      <c r="G23" s="172" t="str">
        <f>Municipality!F23</f>
        <v>&lt;5</v>
      </c>
      <c r="H23" s="172" t="str">
        <f>Municipality!G23</f>
        <v>--</v>
      </c>
    </row>
    <row r="24" ht="14.25" customHeight="1">
      <c r="A24" s="171" t="s">
        <v>151</v>
      </c>
      <c r="B24" s="169" t="s">
        <v>196</v>
      </c>
      <c r="C24" s="172">
        <f>Municipality!B24</f>
        <v>394</v>
      </c>
      <c r="D24" s="172">
        <f>Municipality!C24</f>
        <v>1503</v>
      </c>
      <c r="E24" s="172">
        <f>Municipality!D24</f>
        <v>38</v>
      </c>
      <c r="F24" s="172">
        <f>Municipality!E24</f>
        <v>145</v>
      </c>
      <c r="G24" s="172">
        <f>Municipality!F24</f>
        <v>53</v>
      </c>
      <c r="H24" s="172">
        <f>Municipality!G24</f>
        <v>202</v>
      </c>
    </row>
    <row r="25" ht="15.75" customHeight="1">
      <c r="A25" s="171" t="s">
        <v>152</v>
      </c>
      <c r="B25" s="169" t="s">
        <v>197</v>
      </c>
      <c r="C25" s="172">
        <f>Municipality!B25</f>
        <v>1246</v>
      </c>
      <c r="D25" s="172">
        <f>Municipality!C25</f>
        <v>3839</v>
      </c>
      <c r="E25" s="172">
        <f>Municipality!D25</f>
        <v>137</v>
      </c>
      <c r="F25" s="172">
        <f>Municipality!E25</f>
        <v>422</v>
      </c>
      <c r="G25" s="172">
        <f>Municipality!F25</f>
        <v>81</v>
      </c>
      <c r="H25" s="172">
        <f>Municipality!G25</f>
        <v>250</v>
      </c>
    </row>
    <row r="26" ht="14.25" customHeight="1">
      <c r="A26" s="171" t="s">
        <v>153</v>
      </c>
      <c r="B26" s="169" t="s">
        <v>198</v>
      </c>
      <c r="C26" s="172">
        <f>Municipality!B26</f>
        <v>226</v>
      </c>
      <c r="D26" s="172">
        <f>Municipality!C26</f>
        <v>1830</v>
      </c>
      <c r="E26" s="172">
        <f>Municipality!D26</f>
        <v>22</v>
      </c>
      <c r="F26" s="172">
        <f>Municipality!E26</f>
        <v>178</v>
      </c>
      <c r="G26" s="172">
        <f>Municipality!F26</f>
        <v>28</v>
      </c>
      <c r="H26" s="172">
        <f>Municipality!G26</f>
        <v>227</v>
      </c>
    </row>
    <row r="27" ht="14.25" customHeight="1">
      <c r="A27" s="171" t="s">
        <v>154</v>
      </c>
      <c r="B27" s="169" t="s">
        <v>199</v>
      </c>
      <c r="C27" s="172">
        <f>Municipality!B27</f>
        <v>3060</v>
      </c>
      <c r="D27" s="172">
        <f>Municipality!C27</f>
        <v>4264</v>
      </c>
      <c r="E27" s="172">
        <f>Municipality!D27</f>
        <v>243</v>
      </c>
      <c r="F27" s="172">
        <f>Municipality!E27</f>
        <v>339</v>
      </c>
      <c r="G27" s="172">
        <f>Municipality!F27</f>
        <v>54</v>
      </c>
      <c r="H27" s="172">
        <f>Municipality!G27</f>
        <v>75</v>
      </c>
    </row>
    <row r="28" ht="14.25" customHeight="1">
      <c r="A28" s="171" t="s">
        <v>155</v>
      </c>
      <c r="B28" s="169" t="s">
        <v>200</v>
      </c>
      <c r="C28" s="172">
        <f>Municipality!B28</f>
        <v>109</v>
      </c>
      <c r="D28" s="172">
        <f>Municipality!C28</f>
        <v>626</v>
      </c>
      <c r="E28" s="172" t="str">
        <f>Municipality!D28</f>
        <v>&lt;5</v>
      </c>
      <c r="F28" s="172" t="str">
        <f>Municipality!E28</f>
        <v>--</v>
      </c>
      <c r="G28" s="172">
        <f>Municipality!F28</f>
        <v>0</v>
      </c>
      <c r="H28" s="172">
        <f>Municipality!G28</f>
        <v>0</v>
      </c>
    </row>
    <row r="29" ht="14.25" customHeight="1">
      <c r="A29" s="171" t="s">
        <v>156</v>
      </c>
      <c r="B29" s="169" t="s">
        <v>201</v>
      </c>
      <c r="C29" s="172">
        <f>Municipality!B29</f>
        <v>9901</v>
      </c>
      <c r="D29" s="172">
        <f>Municipality!C29</f>
        <v>5518</v>
      </c>
      <c r="E29" s="172">
        <f>Municipality!D29</f>
        <v>982</v>
      </c>
      <c r="F29" s="172">
        <f>Municipality!E29</f>
        <v>547</v>
      </c>
      <c r="G29" s="172">
        <f>Municipality!F29</f>
        <v>301</v>
      </c>
      <c r="H29" s="172">
        <f>Municipality!G29</f>
        <v>168</v>
      </c>
    </row>
    <row r="30" ht="14.25" customHeight="1">
      <c r="A30" s="171" t="s">
        <v>157</v>
      </c>
      <c r="B30" s="169" t="s">
        <v>202</v>
      </c>
      <c r="C30" s="172">
        <f>Municipality!B30</f>
        <v>42</v>
      </c>
      <c r="D30" s="172">
        <f>Municipality!C30</f>
        <v>551</v>
      </c>
      <c r="E30" s="172">
        <f>Municipality!D30</f>
        <v>6</v>
      </c>
      <c r="F30" s="172">
        <f>Municipality!E30</f>
        <v>79</v>
      </c>
      <c r="G30" s="172">
        <f>Municipality!F30</f>
        <v>0</v>
      </c>
      <c r="H30" s="172">
        <f>Municipality!G30</f>
        <v>0</v>
      </c>
    </row>
    <row r="31" ht="14.25" customHeight="1">
      <c r="A31" s="171" t="s">
        <v>158</v>
      </c>
      <c r="B31" s="169" t="s">
        <v>203</v>
      </c>
      <c r="C31" s="172">
        <f>Municipality!B31</f>
        <v>97</v>
      </c>
      <c r="D31" s="172">
        <f>Municipality!C31</f>
        <v>915</v>
      </c>
      <c r="E31" s="172" t="str">
        <f>Municipality!D31</f>
        <v>&lt;5</v>
      </c>
      <c r="F31" s="172" t="str">
        <f>Municipality!E31</f>
        <v>--</v>
      </c>
      <c r="G31" s="172" t="str">
        <f>Municipality!F31</f>
        <v>&lt;5</v>
      </c>
      <c r="H31" s="172" t="str">
        <f>Municipality!G31</f>
        <v>--</v>
      </c>
    </row>
    <row r="32" ht="14.25" customHeight="1">
      <c r="A32" s="171" t="s">
        <v>159</v>
      </c>
      <c r="B32" s="169" t="s">
        <v>204</v>
      </c>
      <c r="C32" s="172">
        <f>Municipality!B32</f>
        <v>482</v>
      </c>
      <c r="D32" s="172">
        <f>Municipality!C32</f>
        <v>2228</v>
      </c>
      <c r="E32" s="172">
        <f>Municipality!D32</f>
        <v>77</v>
      </c>
      <c r="F32" s="172">
        <f>Municipality!E32</f>
        <v>356</v>
      </c>
      <c r="G32" s="172">
        <f>Municipality!F32</f>
        <v>56</v>
      </c>
      <c r="H32" s="172">
        <f>Municipality!G32</f>
        <v>259</v>
      </c>
    </row>
    <row r="33" ht="14.25" customHeight="1">
      <c r="A33" s="171" t="s">
        <v>160</v>
      </c>
      <c r="B33" s="169" t="s">
        <v>205</v>
      </c>
      <c r="C33" s="172">
        <f>Municipality!B33</f>
        <v>207</v>
      </c>
      <c r="D33" s="172">
        <f>Municipality!C33</f>
        <v>673</v>
      </c>
      <c r="E33" s="172">
        <f>Municipality!D33</f>
        <v>17</v>
      </c>
      <c r="F33" s="172">
        <f>Municipality!E33</f>
        <v>55</v>
      </c>
      <c r="G33" s="172">
        <f>Municipality!F33</f>
        <v>19</v>
      </c>
      <c r="H33" s="172">
        <f>Municipality!G33</f>
        <v>62</v>
      </c>
    </row>
    <row r="34" ht="14.25" customHeight="1">
      <c r="A34" s="171" t="s">
        <v>161</v>
      </c>
      <c r="B34" s="169" t="s">
        <v>206</v>
      </c>
      <c r="C34" s="172">
        <f>Municipality!B34</f>
        <v>182</v>
      </c>
      <c r="D34" s="172">
        <f>Municipality!C34</f>
        <v>1151</v>
      </c>
      <c r="E34" s="172" t="str">
        <f>Municipality!D34</f>
        <v>&lt;5</v>
      </c>
      <c r="F34" s="172" t="str">
        <f>Municipality!E34</f>
        <v>--</v>
      </c>
      <c r="G34" s="172">
        <f>Municipality!F34</f>
        <v>5</v>
      </c>
      <c r="H34" s="172">
        <f>Municipality!G34</f>
        <v>32</v>
      </c>
    </row>
    <row r="35" ht="14.25" customHeight="1">
      <c r="A35" s="171" t="s">
        <v>162</v>
      </c>
      <c r="B35" s="169" t="s">
        <v>207</v>
      </c>
      <c r="C35" s="172">
        <f>Municipality!B35</f>
        <v>148</v>
      </c>
      <c r="D35" s="172">
        <f>Municipality!C35</f>
        <v>1411</v>
      </c>
      <c r="E35" s="172">
        <f>Municipality!D35</f>
        <v>12</v>
      </c>
      <c r="F35" s="172">
        <f>Municipality!E35</f>
        <v>114</v>
      </c>
      <c r="G35" s="172">
        <f>Municipality!F35</f>
        <v>10</v>
      </c>
      <c r="H35" s="172">
        <f>Municipality!G35</f>
        <v>95</v>
      </c>
    </row>
    <row r="36" ht="14.25" customHeight="1">
      <c r="A36" s="171" t="s">
        <v>163</v>
      </c>
      <c r="B36" s="169" t="s">
        <v>208</v>
      </c>
      <c r="C36" s="172">
        <f>Municipality!B36</f>
        <v>1257</v>
      </c>
      <c r="D36" s="172">
        <f>Municipality!C36</f>
        <v>1550</v>
      </c>
      <c r="E36" s="172">
        <f>Municipality!D36</f>
        <v>103</v>
      </c>
      <c r="F36" s="172">
        <f>Municipality!E36</f>
        <v>127</v>
      </c>
      <c r="G36" s="172">
        <f>Municipality!F36</f>
        <v>78</v>
      </c>
      <c r="H36" s="172">
        <f>Municipality!G36</f>
        <v>96</v>
      </c>
    </row>
    <row r="37" ht="14.25" customHeight="1">
      <c r="A37" s="171" t="s">
        <v>164</v>
      </c>
      <c r="B37" s="169" t="s">
        <v>209</v>
      </c>
      <c r="C37" s="172">
        <f>Municipality!B37</f>
        <v>69</v>
      </c>
      <c r="D37" s="172">
        <f>Municipality!C37</f>
        <v>1117</v>
      </c>
      <c r="E37" s="172" t="str">
        <f>Municipality!D37</f>
        <v>&lt;5</v>
      </c>
      <c r="F37" s="172" t="str">
        <f>Municipality!E37</f>
        <v>--</v>
      </c>
      <c r="G37" s="172">
        <f>Municipality!F37</f>
        <v>0</v>
      </c>
      <c r="H37" s="172">
        <f>Municipality!G37</f>
        <v>0</v>
      </c>
    </row>
    <row r="38" ht="14.25" customHeight="1">
      <c r="A38" s="171" t="s">
        <v>165</v>
      </c>
      <c r="B38" s="169" t="s">
        <v>210</v>
      </c>
      <c r="C38" s="172">
        <f>Municipality!B38</f>
        <v>550</v>
      </c>
      <c r="D38" s="172">
        <f>Municipality!C38</f>
        <v>1899</v>
      </c>
      <c r="E38" s="172">
        <f>Municipality!D38</f>
        <v>51</v>
      </c>
      <c r="F38" s="172">
        <f>Municipality!E38</f>
        <v>176</v>
      </c>
      <c r="G38" s="172">
        <f>Municipality!F38</f>
        <v>22</v>
      </c>
      <c r="H38" s="172">
        <f>Municipality!G38</f>
        <v>76</v>
      </c>
    </row>
    <row r="39" ht="14.25" customHeight="1">
      <c r="A39" s="171" t="s">
        <v>166</v>
      </c>
      <c r="B39" s="169" t="s">
        <v>211</v>
      </c>
      <c r="C39" s="172">
        <f>Municipality!B39</f>
        <v>185</v>
      </c>
      <c r="D39" s="172">
        <f>Municipality!C39</f>
        <v>818</v>
      </c>
      <c r="E39" s="172">
        <f>Municipality!D39</f>
        <v>11</v>
      </c>
      <c r="F39" s="172">
        <f>Municipality!E39</f>
        <v>49</v>
      </c>
      <c r="G39" s="172" t="str">
        <f>Municipality!F39</f>
        <v>&lt;5</v>
      </c>
      <c r="H39" s="172" t="str">
        <f>Municipality!G39</f>
        <v>--</v>
      </c>
    </row>
    <row r="40" ht="14.25" customHeight="1">
      <c r="A40" s="171" t="s">
        <v>167</v>
      </c>
      <c r="B40" s="169" t="s">
        <v>212</v>
      </c>
      <c r="C40" s="172">
        <f>Municipality!B40</f>
        <v>1047</v>
      </c>
      <c r="D40" s="172">
        <f>Municipality!C40</f>
        <v>2521</v>
      </c>
      <c r="E40" s="172">
        <f>Municipality!D40</f>
        <v>124</v>
      </c>
      <c r="F40" s="172">
        <f>Municipality!E40</f>
        <v>299</v>
      </c>
      <c r="G40" s="172">
        <f>Municipality!F40</f>
        <v>85</v>
      </c>
      <c r="H40" s="172">
        <f>Municipality!G40</f>
        <v>205</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227</v>
      </c>
      <c r="B1" s="174" t="s">
        <v>228</v>
      </c>
      <c r="C1" s="115" t="s">
        <v>125</v>
      </c>
    </row>
    <row r="2" ht="14.25" customHeight="1">
      <c r="A2" s="175" t="s">
        <v>229</v>
      </c>
      <c r="B2" s="176">
        <v>13.0</v>
      </c>
      <c r="C2" s="177">
        <v>1937.0</v>
      </c>
    </row>
    <row r="3" ht="14.25" customHeight="1">
      <c r="A3" s="178" t="s">
        <v>230</v>
      </c>
      <c r="B3" s="179">
        <v>8.0</v>
      </c>
      <c r="C3" s="180">
        <v>399.0</v>
      </c>
    </row>
    <row r="4" ht="14.25" customHeight="1">
      <c r="A4" s="178" t="s">
        <v>231</v>
      </c>
      <c r="B4" s="179">
        <v>123.0</v>
      </c>
      <c r="C4" s="180">
        <v>760.0</v>
      </c>
    </row>
    <row r="5" ht="14.25" customHeight="1">
      <c r="A5" s="178" t="s">
        <v>232</v>
      </c>
      <c r="B5" s="179">
        <v>8.0</v>
      </c>
      <c r="C5" s="180">
        <v>967.0</v>
      </c>
    </row>
    <row r="6" ht="14.25" customHeight="1">
      <c r="A6" s="178" t="s">
        <v>233</v>
      </c>
      <c r="B6" s="179">
        <v>23.0</v>
      </c>
      <c r="C6" s="180">
        <v>897.0</v>
      </c>
    </row>
    <row r="7" ht="14.25" customHeight="1">
      <c r="A7" s="178" t="s">
        <v>234</v>
      </c>
      <c r="B7" s="179">
        <v>283.0</v>
      </c>
      <c r="C7" s="180">
        <v>1271.0</v>
      </c>
    </row>
    <row r="8" ht="14.25" customHeight="1">
      <c r="A8" s="178" t="s">
        <v>235</v>
      </c>
      <c r="B8" s="179">
        <v>13.0</v>
      </c>
      <c r="C8" s="180">
        <v>1076.0</v>
      </c>
    </row>
    <row r="9" ht="14.25" customHeight="1">
      <c r="A9" s="178" t="s">
        <v>236</v>
      </c>
      <c r="B9" s="179">
        <v>51.0</v>
      </c>
      <c r="C9" s="180">
        <v>656.0</v>
      </c>
    </row>
    <row r="10" ht="14.25" customHeight="1">
      <c r="A10" s="178" t="s">
        <v>237</v>
      </c>
      <c r="B10" s="179">
        <v>79.0</v>
      </c>
      <c r="C10" s="180">
        <v>1030.0</v>
      </c>
    </row>
    <row r="11" ht="14.25" customHeight="1">
      <c r="A11" s="178" t="s">
        <v>238</v>
      </c>
      <c r="B11" s="179">
        <v>0.0</v>
      </c>
      <c r="C11" s="180">
        <v>0.0</v>
      </c>
    </row>
    <row r="12" ht="14.25" customHeight="1">
      <c r="A12" s="178" t="s">
        <v>239</v>
      </c>
      <c r="B12" s="179">
        <v>445.0</v>
      </c>
      <c r="C12" s="180">
        <v>1356.0</v>
      </c>
    </row>
    <row r="13" ht="14.25" customHeight="1">
      <c r="A13" s="178" t="s">
        <v>240</v>
      </c>
      <c r="B13" s="179">
        <v>70.0</v>
      </c>
      <c r="C13" s="180">
        <v>1160.0</v>
      </c>
    </row>
    <row r="14" ht="14.25" customHeight="1">
      <c r="A14" s="178" t="s">
        <v>241</v>
      </c>
      <c r="B14" s="179">
        <v>211.0</v>
      </c>
      <c r="C14" s="180">
        <v>1160.0</v>
      </c>
    </row>
    <row r="15" ht="14.25" customHeight="1">
      <c r="A15" s="178" t="s">
        <v>242</v>
      </c>
      <c r="B15" s="179">
        <v>62.0</v>
      </c>
      <c r="C15" s="180">
        <v>942.0</v>
      </c>
    </row>
    <row r="16" ht="14.25" customHeight="1">
      <c r="A16" s="178" t="s">
        <v>243</v>
      </c>
      <c r="B16" s="179">
        <v>52.0</v>
      </c>
      <c r="C16" s="180">
        <v>945.0</v>
      </c>
    </row>
    <row r="17" ht="14.25" customHeight="1">
      <c r="A17" s="178" t="s">
        <v>244</v>
      </c>
      <c r="B17" s="179">
        <v>5.0</v>
      </c>
      <c r="C17" s="180">
        <v>998.0</v>
      </c>
    </row>
    <row r="18" ht="14.25" customHeight="1">
      <c r="A18" s="178" t="s">
        <v>245</v>
      </c>
      <c r="B18" s="179">
        <v>23.0</v>
      </c>
      <c r="C18" s="180">
        <v>1117.0</v>
      </c>
    </row>
    <row r="19" ht="14.25" customHeight="1">
      <c r="A19" s="178" t="s">
        <v>246</v>
      </c>
      <c r="B19" s="179">
        <v>274.0</v>
      </c>
      <c r="C19" s="180">
        <v>3485.0</v>
      </c>
    </row>
    <row r="20" ht="14.25" customHeight="1">
      <c r="A20" s="178" t="s">
        <v>247</v>
      </c>
      <c r="B20" s="179">
        <v>54.0</v>
      </c>
      <c r="C20" s="180">
        <v>910.0</v>
      </c>
    </row>
    <row r="21" ht="14.25" customHeight="1">
      <c r="A21" s="178" t="s">
        <v>248</v>
      </c>
      <c r="B21" s="179">
        <v>52.0</v>
      </c>
      <c r="C21" s="180">
        <v>1485.0</v>
      </c>
    </row>
    <row r="22" ht="14.25" customHeight="1">
      <c r="A22" s="178" t="s">
        <v>249</v>
      </c>
      <c r="B22" s="179">
        <v>23.0</v>
      </c>
      <c r="C22" s="180">
        <v>532.0</v>
      </c>
    </row>
    <row r="23" ht="14.25" customHeight="1">
      <c r="A23" s="178" t="s">
        <v>250</v>
      </c>
      <c r="B23" s="179">
        <v>0.0</v>
      </c>
      <c r="C23" s="180">
        <v>0.0</v>
      </c>
    </row>
    <row r="24" ht="14.25" customHeight="1">
      <c r="A24" s="178" t="s">
        <v>251</v>
      </c>
      <c r="B24" s="179">
        <v>41.0</v>
      </c>
      <c r="C24" s="180">
        <v>746.0</v>
      </c>
    </row>
    <row r="25" ht="14.25" customHeight="1">
      <c r="A25" s="178" t="s">
        <v>252</v>
      </c>
      <c r="B25" s="181">
        <v>0.0</v>
      </c>
      <c r="C25" s="180">
        <v>0.0</v>
      </c>
    </row>
    <row r="26" ht="14.25" customHeight="1">
      <c r="A26" s="178" t="s">
        <v>253</v>
      </c>
      <c r="B26" s="179">
        <v>21.0</v>
      </c>
      <c r="C26" s="180">
        <v>599.0</v>
      </c>
    </row>
    <row r="27" ht="14.25" customHeight="1">
      <c r="A27" s="178" t="s">
        <v>254</v>
      </c>
      <c r="B27" s="179">
        <v>148.0</v>
      </c>
      <c r="C27" s="180">
        <v>4206.0</v>
      </c>
    </row>
    <row r="28" ht="14.25" customHeight="1">
      <c r="A28" s="178" t="s">
        <v>255</v>
      </c>
      <c r="B28" s="179">
        <v>25.0</v>
      </c>
      <c r="C28" s="180">
        <v>1212.0</v>
      </c>
    </row>
    <row r="29" ht="14.25" customHeight="1">
      <c r="A29" s="178" t="s">
        <v>256</v>
      </c>
      <c r="B29" s="179">
        <v>203.0</v>
      </c>
      <c r="C29" s="180">
        <v>875.0</v>
      </c>
    </row>
    <row r="30" ht="14.25" customHeight="1">
      <c r="A30" s="178" t="s">
        <v>257</v>
      </c>
      <c r="B30" s="179">
        <v>12.0</v>
      </c>
      <c r="C30" s="180">
        <v>735.0</v>
      </c>
    </row>
    <row r="31" ht="14.25" customHeight="1">
      <c r="A31" s="178" t="s">
        <v>258</v>
      </c>
      <c r="B31" s="179">
        <v>100.0</v>
      </c>
      <c r="C31" s="180">
        <v>625.0</v>
      </c>
    </row>
    <row r="32" ht="14.25" customHeight="1">
      <c r="A32" s="178" t="s">
        <v>259</v>
      </c>
      <c r="B32" s="179">
        <v>366.0</v>
      </c>
      <c r="C32" s="180">
        <v>1661.0</v>
      </c>
    </row>
    <row r="33" ht="14.25" customHeight="1">
      <c r="A33" s="178" t="s">
        <v>260</v>
      </c>
      <c r="B33" s="179">
        <v>78.0</v>
      </c>
      <c r="C33" s="180">
        <v>893.0</v>
      </c>
    </row>
    <row r="34" ht="14.25" customHeight="1">
      <c r="A34" s="178" t="s">
        <v>261</v>
      </c>
      <c r="B34" s="181">
        <v>5.0</v>
      </c>
      <c r="C34" s="180">
        <v>687.0</v>
      </c>
    </row>
    <row r="35" ht="14.25" customHeight="1">
      <c r="A35" s="178" t="s">
        <v>262</v>
      </c>
      <c r="B35" s="179">
        <v>129.0</v>
      </c>
      <c r="C35" s="180">
        <v>1785.0</v>
      </c>
    </row>
    <row r="36" ht="14.25" customHeight="1">
      <c r="A36" s="178" t="s">
        <v>263</v>
      </c>
      <c r="B36" s="179">
        <v>2232.0</v>
      </c>
      <c r="C36" s="180">
        <v>4736.0</v>
      </c>
    </row>
    <row r="37" ht="14.25" customHeight="1">
      <c r="A37" s="178" t="s">
        <v>264</v>
      </c>
      <c r="B37" s="179">
        <v>792.0</v>
      </c>
      <c r="C37" s="180">
        <v>3162.0</v>
      </c>
    </row>
    <row r="38" ht="14.25" customHeight="1">
      <c r="A38" s="178" t="s">
        <v>265</v>
      </c>
      <c r="B38" s="179">
        <v>1640.0</v>
      </c>
      <c r="C38" s="180">
        <v>8477.0</v>
      </c>
    </row>
    <row r="39" ht="14.25" customHeight="1">
      <c r="A39" s="178" t="s">
        <v>266</v>
      </c>
      <c r="B39" s="179">
        <v>659.0</v>
      </c>
      <c r="C39" s="180">
        <v>1903.0</v>
      </c>
    </row>
    <row r="40" ht="14.25" customHeight="1">
      <c r="A40" s="178" t="s">
        <v>267</v>
      </c>
      <c r="B40" s="179">
        <v>309.0</v>
      </c>
      <c r="C40" s="180">
        <v>1771.0</v>
      </c>
    </row>
    <row r="41" ht="14.25" customHeight="1">
      <c r="A41" s="178" t="s">
        <v>268</v>
      </c>
      <c r="B41" s="179">
        <v>110.0</v>
      </c>
      <c r="C41" s="180">
        <v>642.0</v>
      </c>
    </row>
    <row r="42" ht="14.25" customHeight="1">
      <c r="A42" s="178" t="s">
        <v>269</v>
      </c>
      <c r="B42" s="179">
        <v>0.0</v>
      </c>
      <c r="C42" s="180">
        <v>0.0</v>
      </c>
    </row>
    <row r="43" ht="14.25" customHeight="1">
      <c r="A43" s="178" t="s">
        <v>270</v>
      </c>
      <c r="B43" s="179">
        <v>0.0</v>
      </c>
      <c r="C43" s="180">
        <v>0.0</v>
      </c>
    </row>
    <row r="44" ht="14.25" customHeight="1">
      <c r="A44" s="178" t="s">
        <v>271</v>
      </c>
      <c r="B44" s="179">
        <v>73.0</v>
      </c>
      <c r="C44" s="180">
        <v>1225.0</v>
      </c>
    </row>
    <row r="45" ht="14.25" customHeight="1">
      <c r="A45" s="178" t="s">
        <v>272</v>
      </c>
      <c r="B45" s="179">
        <v>0.0</v>
      </c>
      <c r="C45" s="180">
        <v>0.0</v>
      </c>
    </row>
    <row r="46" ht="14.25" customHeight="1">
      <c r="A46" s="178" t="s">
        <v>273</v>
      </c>
      <c r="B46" s="179">
        <v>7.0</v>
      </c>
      <c r="C46" s="180">
        <v>2405.0</v>
      </c>
    </row>
    <row r="47" ht="14.25" customHeight="1">
      <c r="A47" s="178" t="s">
        <v>274</v>
      </c>
      <c r="B47" s="179">
        <v>181.0</v>
      </c>
      <c r="C47" s="180">
        <v>1144.0</v>
      </c>
    </row>
    <row r="48" ht="14.25" customHeight="1">
      <c r="A48" s="178" t="s">
        <v>275</v>
      </c>
      <c r="B48" s="179">
        <v>210.0</v>
      </c>
      <c r="C48" s="180">
        <v>1023.0</v>
      </c>
    </row>
    <row r="49" ht="14.25" customHeight="1">
      <c r="A49" s="178" t="s">
        <v>276</v>
      </c>
      <c r="B49" s="179">
        <v>89.0</v>
      </c>
      <c r="C49" s="180">
        <v>1136.0</v>
      </c>
    </row>
    <row r="50" ht="14.25" customHeight="1">
      <c r="A50" s="178" t="s">
        <v>277</v>
      </c>
      <c r="B50" s="179">
        <v>339.0</v>
      </c>
      <c r="C50" s="180">
        <v>2430.0</v>
      </c>
    </row>
    <row r="51" ht="14.25" customHeight="1">
      <c r="A51" s="178" t="s">
        <v>278</v>
      </c>
      <c r="B51" s="179">
        <v>148.0</v>
      </c>
      <c r="C51" s="180">
        <v>1414.0</v>
      </c>
    </row>
    <row r="52" ht="14.25" customHeight="1">
      <c r="A52" s="178" t="s">
        <v>279</v>
      </c>
      <c r="B52" s="179">
        <v>400.0</v>
      </c>
      <c r="C52" s="180">
        <v>1379.0</v>
      </c>
    </row>
    <row r="53" ht="14.25" customHeight="1">
      <c r="A53" s="178" t="s">
        <v>280</v>
      </c>
      <c r="B53" s="179">
        <v>282.0</v>
      </c>
      <c r="C53" s="180">
        <v>1471.0</v>
      </c>
    </row>
    <row r="54" ht="14.25" customHeight="1">
      <c r="A54" s="178" t="s">
        <v>281</v>
      </c>
      <c r="B54" s="179">
        <v>537.0</v>
      </c>
      <c r="C54" s="180">
        <v>1965.0</v>
      </c>
    </row>
    <row r="55" ht="14.25" customHeight="1">
      <c r="A55" s="178" t="s">
        <v>282</v>
      </c>
      <c r="B55" s="179">
        <v>169.0</v>
      </c>
      <c r="C55" s="180">
        <v>802.0</v>
      </c>
    </row>
    <row r="56" ht="14.25" customHeight="1">
      <c r="A56" s="178" t="s">
        <v>283</v>
      </c>
      <c r="B56" s="179">
        <v>46.0</v>
      </c>
      <c r="C56" s="180">
        <v>887.0</v>
      </c>
    </row>
    <row r="57" ht="14.25" customHeight="1">
      <c r="A57" s="178" t="s">
        <v>284</v>
      </c>
      <c r="B57" s="179">
        <v>548.0</v>
      </c>
      <c r="C57" s="180">
        <v>1880.0</v>
      </c>
    </row>
    <row r="58" ht="14.25" customHeight="1">
      <c r="A58" s="178" t="s">
        <v>285</v>
      </c>
      <c r="B58" s="179">
        <v>7.0</v>
      </c>
      <c r="C58" s="180">
        <v>1039.0</v>
      </c>
    </row>
    <row r="59" ht="14.25" customHeight="1">
      <c r="A59" s="178" t="s">
        <v>286</v>
      </c>
      <c r="B59" s="179">
        <v>1033.0</v>
      </c>
      <c r="C59" s="180">
        <v>2487.0</v>
      </c>
    </row>
    <row r="60" ht="14.25" customHeight="1">
      <c r="A60" s="178" t="s">
        <v>287</v>
      </c>
      <c r="B60" s="179">
        <v>222.0</v>
      </c>
      <c r="C60" s="180">
        <v>1841.0</v>
      </c>
    </row>
    <row r="61" ht="14.25" customHeight="1">
      <c r="A61" s="178" t="s">
        <v>288</v>
      </c>
      <c r="B61" s="179">
        <v>22.0</v>
      </c>
      <c r="C61" s="180">
        <v>1339.0</v>
      </c>
    </row>
    <row r="62" ht="14.25" customHeight="1">
      <c r="A62" s="178" t="s">
        <v>289</v>
      </c>
      <c r="B62" s="179">
        <v>307.0</v>
      </c>
      <c r="C62" s="180">
        <v>2912.0</v>
      </c>
    </row>
    <row r="63" ht="14.25" customHeight="1">
      <c r="A63" s="178" t="s">
        <v>290</v>
      </c>
      <c r="B63" s="179">
        <v>1401.0</v>
      </c>
      <c r="C63" s="180">
        <v>4590.0</v>
      </c>
    </row>
    <row r="64" ht="14.25" customHeight="1">
      <c r="A64" s="178" t="s">
        <v>291</v>
      </c>
      <c r="B64" s="179">
        <v>1080.0</v>
      </c>
      <c r="C64" s="180">
        <v>4237.0</v>
      </c>
    </row>
    <row r="65" ht="14.25" customHeight="1">
      <c r="A65" s="178" t="s">
        <v>292</v>
      </c>
      <c r="B65" s="179">
        <v>538.0</v>
      </c>
      <c r="C65" s="180">
        <v>1908.0</v>
      </c>
    </row>
    <row r="66" ht="14.25" customHeight="1">
      <c r="A66" s="178" t="s">
        <v>293</v>
      </c>
      <c r="B66" s="179">
        <v>2172.0</v>
      </c>
      <c r="C66" s="180">
        <v>7056.0</v>
      </c>
    </row>
    <row r="67" ht="14.25" customHeight="1">
      <c r="A67" s="178" t="s">
        <v>294</v>
      </c>
      <c r="B67" s="179">
        <v>2396.0</v>
      </c>
      <c r="C67" s="180">
        <v>6381.0</v>
      </c>
    </row>
    <row r="68" ht="14.25" customHeight="1">
      <c r="A68" s="178" t="s">
        <v>295</v>
      </c>
      <c r="B68" s="179">
        <v>2965.0</v>
      </c>
      <c r="C68" s="180">
        <v>7308.0</v>
      </c>
    </row>
    <row r="69" ht="14.25" customHeight="1">
      <c r="A69" s="178" t="s">
        <v>296</v>
      </c>
      <c r="B69" s="179">
        <v>531.0</v>
      </c>
      <c r="C69" s="180">
        <v>2398.0</v>
      </c>
    </row>
    <row r="70" ht="14.25" customHeight="1">
      <c r="A70" s="178" t="s">
        <v>297</v>
      </c>
      <c r="B70" s="179">
        <v>413.0</v>
      </c>
      <c r="C70" s="180">
        <v>2603.0</v>
      </c>
    </row>
    <row r="71" ht="14.25" customHeight="1">
      <c r="A71" s="178" t="s">
        <v>298</v>
      </c>
      <c r="B71" s="179">
        <v>7.0</v>
      </c>
      <c r="C71" s="180">
        <v>515.0</v>
      </c>
    </row>
    <row r="72" ht="14.25" customHeight="1">
      <c r="A72" s="178" t="s">
        <v>299</v>
      </c>
      <c r="B72" s="179">
        <v>628.0</v>
      </c>
      <c r="C72" s="180">
        <v>2907.0</v>
      </c>
    </row>
    <row r="73" ht="14.25" customHeight="1">
      <c r="A73" s="178" t="s">
        <v>300</v>
      </c>
      <c r="B73" s="179">
        <v>314.0</v>
      </c>
      <c r="C73" s="180">
        <v>1886.0</v>
      </c>
    </row>
    <row r="74" ht="14.25" customHeight="1">
      <c r="A74" s="178" t="s">
        <v>301</v>
      </c>
      <c r="B74" s="179">
        <v>138.0</v>
      </c>
      <c r="C74" s="180">
        <v>1521.0</v>
      </c>
    </row>
    <row r="75" ht="14.25" customHeight="1">
      <c r="A75" s="178" t="s">
        <v>302</v>
      </c>
      <c r="B75" s="179">
        <v>202.0</v>
      </c>
      <c r="C75" s="180">
        <v>1463.0</v>
      </c>
    </row>
    <row r="76" ht="14.25" customHeight="1">
      <c r="A76" s="178" t="s">
        <v>303</v>
      </c>
      <c r="B76" s="179">
        <v>902.0</v>
      </c>
      <c r="C76" s="180">
        <v>3083.0</v>
      </c>
    </row>
    <row r="77" ht="14.25" customHeight="1">
      <c r="A77" s="178" t="s">
        <v>304</v>
      </c>
      <c r="B77" s="179">
        <v>1092.0</v>
      </c>
      <c r="C77" s="180">
        <v>2936.0</v>
      </c>
    </row>
    <row r="78" ht="14.25" customHeight="1">
      <c r="A78" s="178" t="s">
        <v>305</v>
      </c>
      <c r="B78" s="179">
        <v>230.0</v>
      </c>
      <c r="C78" s="180">
        <v>1853.0</v>
      </c>
    </row>
    <row r="79" ht="14.25" customHeight="1">
      <c r="A79" s="182" t="s">
        <v>306</v>
      </c>
      <c r="B79" s="179">
        <v>1401.0</v>
      </c>
      <c r="C79" s="180" t="s">
        <v>30</v>
      </c>
    </row>
    <row r="80" ht="14.25" customHeight="1">
      <c r="A80" s="182" t="s">
        <v>168</v>
      </c>
      <c r="B80" s="179">
        <v>29779.0</v>
      </c>
      <c r="C80" s="180">
        <v>2818.0</v>
      </c>
    </row>
    <row r="81" ht="14.25" customHeight="1">
      <c r="A81" s="183" t="s">
        <v>307</v>
      </c>
    </row>
    <row r="82" ht="14.25" customHeight="1">
      <c r="A82" s="123" t="s">
        <v>308</v>
      </c>
    </row>
    <row r="83" ht="14.25" customHeight="1"/>
    <row r="84" ht="14.25" customHeight="1"/>
    <row r="85" ht="14.25" customHeight="1"/>
    <row r="86" ht="14.25" customHeight="1">
      <c r="A86" s="71" t="s">
        <v>0</v>
      </c>
      <c r="B86" s="72">
        <v>44132.0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309</v>
      </c>
    </row>
    <row r="2">
      <c r="A2" s="186" t="s">
        <v>310</v>
      </c>
      <c r="B2" s="187"/>
      <c r="C2" s="187"/>
      <c r="D2" s="187"/>
    </row>
    <row r="3">
      <c r="A3" s="188" t="s">
        <v>311</v>
      </c>
      <c r="B3" s="189" t="s">
        <v>312</v>
      </c>
      <c r="C3" s="189" t="s">
        <v>313</v>
      </c>
      <c r="D3" s="190" t="s">
        <v>314</v>
      </c>
    </row>
    <row r="4">
      <c r="A4" s="191" t="s">
        <v>315</v>
      </c>
      <c r="B4" s="86"/>
      <c r="C4" s="86"/>
      <c r="D4" s="35"/>
    </row>
    <row r="5">
      <c r="A5" s="192" t="s">
        <v>316</v>
      </c>
      <c r="B5" s="193" t="s">
        <v>317</v>
      </c>
      <c r="C5" s="194">
        <v>0.0</v>
      </c>
      <c r="D5" s="195">
        <v>0.0</v>
      </c>
    </row>
    <row r="6">
      <c r="A6" s="192" t="s">
        <v>318</v>
      </c>
      <c r="B6" s="193" t="s">
        <v>319</v>
      </c>
      <c r="C6" s="194">
        <v>0.0</v>
      </c>
      <c r="D6" s="195" t="s">
        <v>320</v>
      </c>
    </row>
    <row r="7">
      <c r="A7" s="192" t="s">
        <v>321</v>
      </c>
      <c r="B7" s="193" t="s">
        <v>322</v>
      </c>
      <c r="C7" s="194">
        <v>0.0</v>
      </c>
      <c r="D7" s="195" t="s">
        <v>323</v>
      </c>
    </row>
    <row r="8">
      <c r="A8" s="192" t="s">
        <v>324</v>
      </c>
      <c r="B8" s="193" t="s">
        <v>320</v>
      </c>
      <c r="C8" s="194">
        <v>0.0</v>
      </c>
      <c r="D8" s="195" t="s">
        <v>317</v>
      </c>
    </row>
    <row r="9">
      <c r="A9" s="192" t="s">
        <v>325</v>
      </c>
      <c r="B9" s="193" t="s">
        <v>323</v>
      </c>
      <c r="C9" s="194">
        <v>0.0</v>
      </c>
      <c r="D9" s="195" t="s">
        <v>326</v>
      </c>
    </row>
    <row r="10">
      <c r="A10" s="192" t="s">
        <v>327</v>
      </c>
      <c r="B10" s="193" t="s">
        <v>328</v>
      </c>
      <c r="C10" s="194">
        <v>0.0</v>
      </c>
      <c r="D10" s="195" t="s">
        <v>329</v>
      </c>
    </row>
    <row r="11">
      <c r="A11" s="192" t="s">
        <v>330</v>
      </c>
      <c r="B11" s="193" t="s">
        <v>326</v>
      </c>
      <c r="C11" s="194">
        <v>0.0</v>
      </c>
      <c r="D11" s="195" t="s">
        <v>331</v>
      </c>
    </row>
    <row r="12">
      <c r="A12" s="192" t="s">
        <v>332</v>
      </c>
      <c r="B12" s="193" t="s">
        <v>320</v>
      </c>
      <c r="C12" s="194">
        <v>0.0</v>
      </c>
      <c r="D12" s="195" t="s">
        <v>317</v>
      </c>
    </row>
    <row r="13">
      <c r="A13" s="192" t="s">
        <v>333</v>
      </c>
      <c r="B13" s="193" t="s">
        <v>320</v>
      </c>
      <c r="C13" s="194">
        <v>0.0</v>
      </c>
      <c r="D13" s="195" t="s">
        <v>331</v>
      </c>
    </row>
    <row r="14">
      <c r="A14" s="192" t="s">
        <v>334</v>
      </c>
      <c r="B14" s="193" t="s">
        <v>335</v>
      </c>
      <c r="C14" s="194">
        <v>0.0</v>
      </c>
      <c r="D14" s="195" t="s">
        <v>320</v>
      </c>
    </row>
    <row r="15">
      <c r="A15" s="192" t="s">
        <v>336</v>
      </c>
      <c r="B15" s="193" t="s">
        <v>337</v>
      </c>
      <c r="C15" s="194">
        <v>0.0</v>
      </c>
      <c r="D15" s="195" t="s">
        <v>323</v>
      </c>
    </row>
    <row r="16">
      <c r="A16" s="192" t="s">
        <v>338</v>
      </c>
      <c r="B16" s="193" t="s">
        <v>323</v>
      </c>
      <c r="C16" s="194" t="s">
        <v>331</v>
      </c>
      <c r="D16" s="195" t="s">
        <v>317</v>
      </c>
    </row>
    <row r="17">
      <c r="A17" s="192" t="s">
        <v>339</v>
      </c>
      <c r="B17" s="193" t="s">
        <v>340</v>
      </c>
      <c r="C17" s="194">
        <v>0.0</v>
      </c>
      <c r="D17" s="195" t="s">
        <v>320</v>
      </c>
    </row>
    <row r="18">
      <c r="A18" s="192" t="s">
        <v>341</v>
      </c>
      <c r="B18" s="193" t="s">
        <v>340</v>
      </c>
      <c r="C18" s="194">
        <v>0.0</v>
      </c>
      <c r="D18" s="195" t="s">
        <v>326</v>
      </c>
    </row>
    <row r="19">
      <c r="A19" s="192" t="s">
        <v>342</v>
      </c>
      <c r="B19" s="193" t="s">
        <v>319</v>
      </c>
      <c r="C19" s="194" t="s">
        <v>317</v>
      </c>
      <c r="D19" s="195" t="s">
        <v>343</v>
      </c>
    </row>
    <row r="20">
      <c r="A20" s="192" t="s">
        <v>344</v>
      </c>
      <c r="B20" s="193" t="s">
        <v>345</v>
      </c>
      <c r="C20" s="194">
        <v>0.0</v>
      </c>
      <c r="D20" s="195" t="s">
        <v>317</v>
      </c>
    </row>
    <row r="21">
      <c r="A21" s="192" t="s">
        <v>346</v>
      </c>
      <c r="B21" s="193" t="s">
        <v>347</v>
      </c>
      <c r="C21" s="194">
        <v>0.0</v>
      </c>
      <c r="D21" s="195" t="s">
        <v>348</v>
      </c>
    </row>
    <row r="22">
      <c r="A22" s="192" t="s">
        <v>349</v>
      </c>
      <c r="B22" s="193" t="s">
        <v>350</v>
      </c>
      <c r="C22" s="194">
        <v>0.0</v>
      </c>
      <c r="D22" s="195" t="s">
        <v>320</v>
      </c>
    </row>
    <row r="23">
      <c r="A23" s="192" t="s">
        <v>351</v>
      </c>
      <c r="B23" s="193" t="s">
        <v>352</v>
      </c>
      <c r="C23" s="194">
        <v>0.0</v>
      </c>
      <c r="D23" s="195" t="s">
        <v>323</v>
      </c>
    </row>
    <row r="24">
      <c r="A24" s="192" t="s">
        <v>353</v>
      </c>
      <c r="B24" s="193" t="s">
        <v>354</v>
      </c>
      <c r="C24" s="194">
        <v>0.0</v>
      </c>
      <c r="D24" s="195">
        <v>0.0</v>
      </c>
    </row>
    <row r="25">
      <c r="A25" s="192" t="s">
        <v>355</v>
      </c>
      <c r="B25" s="193" t="s">
        <v>354</v>
      </c>
      <c r="C25" s="194">
        <v>0.0</v>
      </c>
      <c r="D25" s="195" t="s">
        <v>331</v>
      </c>
    </row>
    <row r="26">
      <c r="A26" s="192" t="s">
        <v>356</v>
      </c>
      <c r="B26" s="193" t="s">
        <v>357</v>
      </c>
      <c r="C26" s="194">
        <v>0.0</v>
      </c>
      <c r="D26" s="196" t="s">
        <v>317</v>
      </c>
    </row>
    <row r="27">
      <c r="A27" s="192" t="s">
        <v>358</v>
      </c>
      <c r="B27" s="193" t="s">
        <v>335</v>
      </c>
      <c r="C27" s="194">
        <v>0.0</v>
      </c>
      <c r="D27" s="195" t="s">
        <v>348</v>
      </c>
    </row>
    <row r="28">
      <c r="A28" s="192" t="s">
        <v>359</v>
      </c>
      <c r="B28" s="193" t="s">
        <v>317</v>
      </c>
      <c r="C28" s="194">
        <v>0.0</v>
      </c>
      <c r="D28" s="195">
        <v>0.0</v>
      </c>
    </row>
    <row r="29">
      <c r="A29" s="192" t="s">
        <v>360</v>
      </c>
      <c r="B29" s="193" t="s">
        <v>329</v>
      </c>
      <c r="C29" s="194">
        <v>0.0</v>
      </c>
      <c r="D29" s="195" t="s">
        <v>326</v>
      </c>
    </row>
    <row r="30">
      <c r="A30" s="192" t="s">
        <v>361</v>
      </c>
      <c r="B30" s="193" t="s">
        <v>348</v>
      </c>
      <c r="C30" s="194">
        <v>0.0</v>
      </c>
      <c r="D30" s="195" t="s">
        <v>331</v>
      </c>
    </row>
    <row r="31">
      <c r="A31" s="192" t="s">
        <v>362</v>
      </c>
      <c r="B31" s="193" t="s">
        <v>354</v>
      </c>
      <c r="C31" s="194" t="s">
        <v>331</v>
      </c>
      <c r="D31" s="195">
        <v>0.0</v>
      </c>
    </row>
    <row r="32">
      <c r="A32" s="192" t="s">
        <v>363</v>
      </c>
      <c r="B32" s="193" t="s">
        <v>354</v>
      </c>
      <c r="C32" s="194">
        <v>0.0</v>
      </c>
      <c r="D32" s="195">
        <v>0.0</v>
      </c>
    </row>
    <row r="33">
      <c r="A33" s="192" t="s">
        <v>364</v>
      </c>
      <c r="B33" s="193" t="s">
        <v>317</v>
      </c>
      <c r="C33" s="194">
        <v>0.0</v>
      </c>
      <c r="D33" s="195">
        <v>0.0</v>
      </c>
    </row>
    <row r="34">
      <c r="A34" s="192" t="s">
        <v>365</v>
      </c>
      <c r="B34" s="193" t="s">
        <v>319</v>
      </c>
      <c r="C34" s="194">
        <v>0.0</v>
      </c>
      <c r="D34" s="195" t="s">
        <v>329</v>
      </c>
    </row>
    <row r="35">
      <c r="A35" s="192" t="s">
        <v>366</v>
      </c>
      <c r="B35" s="193" t="s">
        <v>352</v>
      </c>
      <c r="C35" s="194">
        <v>0.0</v>
      </c>
      <c r="D35" s="195" t="s">
        <v>348</v>
      </c>
    </row>
    <row r="36">
      <c r="A36" s="192" t="s">
        <v>367</v>
      </c>
      <c r="B36" s="193" t="s">
        <v>329</v>
      </c>
      <c r="C36" s="194" t="s">
        <v>331</v>
      </c>
      <c r="D36" s="195" t="s">
        <v>331</v>
      </c>
    </row>
    <row r="37">
      <c r="A37" s="192" t="s">
        <v>368</v>
      </c>
      <c r="B37" s="193" t="s">
        <v>323</v>
      </c>
      <c r="C37" s="194">
        <v>0.0</v>
      </c>
      <c r="D37" s="195" t="s">
        <v>320</v>
      </c>
    </row>
    <row r="38">
      <c r="A38" s="192" t="s">
        <v>369</v>
      </c>
      <c r="B38" s="193" t="s">
        <v>329</v>
      </c>
      <c r="C38" s="194">
        <v>0.0</v>
      </c>
      <c r="D38" s="195" t="s">
        <v>317</v>
      </c>
    </row>
    <row r="39">
      <c r="A39" s="192" t="s">
        <v>370</v>
      </c>
      <c r="B39" s="193" t="s">
        <v>371</v>
      </c>
      <c r="C39" s="194" t="s">
        <v>331</v>
      </c>
      <c r="D39" s="195" t="s">
        <v>348</v>
      </c>
    </row>
    <row r="40">
      <c r="A40" s="192" t="s">
        <v>372</v>
      </c>
      <c r="B40" s="193" t="s">
        <v>371</v>
      </c>
      <c r="C40" s="194">
        <v>0.0</v>
      </c>
      <c r="D40" s="195" t="s">
        <v>329</v>
      </c>
    </row>
    <row r="41">
      <c r="A41" s="192" t="s">
        <v>373</v>
      </c>
      <c r="B41" s="193" t="s">
        <v>335</v>
      </c>
      <c r="C41" s="194">
        <v>0.0</v>
      </c>
      <c r="D41" s="195" t="s">
        <v>348</v>
      </c>
    </row>
    <row r="42">
      <c r="A42" s="192" t="s">
        <v>374</v>
      </c>
      <c r="B42" s="193" t="s">
        <v>375</v>
      </c>
      <c r="C42" s="194">
        <v>0.0</v>
      </c>
      <c r="D42" s="195" t="s">
        <v>345</v>
      </c>
    </row>
    <row r="43">
      <c r="A43" s="192" t="s">
        <v>376</v>
      </c>
      <c r="B43" s="193" t="s">
        <v>345</v>
      </c>
      <c r="C43" s="194">
        <v>0.0</v>
      </c>
      <c r="D43" s="195" t="s">
        <v>317</v>
      </c>
    </row>
    <row r="44">
      <c r="A44" s="192" t="s">
        <v>377</v>
      </c>
      <c r="B44" s="193" t="s">
        <v>348</v>
      </c>
      <c r="C44" s="194">
        <v>0.0</v>
      </c>
      <c r="D44" s="195" t="s">
        <v>317</v>
      </c>
    </row>
    <row r="45">
      <c r="A45" s="192" t="s">
        <v>378</v>
      </c>
      <c r="B45" s="193" t="s">
        <v>337</v>
      </c>
      <c r="C45" s="194" t="s">
        <v>331</v>
      </c>
      <c r="D45" s="195" t="s">
        <v>320</v>
      </c>
    </row>
    <row r="46">
      <c r="A46" s="192" t="s">
        <v>379</v>
      </c>
      <c r="B46" s="193" t="s">
        <v>326</v>
      </c>
      <c r="C46" s="194" t="s">
        <v>317</v>
      </c>
      <c r="D46" s="195">
        <v>0.0</v>
      </c>
    </row>
    <row r="47">
      <c r="A47" s="192" t="s">
        <v>380</v>
      </c>
      <c r="B47" s="193" t="s">
        <v>381</v>
      </c>
      <c r="C47" s="194">
        <v>0.0</v>
      </c>
      <c r="D47" s="195" t="s">
        <v>348</v>
      </c>
    </row>
    <row r="48">
      <c r="A48" s="192" t="s">
        <v>382</v>
      </c>
      <c r="B48" s="193" t="s">
        <v>354</v>
      </c>
      <c r="C48" s="194" t="s">
        <v>331</v>
      </c>
      <c r="D48" s="195">
        <v>0.0</v>
      </c>
    </row>
    <row r="49">
      <c r="A49" s="192" t="s">
        <v>383</v>
      </c>
      <c r="B49" s="193" t="s">
        <v>326</v>
      </c>
      <c r="C49" s="194">
        <v>0.0</v>
      </c>
      <c r="D49" s="195" t="s">
        <v>331</v>
      </c>
    </row>
    <row r="50">
      <c r="A50" s="192" t="s">
        <v>384</v>
      </c>
      <c r="B50" s="193" t="s">
        <v>328</v>
      </c>
      <c r="C50" s="194">
        <v>0.0</v>
      </c>
      <c r="D50" s="195" t="s">
        <v>348</v>
      </c>
    </row>
    <row r="51">
      <c r="A51" s="197" t="s">
        <v>385</v>
      </c>
      <c r="B51" s="198" t="s">
        <v>348</v>
      </c>
      <c r="C51" s="198">
        <v>0.0</v>
      </c>
      <c r="D51" s="198" t="s">
        <v>331</v>
      </c>
    </row>
    <row r="52">
      <c r="A52" s="192" t="s">
        <v>386</v>
      </c>
      <c r="B52" s="193" t="s">
        <v>354</v>
      </c>
      <c r="C52" s="194">
        <v>0.0</v>
      </c>
      <c r="D52" s="195">
        <v>0.0</v>
      </c>
    </row>
    <row r="53">
      <c r="A53" s="192" t="s">
        <v>387</v>
      </c>
      <c r="B53" s="193" t="s">
        <v>371</v>
      </c>
      <c r="C53" s="194">
        <v>0.0</v>
      </c>
      <c r="D53" s="195" t="s">
        <v>329</v>
      </c>
    </row>
    <row r="54">
      <c r="A54" s="192" t="s">
        <v>388</v>
      </c>
      <c r="B54" s="193" t="s">
        <v>348</v>
      </c>
      <c r="C54" s="194">
        <v>0.0</v>
      </c>
      <c r="D54" s="195" t="s">
        <v>317</v>
      </c>
    </row>
    <row r="55">
      <c r="A55" s="192" t="s">
        <v>389</v>
      </c>
      <c r="B55" s="193" t="s">
        <v>335</v>
      </c>
      <c r="C55" s="194">
        <v>0.0</v>
      </c>
      <c r="D55" s="195" t="s">
        <v>329</v>
      </c>
    </row>
    <row r="56">
      <c r="A56" s="192" t="s">
        <v>390</v>
      </c>
      <c r="B56" s="193" t="s">
        <v>350</v>
      </c>
      <c r="C56" s="194">
        <v>0.0</v>
      </c>
      <c r="D56" s="195" t="s">
        <v>348</v>
      </c>
    </row>
    <row r="57">
      <c r="A57" s="192" t="s">
        <v>391</v>
      </c>
      <c r="B57" s="193" t="s">
        <v>352</v>
      </c>
      <c r="C57" s="194">
        <v>0.0</v>
      </c>
      <c r="D57" s="195" t="s">
        <v>343</v>
      </c>
    </row>
    <row r="58">
      <c r="A58" s="192" t="s">
        <v>392</v>
      </c>
      <c r="B58" s="193" t="s">
        <v>348</v>
      </c>
      <c r="C58" s="194">
        <v>0.0</v>
      </c>
      <c r="D58" s="195" t="s">
        <v>331</v>
      </c>
    </row>
    <row r="59">
      <c r="A59" s="192" t="s">
        <v>393</v>
      </c>
      <c r="B59" s="193" t="s">
        <v>354</v>
      </c>
      <c r="C59" s="194">
        <v>0.0</v>
      </c>
      <c r="D59" s="195">
        <v>0.0</v>
      </c>
    </row>
    <row r="60">
      <c r="A60" s="192" t="s">
        <v>394</v>
      </c>
      <c r="B60" s="193" t="s">
        <v>317</v>
      </c>
      <c r="C60" s="194" t="s">
        <v>317</v>
      </c>
      <c r="D60" s="195">
        <v>0.0</v>
      </c>
    </row>
    <row r="61">
      <c r="A61" s="192" t="s">
        <v>395</v>
      </c>
      <c r="B61" s="193" t="s">
        <v>345</v>
      </c>
      <c r="C61" s="194">
        <v>0.0</v>
      </c>
      <c r="D61" s="195" t="s">
        <v>326</v>
      </c>
    </row>
    <row r="62">
      <c r="A62" s="192" t="s">
        <v>396</v>
      </c>
      <c r="B62" s="193" t="s">
        <v>347</v>
      </c>
      <c r="C62" s="194">
        <v>0.0</v>
      </c>
      <c r="D62" s="195" t="s">
        <v>345</v>
      </c>
    </row>
    <row r="63">
      <c r="A63" s="192" t="s">
        <v>397</v>
      </c>
      <c r="B63" s="193" t="s">
        <v>381</v>
      </c>
      <c r="C63" s="194">
        <v>0.0</v>
      </c>
      <c r="D63" s="195" t="s">
        <v>320</v>
      </c>
    </row>
    <row r="64">
      <c r="A64" s="192" t="s">
        <v>398</v>
      </c>
      <c r="B64" s="193" t="s">
        <v>399</v>
      </c>
      <c r="C64" s="194">
        <v>0.0</v>
      </c>
      <c r="D64" s="195" t="s">
        <v>348</v>
      </c>
    </row>
    <row r="65">
      <c r="A65" s="199" t="s">
        <v>78</v>
      </c>
      <c r="B65" s="200" t="s">
        <v>400</v>
      </c>
      <c r="C65" s="201" t="s">
        <v>343</v>
      </c>
      <c r="D65" s="202" t="s">
        <v>401</v>
      </c>
    </row>
    <row r="66">
      <c r="A66" s="191" t="s">
        <v>402</v>
      </c>
      <c r="B66" s="86"/>
      <c r="C66" s="86"/>
      <c r="D66" s="35"/>
    </row>
    <row r="67">
      <c r="A67" s="203" t="s">
        <v>403</v>
      </c>
      <c r="B67" s="204" t="s">
        <v>317</v>
      </c>
      <c r="C67" s="205">
        <v>0.0</v>
      </c>
      <c r="D67" s="206" t="s">
        <v>331</v>
      </c>
    </row>
    <row r="68">
      <c r="A68" s="203" t="s">
        <v>404</v>
      </c>
      <c r="B68" s="204" t="s">
        <v>354</v>
      </c>
      <c r="C68" s="205">
        <v>0.0</v>
      </c>
      <c r="D68" s="206">
        <v>0.0</v>
      </c>
    </row>
    <row r="69">
      <c r="A69" s="192" t="s">
        <v>405</v>
      </c>
      <c r="B69" s="193" t="s">
        <v>354</v>
      </c>
      <c r="C69" s="194">
        <v>0.0</v>
      </c>
      <c r="D69" s="195">
        <v>0.0</v>
      </c>
    </row>
    <row r="70">
      <c r="A70" s="192" t="s">
        <v>406</v>
      </c>
      <c r="B70" s="193" t="s">
        <v>329</v>
      </c>
      <c r="C70" s="194" t="s">
        <v>331</v>
      </c>
      <c r="D70" s="195" t="s">
        <v>317</v>
      </c>
    </row>
    <row r="71">
      <c r="A71" s="192" t="s">
        <v>407</v>
      </c>
      <c r="B71" s="193" t="s">
        <v>317</v>
      </c>
      <c r="C71" s="194" t="s">
        <v>317</v>
      </c>
      <c r="D71" s="195">
        <v>0.0</v>
      </c>
    </row>
    <row r="72">
      <c r="A72" s="192" t="s">
        <v>408</v>
      </c>
      <c r="B72" s="193" t="s">
        <v>354</v>
      </c>
      <c r="C72" s="194">
        <v>0.0</v>
      </c>
      <c r="D72" s="195" t="s">
        <v>331</v>
      </c>
    </row>
    <row r="73">
      <c r="A73" s="192" t="s">
        <v>409</v>
      </c>
      <c r="B73" s="193" t="s">
        <v>348</v>
      </c>
      <c r="C73" s="194" t="s">
        <v>331</v>
      </c>
      <c r="D73" s="207" t="s">
        <v>317</v>
      </c>
    </row>
    <row r="74">
      <c r="A74" s="192" t="s">
        <v>410</v>
      </c>
      <c r="B74" s="193" t="s">
        <v>357</v>
      </c>
      <c r="C74" s="194">
        <v>0.0</v>
      </c>
      <c r="D74" s="195" t="s">
        <v>326</v>
      </c>
    </row>
    <row r="75">
      <c r="A75" s="192" t="s">
        <v>411</v>
      </c>
      <c r="B75" s="193" t="s">
        <v>323</v>
      </c>
      <c r="C75" s="194">
        <v>0.0</v>
      </c>
      <c r="D75" s="195" t="s">
        <v>317</v>
      </c>
    </row>
    <row r="76">
      <c r="A76" s="192" t="s">
        <v>412</v>
      </c>
      <c r="B76" s="193" t="s">
        <v>320</v>
      </c>
      <c r="C76" s="194">
        <v>0.0</v>
      </c>
      <c r="D76" s="195" t="s">
        <v>331</v>
      </c>
    </row>
    <row r="77">
      <c r="A77" s="192" t="s">
        <v>413</v>
      </c>
      <c r="B77" s="193" t="s">
        <v>326</v>
      </c>
      <c r="C77" s="194">
        <v>0.0</v>
      </c>
      <c r="D77" s="195" t="s">
        <v>331</v>
      </c>
    </row>
    <row r="78">
      <c r="A78" s="192" t="s">
        <v>414</v>
      </c>
      <c r="B78" s="193" t="s">
        <v>320</v>
      </c>
      <c r="C78" s="194">
        <v>0.0</v>
      </c>
      <c r="D78" s="195" t="s">
        <v>331</v>
      </c>
    </row>
    <row r="79">
      <c r="A79" s="192" t="s">
        <v>415</v>
      </c>
      <c r="B79" s="193" t="s">
        <v>317</v>
      </c>
      <c r="C79" s="194">
        <v>0.0</v>
      </c>
      <c r="D79" s="195" t="s">
        <v>331</v>
      </c>
    </row>
    <row r="80">
      <c r="A80" s="192" t="s">
        <v>416</v>
      </c>
      <c r="B80" s="193" t="s">
        <v>354</v>
      </c>
      <c r="C80" s="194">
        <v>0.0</v>
      </c>
      <c r="D80" s="195">
        <v>0.0</v>
      </c>
    </row>
    <row r="81">
      <c r="A81" s="192" t="s">
        <v>417</v>
      </c>
      <c r="B81" s="193" t="s">
        <v>345</v>
      </c>
      <c r="C81" s="194">
        <v>0.0</v>
      </c>
      <c r="D81" s="195" t="s">
        <v>326</v>
      </c>
    </row>
    <row r="82">
      <c r="A82" s="192" t="s">
        <v>418</v>
      </c>
      <c r="B82" s="193" t="s">
        <v>348</v>
      </c>
      <c r="C82" s="194">
        <v>0.0</v>
      </c>
      <c r="D82" s="195" t="s">
        <v>326</v>
      </c>
    </row>
    <row r="83">
      <c r="A83" s="192" t="s">
        <v>419</v>
      </c>
      <c r="B83" s="193" t="s">
        <v>320</v>
      </c>
      <c r="C83" s="194">
        <v>0.0</v>
      </c>
      <c r="D83" s="195" t="s">
        <v>331</v>
      </c>
    </row>
    <row r="84">
      <c r="A84" s="199" t="s">
        <v>78</v>
      </c>
      <c r="B84" s="200" t="s">
        <v>420</v>
      </c>
      <c r="C84" s="201" t="s">
        <v>326</v>
      </c>
      <c r="D84" s="202" t="s">
        <v>335</v>
      </c>
    </row>
    <row r="85">
      <c r="A85" s="208" t="s">
        <v>421</v>
      </c>
      <c r="B85" s="209"/>
      <c r="C85" s="209"/>
      <c r="D85" s="209"/>
    </row>
  </sheetData>
  <mergeCells count="4">
    <mergeCell ref="A1:D1"/>
    <mergeCell ref="A4:D4"/>
    <mergeCell ref="A66:D66"/>
    <mergeCell ref="A85:D8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422</v>
      </c>
      <c r="B1" s="86"/>
      <c r="C1" s="86"/>
      <c r="D1" s="35"/>
      <c r="E1" s="211"/>
      <c r="F1" s="212"/>
      <c r="G1" s="212"/>
      <c r="H1" s="212"/>
      <c r="I1" s="212"/>
      <c r="J1" s="212"/>
      <c r="K1" s="212"/>
      <c r="L1" s="212"/>
      <c r="M1" s="212"/>
      <c r="N1" s="212"/>
      <c r="O1" s="212"/>
      <c r="P1" s="212"/>
      <c r="Q1" s="212"/>
      <c r="R1" s="212"/>
      <c r="S1" s="212"/>
      <c r="T1" s="212"/>
      <c r="U1" s="212"/>
      <c r="V1" s="212"/>
      <c r="W1" s="212"/>
      <c r="X1" s="212"/>
      <c r="Y1" s="212"/>
      <c r="Z1" s="212"/>
    </row>
    <row r="2">
      <c r="A2" s="213" t="s">
        <v>423</v>
      </c>
      <c r="B2" s="86"/>
      <c r="C2" s="86"/>
      <c r="D2" s="35"/>
      <c r="E2" s="78"/>
    </row>
    <row r="3" ht="29.25" customHeight="1">
      <c r="A3" s="214" t="s">
        <v>424</v>
      </c>
      <c r="B3" s="215" t="s">
        <v>425</v>
      </c>
      <c r="C3" s="216" t="s">
        <v>426</v>
      </c>
      <c r="D3" s="217" t="s">
        <v>427</v>
      </c>
      <c r="E3" s="93"/>
    </row>
    <row r="4">
      <c r="A4" s="218" t="s">
        <v>428</v>
      </c>
      <c r="B4" s="219"/>
      <c r="C4" s="219"/>
      <c r="D4" s="220"/>
      <c r="E4" s="93"/>
    </row>
    <row r="5">
      <c r="A5" s="221" t="s">
        <v>429</v>
      </c>
      <c r="B5" s="222" t="s">
        <v>430</v>
      </c>
      <c r="C5" s="223" t="s">
        <v>331</v>
      </c>
      <c r="D5" s="223" t="s">
        <v>331</v>
      </c>
    </row>
    <row r="6">
      <c r="A6" s="224" t="s">
        <v>431</v>
      </c>
      <c r="B6" s="225" t="s">
        <v>430</v>
      </c>
      <c r="C6" s="226" t="s">
        <v>331</v>
      </c>
      <c r="D6" s="226" t="s">
        <v>317</v>
      </c>
    </row>
    <row r="7">
      <c r="A7" s="224" t="s">
        <v>432</v>
      </c>
      <c r="B7" s="225" t="s">
        <v>129</v>
      </c>
      <c r="C7" s="226" t="s">
        <v>331</v>
      </c>
      <c r="D7" s="226" t="s">
        <v>331</v>
      </c>
    </row>
    <row r="8">
      <c r="A8" s="224" t="s">
        <v>433</v>
      </c>
      <c r="B8" s="225" t="s">
        <v>129</v>
      </c>
      <c r="C8" s="226">
        <v>0.0</v>
      </c>
      <c r="D8" s="226" t="s">
        <v>331</v>
      </c>
    </row>
    <row r="9">
      <c r="A9" s="224" t="s">
        <v>434</v>
      </c>
      <c r="B9" s="225" t="s">
        <v>129</v>
      </c>
      <c r="C9" s="226" t="s">
        <v>331</v>
      </c>
      <c r="D9" s="226" t="s">
        <v>331</v>
      </c>
    </row>
    <row r="10">
      <c r="A10" s="224" t="s">
        <v>435</v>
      </c>
      <c r="B10" s="225" t="s">
        <v>436</v>
      </c>
      <c r="C10" s="226">
        <v>0.0</v>
      </c>
      <c r="D10" s="226" t="s">
        <v>331</v>
      </c>
    </row>
    <row r="11">
      <c r="A11" s="224" t="s">
        <v>437</v>
      </c>
      <c r="B11" s="225" t="s">
        <v>438</v>
      </c>
      <c r="C11" s="226">
        <v>0.0</v>
      </c>
      <c r="D11" s="226" t="s">
        <v>331</v>
      </c>
    </row>
    <row r="12">
      <c r="A12" s="224" t="s">
        <v>439</v>
      </c>
      <c r="B12" s="225" t="s">
        <v>440</v>
      </c>
      <c r="C12" s="226">
        <v>0.0</v>
      </c>
      <c r="D12" s="226" t="s">
        <v>331</v>
      </c>
    </row>
    <row r="13">
      <c r="A13" s="224" t="s">
        <v>441</v>
      </c>
      <c r="B13" s="225" t="s">
        <v>440</v>
      </c>
      <c r="C13" s="226" t="s">
        <v>331</v>
      </c>
      <c r="D13" s="226" t="s">
        <v>331</v>
      </c>
    </row>
    <row r="14">
      <c r="A14" s="224" t="s">
        <v>442</v>
      </c>
      <c r="B14" s="225" t="s">
        <v>440</v>
      </c>
      <c r="C14" s="226" t="s">
        <v>331</v>
      </c>
      <c r="D14" s="226" t="s">
        <v>331</v>
      </c>
    </row>
    <row r="15">
      <c r="A15" s="224" t="s">
        <v>443</v>
      </c>
      <c r="B15" s="225" t="s">
        <v>440</v>
      </c>
      <c r="C15" s="226" t="s">
        <v>331</v>
      </c>
      <c r="D15" s="226" t="s">
        <v>331</v>
      </c>
    </row>
    <row r="16">
      <c r="A16" s="224" t="s">
        <v>444</v>
      </c>
      <c r="B16" s="225" t="s">
        <v>445</v>
      </c>
      <c r="C16" s="226">
        <v>0.0</v>
      </c>
      <c r="D16" s="226" t="s">
        <v>331</v>
      </c>
    </row>
    <row r="17">
      <c r="A17" s="224" t="s">
        <v>446</v>
      </c>
      <c r="B17" s="225" t="s">
        <v>445</v>
      </c>
      <c r="C17" s="226" t="s">
        <v>331</v>
      </c>
      <c r="D17" s="226" t="s">
        <v>331</v>
      </c>
    </row>
    <row r="18">
      <c r="A18" s="224" t="s">
        <v>447</v>
      </c>
      <c r="B18" s="225" t="s">
        <v>445</v>
      </c>
      <c r="C18" s="226" t="s">
        <v>331</v>
      </c>
      <c r="D18" s="226" t="s">
        <v>331</v>
      </c>
    </row>
    <row r="19">
      <c r="A19" s="224" t="s">
        <v>448</v>
      </c>
      <c r="B19" s="225" t="s">
        <v>445</v>
      </c>
      <c r="C19" s="226" t="s">
        <v>331</v>
      </c>
      <c r="D19" s="226" t="s">
        <v>331</v>
      </c>
    </row>
    <row r="20">
      <c r="A20" s="224" t="s">
        <v>449</v>
      </c>
      <c r="B20" s="225" t="s">
        <v>131</v>
      </c>
      <c r="C20" s="226" t="s">
        <v>331</v>
      </c>
      <c r="D20" s="226" t="s">
        <v>331</v>
      </c>
    </row>
    <row r="21">
      <c r="A21" s="224" t="s">
        <v>450</v>
      </c>
      <c r="B21" s="225" t="s">
        <v>131</v>
      </c>
      <c r="C21" s="226" t="s">
        <v>331</v>
      </c>
      <c r="D21" s="226" t="s">
        <v>331</v>
      </c>
    </row>
    <row r="22">
      <c r="A22" s="224" t="s">
        <v>451</v>
      </c>
      <c r="B22" s="225" t="s">
        <v>131</v>
      </c>
      <c r="C22" s="226">
        <v>0.0</v>
      </c>
      <c r="D22" s="226" t="s">
        <v>331</v>
      </c>
    </row>
    <row r="23">
      <c r="A23" s="224" t="s">
        <v>452</v>
      </c>
      <c r="B23" s="225" t="s">
        <v>131</v>
      </c>
      <c r="C23" s="226" t="s">
        <v>331</v>
      </c>
      <c r="D23" s="226" t="s">
        <v>331</v>
      </c>
    </row>
    <row r="24">
      <c r="A24" s="224" t="s">
        <v>453</v>
      </c>
      <c r="B24" s="225" t="s">
        <v>454</v>
      </c>
      <c r="C24" s="226" t="s">
        <v>317</v>
      </c>
      <c r="D24" s="226" t="s">
        <v>326</v>
      </c>
    </row>
    <row r="25">
      <c r="A25" s="224" t="s">
        <v>455</v>
      </c>
      <c r="B25" s="225" t="s">
        <v>454</v>
      </c>
      <c r="C25" s="226">
        <v>0.0</v>
      </c>
      <c r="D25" s="226" t="s">
        <v>331</v>
      </c>
    </row>
    <row r="26">
      <c r="A26" s="224" t="s">
        <v>456</v>
      </c>
      <c r="B26" s="225" t="s">
        <v>454</v>
      </c>
      <c r="C26" s="226" t="s">
        <v>331</v>
      </c>
      <c r="D26" s="226" t="s">
        <v>331</v>
      </c>
    </row>
    <row r="27">
      <c r="A27" s="224" t="s">
        <v>457</v>
      </c>
      <c r="B27" s="225" t="s">
        <v>454</v>
      </c>
      <c r="C27" s="226">
        <v>0.0</v>
      </c>
      <c r="D27" s="226" t="s">
        <v>331</v>
      </c>
    </row>
    <row r="28">
      <c r="A28" s="224" t="s">
        <v>458</v>
      </c>
      <c r="B28" s="225" t="s">
        <v>454</v>
      </c>
      <c r="C28" s="226" t="s">
        <v>331</v>
      </c>
      <c r="D28" s="226" t="s">
        <v>331</v>
      </c>
    </row>
    <row r="29">
      <c r="A29" s="224" t="s">
        <v>459</v>
      </c>
      <c r="B29" s="225" t="s">
        <v>454</v>
      </c>
      <c r="C29" s="226" t="s">
        <v>317</v>
      </c>
      <c r="D29" s="226" t="s">
        <v>317</v>
      </c>
    </row>
    <row r="30">
      <c r="A30" s="224" t="s">
        <v>460</v>
      </c>
      <c r="B30" s="225" t="s">
        <v>454</v>
      </c>
      <c r="C30" s="226" t="s">
        <v>331</v>
      </c>
      <c r="D30" s="226" t="s">
        <v>331</v>
      </c>
    </row>
    <row r="31">
      <c r="A31" s="224" t="s">
        <v>461</v>
      </c>
      <c r="B31" s="225" t="s">
        <v>454</v>
      </c>
      <c r="C31" s="226">
        <v>0.0</v>
      </c>
      <c r="D31" s="226" t="s">
        <v>326</v>
      </c>
    </row>
    <row r="32">
      <c r="A32" s="224" t="s">
        <v>462</v>
      </c>
      <c r="B32" s="225" t="s">
        <v>454</v>
      </c>
      <c r="C32" s="226" t="s">
        <v>331</v>
      </c>
      <c r="D32" s="226" t="s">
        <v>331</v>
      </c>
    </row>
    <row r="33">
      <c r="A33" s="224" t="s">
        <v>463</v>
      </c>
      <c r="B33" s="225" t="s">
        <v>454</v>
      </c>
      <c r="C33" s="226">
        <v>0.0</v>
      </c>
      <c r="D33" s="226" t="s">
        <v>331</v>
      </c>
    </row>
    <row r="34">
      <c r="A34" s="224" t="s">
        <v>464</v>
      </c>
      <c r="B34" s="225" t="s">
        <v>454</v>
      </c>
      <c r="C34" s="226" t="s">
        <v>331</v>
      </c>
      <c r="D34" s="226" t="s">
        <v>331</v>
      </c>
    </row>
    <row r="35">
      <c r="A35" s="224" t="s">
        <v>465</v>
      </c>
      <c r="B35" s="225" t="s">
        <v>454</v>
      </c>
      <c r="C35" s="226">
        <v>0.0</v>
      </c>
      <c r="D35" s="226" t="s">
        <v>331</v>
      </c>
    </row>
    <row r="36">
      <c r="A36" s="224" t="s">
        <v>466</v>
      </c>
      <c r="B36" s="225" t="s">
        <v>454</v>
      </c>
      <c r="C36" s="226" t="s">
        <v>331</v>
      </c>
      <c r="D36" s="226" t="s">
        <v>331</v>
      </c>
    </row>
    <row r="37">
      <c r="A37" s="224" t="s">
        <v>467</v>
      </c>
      <c r="B37" s="225" t="s">
        <v>454</v>
      </c>
      <c r="C37" s="226" t="s">
        <v>331</v>
      </c>
      <c r="D37" s="226" t="s">
        <v>331</v>
      </c>
    </row>
    <row r="38">
      <c r="A38" s="224" t="s">
        <v>468</v>
      </c>
      <c r="B38" s="225" t="s">
        <v>454</v>
      </c>
      <c r="C38" s="226">
        <v>0.0</v>
      </c>
      <c r="D38" s="226" t="s">
        <v>331</v>
      </c>
    </row>
    <row r="39">
      <c r="A39" s="224" t="s">
        <v>469</v>
      </c>
      <c r="B39" s="225" t="s">
        <v>454</v>
      </c>
      <c r="C39" s="226" t="s">
        <v>331</v>
      </c>
      <c r="D39" s="226" t="s">
        <v>331</v>
      </c>
    </row>
    <row r="40">
      <c r="A40" s="224" t="s">
        <v>470</v>
      </c>
      <c r="B40" s="225" t="s">
        <v>454</v>
      </c>
      <c r="C40" s="226" t="s">
        <v>331</v>
      </c>
      <c r="D40" s="226" t="s">
        <v>331</v>
      </c>
    </row>
    <row r="41">
      <c r="A41" s="224" t="s">
        <v>471</v>
      </c>
      <c r="B41" s="225" t="s">
        <v>132</v>
      </c>
      <c r="C41" s="226">
        <v>0.0</v>
      </c>
      <c r="D41" s="226" t="s">
        <v>331</v>
      </c>
    </row>
    <row r="42">
      <c r="A42" s="224" t="s">
        <v>472</v>
      </c>
      <c r="B42" s="225" t="s">
        <v>132</v>
      </c>
      <c r="C42" s="226" t="s">
        <v>331</v>
      </c>
      <c r="D42" s="226" t="s">
        <v>331</v>
      </c>
    </row>
    <row r="43">
      <c r="A43" s="224" t="s">
        <v>473</v>
      </c>
      <c r="B43" s="225" t="s">
        <v>132</v>
      </c>
      <c r="C43" s="226" t="s">
        <v>331</v>
      </c>
      <c r="D43" s="226" t="s">
        <v>331</v>
      </c>
    </row>
    <row r="44">
      <c r="A44" s="224" t="s">
        <v>474</v>
      </c>
      <c r="B44" s="225" t="s">
        <v>132</v>
      </c>
      <c r="C44" s="226" t="s">
        <v>331</v>
      </c>
      <c r="D44" s="226" t="s">
        <v>331</v>
      </c>
    </row>
    <row r="45">
      <c r="A45" s="224" t="s">
        <v>475</v>
      </c>
      <c r="B45" s="225" t="s">
        <v>132</v>
      </c>
      <c r="C45" s="226">
        <v>0.0</v>
      </c>
      <c r="D45" s="226" t="s">
        <v>331</v>
      </c>
    </row>
    <row r="46">
      <c r="A46" s="224" t="s">
        <v>476</v>
      </c>
      <c r="B46" s="225" t="s">
        <v>477</v>
      </c>
      <c r="C46" s="226" t="s">
        <v>331</v>
      </c>
      <c r="D46" s="226" t="s">
        <v>331</v>
      </c>
    </row>
    <row r="47">
      <c r="A47" s="224" t="s">
        <v>478</v>
      </c>
      <c r="B47" s="225" t="s">
        <v>479</v>
      </c>
      <c r="C47" s="226">
        <v>0.0</v>
      </c>
      <c r="D47" s="226" t="s">
        <v>331</v>
      </c>
    </row>
    <row r="48">
      <c r="A48" s="224" t="s">
        <v>480</v>
      </c>
      <c r="B48" s="225" t="s">
        <v>134</v>
      </c>
      <c r="C48" s="226" t="s">
        <v>331</v>
      </c>
      <c r="D48" s="226" t="s">
        <v>317</v>
      </c>
    </row>
    <row r="49">
      <c r="A49" s="224" t="s">
        <v>481</v>
      </c>
      <c r="B49" s="225" t="s">
        <v>134</v>
      </c>
      <c r="C49" s="226" t="s">
        <v>331</v>
      </c>
      <c r="D49" s="226" t="s">
        <v>331</v>
      </c>
    </row>
    <row r="50">
      <c r="A50" s="224" t="s">
        <v>482</v>
      </c>
      <c r="B50" s="225" t="s">
        <v>134</v>
      </c>
      <c r="C50" s="226">
        <v>0.0</v>
      </c>
      <c r="D50" s="226" t="s">
        <v>331</v>
      </c>
    </row>
    <row r="51">
      <c r="A51" s="224" t="s">
        <v>483</v>
      </c>
      <c r="B51" s="225" t="s">
        <v>134</v>
      </c>
      <c r="C51" s="226">
        <v>0.0</v>
      </c>
      <c r="D51" s="226" t="s">
        <v>331</v>
      </c>
    </row>
    <row r="52">
      <c r="A52" s="224" t="s">
        <v>484</v>
      </c>
      <c r="B52" s="225" t="s">
        <v>134</v>
      </c>
      <c r="C52" s="226">
        <v>0.0</v>
      </c>
      <c r="D52" s="226" t="s">
        <v>331</v>
      </c>
    </row>
    <row r="53">
      <c r="A53" s="224" t="s">
        <v>485</v>
      </c>
      <c r="B53" s="225" t="s">
        <v>134</v>
      </c>
      <c r="C53" s="226">
        <v>0.0</v>
      </c>
      <c r="D53" s="226" t="s">
        <v>331</v>
      </c>
    </row>
    <row r="54">
      <c r="A54" s="224" t="s">
        <v>486</v>
      </c>
      <c r="B54" s="225" t="s">
        <v>134</v>
      </c>
      <c r="C54" s="226">
        <v>0.0</v>
      </c>
      <c r="D54" s="226" t="s">
        <v>331</v>
      </c>
    </row>
    <row r="55">
      <c r="A55" s="224" t="s">
        <v>487</v>
      </c>
      <c r="B55" s="225" t="s">
        <v>135</v>
      </c>
      <c r="C55" s="226">
        <v>0.0</v>
      </c>
      <c r="D55" s="226" t="s">
        <v>331</v>
      </c>
    </row>
    <row r="56">
      <c r="A56" s="224" t="s">
        <v>488</v>
      </c>
      <c r="B56" s="225" t="s">
        <v>135</v>
      </c>
      <c r="C56" s="226" t="s">
        <v>331</v>
      </c>
      <c r="D56" s="226" t="s">
        <v>331</v>
      </c>
    </row>
    <row r="57">
      <c r="A57" s="224" t="s">
        <v>489</v>
      </c>
      <c r="B57" s="225" t="s">
        <v>135</v>
      </c>
      <c r="C57" s="226" t="s">
        <v>331</v>
      </c>
      <c r="D57" s="226" t="s">
        <v>331</v>
      </c>
    </row>
    <row r="58">
      <c r="A58" s="224" t="s">
        <v>490</v>
      </c>
      <c r="B58" s="225" t="s">
        <v>135</v>
      </c>
      <c r="C58" s="226">
        <v>0.0</v>
      </c>
      <c r="D58" s="226" t="s">
        <v>331</v>
      </c>
    </row>
    <row r="59">
      <c r="A59" s="224" t="s">
        <v>491</v>
      </c>
      <c r="B59" s="225" t="s">
        <v>135</v>
      </c>
      <c r="C59" s="226" t="s">
        <v>331</v>
      </c>
      <c r="D59" s="226" t="s">
        <v>331</v>
      </c>
    </row>
    <row r="60">
      <c r="A60" s="224" t="s">
        <v>492</v>
      </c>
      <c r="B60" s="225" t="s">
        <v>135</v>
      </c>
      <c r="C60" s="226">
        <v>0.0</v>
      </c>
      <c r="D60" s="226" t="s">
        <v>331</v>
      </c>
    </row>
    <row r="61">
      <c r="A61" s="224" t="s">
        <v>493</v>
      </c>
      <c r="B61" s="225" t="s">
        <v>135</v>
      </c>
      <c r="C61" s="226">
        <v>0.0</v>
      </c>
      <c r="D61" s="226" t="s">
        <v>331</v>
      </c>
    </row>
    <row r="62">
      <c r="A62" s="224" t="s">
        <v>494</v>
      </c>
      <c r="B62" s="225" t="s">
        <v>135</v>
      </c>
      <c r="C62" s="226" t="s">
        <v>331</v>
      </c>
      <c r="D62" s="226" t="s">
        <v>331</v>
      </c>
    </row>
    <row r="63">
      <c r="A63" s="224" t="s">
        <v>495</v>
      </c>
      <c r="B63" s="225" t="s">
        <v>135</v>
      </c>
      <c r="C63" s="226">
        <v>0.0</v>
      </c>
      <c r="D63" s="226" t="s">
        <v>331</v>
      </c>
    </row>
    <row r="64">
      <c r="A64" s="224" t="s">
        <v>496</v>
      </c>
      <c r="B64" s="225" t="s">
        <v>135</v>
      </c>
      <c r="C64" s="226">
        <v>0.0</v>
      </c>
      <c r="D64" s="226" t="s">
        <v>331</v>
      </c>
    </row>
    <row r="65">
      <c r="A65" s="224" t="s">
        <v>497</v>
      </c>
      <c r="B65" s="225" t="s">
        <v>136</v>
      </c>
      <c r="C65" s="226">
        <v>0.0</v>
      </c>
      <c r="D65" s="226" t="s">
        <v>331</v>
      </c>
    </row>
    <row r="66">
      <c r="A66" s="224" t="s">
        <v>498</v>
      </c>
      <c r="B66" s="225" t="s">
        <v>136</v>
      </c>
      <c r="C66" s="226" t="s">
        <v>331</v>
      </c>
      <c r="D66" s="226" t="s">
        <v>331</v>
      </c>
    </row>
    <row r="67">
      <c r="A67" s="224" t="s">
        <v>499</v>
      </c>
      <c r="B67" s="225" t="s">
        <v>136</v>
      </c>
      <c r="C67" s="226">
        <v>0.0</v>
      </c>
      <c r="D67" s="226" t="s">
        <v>331</v>
      </c>
    </row>
    <row r="68">
      <c r="A68" s="224" t="s">
        <v>500</v>
      </c>
      <c r="B68" s="225" t="s">
        <v>136</v>
      </c>
      <c r="C68" s="226" t="s">
        <v>331</v>
      </c>
      <c r="D68" s="226" t="s">
        <v>331</v>
      </c>
    </row>
    <row r="69">
      <c r="A69" s="224" t="s">
        <v>501</v>
      </c>
      <c r="B69" s="225" t="s">
        <v>136</v>
      </c>
      <c r="C69" s="226" t="s">
        <v>331</v>
      </c>
      <c r="D69" s="226" t="s">
        <v>331</v>
      </c>
    </row>
    <row r="70">
      <c r="A70" s="224" t="s">
        <v>502</v>
      </c>
      <c r="B70" s="225" t="s">
        <v>503</v>
      </c>
      <c r="C70" s="226" t="s">
        <v>317</v>
      </c>
      <c r="D70" s="226" t="s">
        <v>326</v>
      </c>
    </row>
    <row r="71">
      <c r="A71" s="224" t="s">
        <v>504</v>
      </c>
      <c r="B71" s="225" t="s">
        <v>137</v>
      </c>
      <c r="C71" s="226" t="s">
        <v>331</v>
      </c>
      <c r="D71" s="226" t="s">
        <v>331</v>
      </c>
    </row>
    <row r="72">
      <c r="A72" s="224" t="s">
        <v>505</v>
      </c>
      <c r="B72" s="225" t="s">
        <v>137</v>
      </c>
      <c r="C72" s="226">
        <v>0.0</v>
      </c>
      <c r="D72" s="226" t="s">
        <v>331</v>
      </c>
    </row>
    <row r="73">
      <c r="A73" s="224" t="s">
        <v>506</v>
      </c>
      <c r="B73" s="225" t="s">
        <v>137</v>
      </c>
      <c r="C73" s="226" t="s">
        <v>331</v>
      </c>
      <c r="D73" s="226" t="s">
        <v>331</v>
      </c>
    </row>
    <row r="74">
      <c r="A74" s="224" t="s">
        <v>507</v>
      </c>
      <c r="B74" s="225" t="s">
        <v>138</v>
      </c>
      <c r="C74" s="226">
        <v>0.0</v>
      </c>
      <c r="D74" s="226" t="s">
        <v>331</v>
      </c>
    </row>
    <row r="75">
      <c r="A75" s="224" t="s">
        <v>508</v>
      </c>
      <c r="B75" s="225" t="s">
        <v>138</v>
      </c>
      <c r="C75" s="226">
        <v>0.0</v>
      </c>
      <c r="D75" s="226" t="s">
        <v>331</v>
      </c>
    </row>
    <row r="76">
      <c r="A76" s="224" t="s">
        <v>509</v>
      </c>
      <c r="B76" s="225" t="s">
        <v>138</v>
      </c>
      <c r="C76" s="226" t="s">
        <v>331</v>
      </c>
      <c r="D76" s="226" t="s">
        <v>317</v>
      </c>
    </row>
    <row r="77">
      <c r="A77" s="224" t="s">
        <v>510</v>
      </c>
      <c r="B77" s="225" t="s">
        <v>138</v>
      </c>
      <c r="C77" s="226">
        <v>0.0</v>
      </c>
      <c r="D77" s="226" t="s">
        <v>331</v>
      </c>
    </row>
    <row r="78">
      <c r="A78" s="224" t="s">
        <v>511</v>
      </c>
      <c r="B78" s="225" t="s">
        <v>138</v>
      </c>
      <c r="C78" s="226">
        <v>0.0</v>
      </c>
      <c r="D78" s="226" t="s">
        <v>331</v>
      </c>
    </row>
    <row r="79">
      <c r="A79" s="224" t="s">
        <v>512</v>
      </c>
      <c r="B79" s="225" t="s">
        <v>138</v>
      </c>
      <c r="C79" s="226">
        <v>0.0</v>
      </c>
      <c r="D79" s="226" t="s">
        <v>331</v>
      </c>
    </row>
    <row r="80">
      <c r="A80" s="224" t="s">
        <v>513</v>
      </c>
      <c r="B80" s="225" t="s">
        <v>138</v>
      </c>
      <c r="C80" s="226">
        <v>0.0</v>
      </c>
      <c r="D80" s="226" t="s">
        <v>331</v>
      </c>
    </row>
    <row r="81">
      <c r="A81" s="224" t="s">
        <v>514</v>
      </c>
      <c r="B81" s="225" t="s">
        <v>138</v>
      </c>
      <c r="C81" s="226" t="s">
        <v>331</v>
      </c>
      <c r="D81" s="226" t="s">
        <v>331</v>
      </c>
    </row>
    <row r="82">
      <c r="A82" s="224" t="s">
        <v>515</v>
      </c>
      <c r="B82" s="225" t="s">
        <v>138</v>
      </c>
      <c r="C82" s="226" t="s">
        <v>331</v>
      </c>
      <c r="D82" s="226" t="s">
        <v>331</v>
      </c>
    </row>
    <row r="83">
      <c r="A83" s="224" t="s">
        <v>516</v>
      </c>
      <c r="B83" s="225" t="s">
        <v>138</v>
      </c>
      <c r="C83" s="226" t="s">
        <v>331</v>
      </c>
      <c r="D83" s="226" t="s">
        <v>331</v>
      </c>
    </row>
    <row r="84">
      <c r="A84" s="224" t="s">
        <v>517</v>
      </c>
      <c r="B84" s="225" t="s">
        <v>518</v>
      </c>
      <c r="C84" s="226">
        <v>0.0</v>
      </c>
      <c r="D84" s="226" t="s">
        <v>331</v>
      </c>
    </row>
    <row r="85">
      <c r="A85" s="224" t="s">
        <v>519</v>
      </c>
      <c r="B85" s="225" t="s">
        <v>518</v>
      </c>
      <c r="C85" s="226" t="s">
        <v>331</v>
      </c>
      <c r="D85" s="226" t="s">
        <v>331</v>
      </c>
    </row>
    <row r="86">
      <c r="A86" s="224" t="s">
        <v>520</v>
      </c>
      <c r="B86" s="225" t="s">
        <v>521</v>
      </c>
      <c r="C86" s="226" t="s">
        <v>331</v>
      </c>
      <c r="D86" s="226" t="s">
        <v>331</v>
      </c>
    </row>
    <row r="87">
      <c r="A87" s="224" t="s">
        <v>522</v>
      </c>
      <c r="B87" s="225" t="s">
        <v>521</v>
      </c>
      <c r="C87" s="226">
        <v>0.0</v>
      </c>
      <c r="D87" s="226" t="s">
        <v>331</v>
      </c>
    </row>
    <row r="88">
      <c r="A88" s="224" t="s">
        <v>523</v>
      </c>
      <c r="B88" s="225" t="s">
        <v>524</v>
      </c>
      <c r="C88" s="226">
        <v>0.0</v>
      </c>
      <c r="D88" s="226" t="s">
        <v>331</v>
      </c>
    </row>
    <row r="89">
      <c r="A89" s="224" t="s">
        <v>525</v>
      </c>
      <c r="B89" s="225" t="s">
        <v>524</v>
      </c>
      <c r="C89" s="226">
        <v>0.0</v>
      </c>
      <c r="D89" s="226" t="s">
        <v>331</v>
      </c>
    </row>
    <row r="90">
      <c r="A90" s="224" t="s">
        <v>526</v>
      </c>
      <c r="B90" s="225" t="s">
        <v>143</v>
      </c>
      <c r="C90" s="226">
        <v>0.0</v>
      </c>
      <c r="D90" s="226" t="s">
        <v>331</v>
      </c>
    </row>
    <row r="91">
      <c r="A91" s="224" t="s">
        <v>527</v>
      </c>
      <c r="B91" s="225" t="s">
        <v>144</v>
      </c>
      <c r="C91" s="226" t="s">
        <v>331</v>
      </c>
      <c r="D91" s="226" t="s">
        <v>331</v>
      </c>
    </row>
    <row r="92">
      <c r="A92" s="224" t="s">
        <v>528</v>
      </c>
      <c r="B92" s="225" t="s">
        <v>144</v>
      </c>
      <c r="C92" s="226" t="s">
        <v>331</v>
      </c>
      <c r="D92" s="226" t="s">
        <v>331</v>
      </c>
    </row>
    <row r="93">
      <c r="A93" s="224" t="s">
        <v>529</v>
      </c>
      <c r="B93" s="225" t="s">
        <v>144</v>
      </c>
      <c r="C93" s="226">
        <v>0.0</v>
      </c>
      <c r="D93" s="226" t="s">
        <v>331</v>
      </c>
    </row>
    <row r="94">
      <c r="A94" s="224" t="s">
        <v>530</v>
      </c>
      <c r="B94" s="225" t="s">
        <v>144</v>
      </c>
      <c r="C94" s="226" t="s">
        <v>331</v>
      </c>
      <c r="D94" s="226" t="s">
        <v>331</v>
      </c>
    </row>
    <row r="95">
      <c r="A95" s="224" t="s">
        <v>531</v>
      </c>
      <c r="B95" s="225" t="s">
        <v>144</v>
      </c>
      <c r="C95" s="226">
        <v>0.0</v>
      </c>
      <c r="D95" s="226" t="s">
        <v>331</v>
      </c>
    </row>
    <row r="96">
      <c r="A96" s="224" t="s">
        <v>532</v>
      </c>
      <c r="B96" s="225" t="s">
        <v>144</v>
      </c>
      <c r="C96" s="226">
        <v>0.0</v>
      </c>
      <c r="D96" s="226" t="s">
        <v>331</v>
      </c>
    </row>
    <row r="97">
      <c r="A97" s="224" t="s">
        <v>533</v>
      </c>
      <c r="B97" s="225" t="s">
        <v>533</v>
      </c>
      <c r="C97" s="226" t="s">
        <v>331</v>
      </c>
      <c r="D97" s="226" t="s">
        <v>331</v>
      </c>
    </row>
    <row r="98">
      <c r="A98" s="224" t="s">
        <v>534</v>
      </c>
      <c r="B98" s="225" t="s">
        <v>145</v>
      </c>
      <c r="C98" s="226" t="s">
        <v>331</v>
      </c>
      <c r="D98" s="226" t="s">
        <v>331</v>
      </c>
    </row>
    <row r="99">
      <c r="A99" s="224" t="s">
        <v>535</v>
      </c>
      <c r="B99" s="225" t="s">
        <v>145</v>
      </c>
      <c r="C99" s="226">
        <v>0.0</v>
      </c>
      <c r="D99" s="226" t="s">
        <v>331</v>
      </c>
    </row>
    <row r="100">
      <c r="A100" s="224" t="s">
        <v>536</v>
      </c>
      <c r="B100" s="225" t="s">
        <v>145</v>
      </c>
      <c r="C100" s="226" t="s">
        <v>331</v>
      </c>
      <c r="D100" s="226" t="s">
        <v>331</v>
      </c>
    </row>
    <row r="101">
      <c r="A101" s="224" t="s">
        <v>537</v>
      </c>
      <c r="B101" s="225" t="s">
        <v>145</v>
      </c>
      <c r="C101" s="226" t="s">
        <v>331</v>
      </c>
      <c r="D101" s="226" t="s">
        <v>331</v>
      </c>
    </row>
    <row r="102">
      <c r="A102" s="224" t="s">
        <v>538</v>
      </c>
      <c r="B102" s="225" t="s">
        <v>146</v>
      </c>
      <c r="C102" s="226">
        <v>0.0</v>
      </c>
      <c r="D102" s="226" t="s">
        <v>331</v>
      </c>
    </row>
    <row r="103">
      <c r="A103" s="224" t="s">
        <v>539</v>
      </c>
      <c r="B103" s="225" t="s">
        <v>540</v>
      </c>
      <c r="C103" s="226" t="s">
        <v>331</v>
      </c>
      <c r="D103" s="226" t="s">
        <v>331</v>
      </c>
    </row>
    <row r="104">
      <c r="A104" s="224" t="s">
        <v>541</v>
      </c>
      <c r="B104" s="225" t="s">
        <v>147</v>
      </c>
      <c r="C104" s="226">
        <v>0.0</v>
      </c>
      <c r="D104" s="226" t="s">
        <v>331</v>
      </c>
    </row>
    <row r="105">
      <c r="A105" s="224" t="s">
        <v>542</v>
      </c>
      <c r="B105" s="225" t="s">
        <v>148</v>
      </c>
      <c r="C105" s="226">
        <v>0.0</v>
      </c>
      <c r="D105" s="226" t="s">
        <v>331</v>
      </c>
    </row>
    <row r="106">
      <c r="A106" s="224" t="s">
        <v>543</v>
      </c>
      <c r="B106" s="225" t="s">
        <v>148</v>
      </c>
      <c r="C106" s="226">
        <v>0.0</v>
      </c>
      <c r="D106" s="226" t="s">
        <v>331</v>
      </c>
    </row>
    <row r="107">
      <c r="A107" s="224" t="s">
        <v>544</v>
      </c>
      <c r="B107" s="225" t="s">
        <v>151</v>
      </c>
      <c r="C107" s="226">
        <v>0.0</v>
      </c>
      <c r="D107" s="226" t="s">
        <v>331</v>
      </c>
    </row>
    <row r="108">
      <c r="A108" s="224" t="s">
        <v>545</v>
      </c>
      <c r="B108" s="225" t="s">
        <v>151</v>
      </c>
      <c r="C108" s="226" t="s">
        <v>331</v>
      </c>
      <c r="D108" s="226" t="s">
        <v>331</v>
      </c>
    </row>
    <row r="109">
      <c r="A109" s="224" t="s">
        <v>546</v>
      </c>
      <c r="B109" s="225" t="s">
        <v>151</v>
      </c>
      <c r="C109" s="226" t="s">
        <v>317</v>
      </c>
      <c r="D109" s="226" t="s">
        <v>317</v>
      </c>
    </row>
    <row r="110">
      <c r="A110" s="224" t="s">
        <v>547</v>
      </c>
      <c r="B110" s="225" t="s">
        <v>151</v>
      </c>
      <c r="C110" s="226">
        <v>0.0</v>
      </c>
      <c r="D110" s="226" t="s">
        <v>331</v>
      </c>
    </row>
    <row r="111">
      <c r="A111" s="224" t="s">
        <v>548</v>
      </c>
      <c r="B111" s="225" t="s">
        <v>152</v>
      </c>
      <c r="C111" s="226" t="s">
        <v>331</v>
      </c>
      <c r="D111" s="226" t="s">
        <v>331</v>
      </c>
    </row>
    <row r="112">
      <c r="A112" s="224" t="s">
        <v>549</v>
      </c>
      <c r="B112" s="225" t="s">
        <v>152</v>
      </c>
      <c r="C112" s="226">
        <v>0.0</v>
      </c>
      <c r="D112" s="226" t="s">
        <v>331</v>
      </c>
    </row>
    <row r="113">
      <c r="A113" s="224" t="s">
        <v>550</v>
      </c>
      <c r="B113" s="225" t="s">
        <v>152</v>
      </c>
      <c r="C113" s="226" t="s">
        <v>331</v>
      </c>
      <c r="D113" s="226" t="s">
        <v>331</v>
      </c>
    </row>
    <row r="114">
      <c r="A114" s="224" t="s">
        <v>551</v>
      </c>
      <c r="B114" s="225" t="s">
        <v>152</v>
      </c>
      <c r="C114" s="226">
        <v>0.0</v>
      </c>
      <c r="D114" s="226" t="s">
        <v>331</v>
      </c>
    </row>
    <row r="115">
      <c r="A115" s="224" t="s">
        <v>552</v>
      </c>
      <c r="B115" s="225" t="s">
        <v>152</v>
      </c>
      <c r="C115" s="226" t="s">
        <v>331</v>
      </c>
      <c r="D115" s="226" t="s">
        <v>326</v>
      </c>
    </row>
    <row r="116">
      <c r="A116" s="224" t="s">
        <v>553</v>
      </c>
      <c r="B116" s="225" t="s">
        <v>152</v>
      </c>
      <c r="C116" s="226">
        <v>0.0</v>
      </c>
      <c r="D116" s="226" t="s">
        <v>331</v>
      </c>
    </row>
    <row r="117">
      <c r="A117" s="224" t="s">
        <v>554</v>
      </c>
      <c r="B117" s="225" t="s">
        <v>153</v>
      </c>
      <c r="C117" s="226">
        <v>0.0</v>
      </c>
      <c r="D117" s="226" t="s">
        <v>331</v>
      </c>
    </row>
    <row r="118">
      <c r="A118" s="224" t="s">
        <v>555</v>
      </c>
      <c r="B118" s="225" t="s">
        <v>153</v>
      </c>
      <c r="C118" s="226" t="s">
        <v>331</v>
      </c>
      <c r="D118" s="226" t="s">
        <v>331</v>
      </c>
    </row>
    <row r="119">
      <c r="A119" s="224" t="s">
        <v>556</v>
      </c>
      <c r="B119" s="225" t="s">
        <v>557</v>
      </c>
      <c r="C119" s="226" t="s">
        <v>331</v>
      </c>
      <c r="D119" s="226" t="s">
        <v>331</v>
      </c>
    </row>
    <row r="120">
      <c r="A120" s="224" t="s">
        <v>558</v>
      </c>
      <c r="B120" s="225" t="s">
        <v>557</v>
      </c>
      <c r="C120" s="226">
        <v>0.0</v>
      </c>
      <c r="D120" s="226" t="s">
        <v>331</v>
      </c>
    </row>
    <row r="121">
      <c r="A121" s="224" t="s">
        <v>559</v>
      </c>
      <c r="B121" s="225" t="s">
        <v>557</v>
      </c>
      <c r="C121" s="226" t="s">
        <v>331</v>
      </c>
      <c r="D121" s="226" t="s">
        <v>331</v>
      </c>
    </row>
    <row r="122">
      <c r="A122" s="224" t="s">
        <v>560</v>
      </c>
      <c r="B122" s="225" t="s">
        <v>154</v>
      </c>
      <c r="C122" s="226">
        <v>0.0</v>
      </c>
      <c r="D122" s="226" t="s">
        <v>331</v>
      </c>
    </row>
    <row r="123">
      <c r="A123" s="224" t="s">
        <v>561</v>
      </c>
      <c r="B123" s="225" t="s">
        <v>154</v>
      </c>
      <c r="C123" s="226">
        <v>0.0</v>
      </c>
      <c r="D123" s="226" t="s">
        <v>331</v>
      </c>
    </row>
    <row r="124">
      <c r="A124" s="224" t="s">
        <v>562</v>
      </c>
      <c r="B124" s="225" t="s">
        <v>154</v>
      </c>
      <c r="C124" s="226">
        <v>0.0</v>
      </c>
      <c r="D124" s="226" t="s">
        <v>331</v>
      </c>
    </row>
    <row r="125">
      <c r="A125" s="224" t="s">
        <v>563</v>
      </c>
      <c r="B125" s="225" t="s">
        <v>154</v>
      </c>
      <c r="C125" s="226" t="s">
        <v>331</v>
      </c>
      <c r="D125" s="226" t="s">
        <v>331</v>
      </c>
    </row>
    <row r="126">
      <c r="A126" s="224" t="s">
        <v>564</v>
      </c>
      <c r="B126" s="225" t="s">
        <v>154</v>
      </c>
      <c r="C126" s="226">
        <v>0.0</v>
      </c>
      <c r="D126" s="226" t="s">
        <v>331</v>
      </c>
    </row>
    <row r="127">
      <c r="A127" s="224" t="s">
        <v>565</v>
      </c>
      <c r="B127" s="225" t="s">
        <v>154</v>
      </c>
      <c r="C127" s="226" t="s">
        <v>331</v>
      </c>
      <c r="D127" s="226" t="s">
        <v>331</v>
      </c>
    </row>
    <row r="128">
      <c r="A128" s="224" t="s">
        <v>566</v>
      </c>
      <c r="B128" s="225" t="s">
        <v>154</v>
      </c>
      <c r="C128" s="226" t="s">
        <v>331</v>
      </c>
      <c r="D128" s="226" t="s">
        <v>331</v>
      </c>
    </row>
    <row r="129">
      <c r="A129" s="224" t="s">
        <v>567</v>
      </c>
      <c r="B129" s="225" t="s">
        <v>155</v>
      </c>
      <c r="C129" s="226" t="s">
        <v>331</v>
      </c>
      <c r="D129" s="226" t="s">
        <v>331</v>
      </c>
    </row>
    <row r="130">
      <c r="A130" s="224" t="s">
        <v>568</v>
      </c>
      <c r="B130" s="225" t="s">
        <v>155</v>
      </c>
      <c r="C130" s="226" t="s">
        <v>331</v>
      </c>
      <c r="D130" s="226" t="s">
        <v>331</v>
      </c>
    </row>
    <row r="131">
      <c r="A131" s="224" t="s">
        <v>569</v>
      </c>
      <c r="B131" s="225" t="s">
        <v>570</v>
      </c>
      <c r="C131" s="226" t="s">
        <v>331</v>
      </c>
      <c r="D131" s="226" t="s">
        <v>331</v>
      </c>
    </row>
    <row r="132">
      <c r="A132" s="224" t="s">
        <v>571</v>
      </c>
      <c r="B132" s="225" t="s">
        <v>570</v>
      </c>
      <c r="C132" s="226">
        <v>0.0</v>
      </c>
      <c r="D132" s="226" t="s">
        <v>331</v>
      </c>
    </row>
    <row r="133">
      <c r="A133" s="224" t="s">
        <v>572</v>
      </c>
      <c r="B133" s="225" t="s">
        <v>570</v>
      </c>
      <c r="C133" s="226" t="s">
        <v>331</v>
      </c>
      <c r="D133" s="226" t="s">
        <v>331</v>
      </c>
    </row>
    <row r="134">
      <c r="A134" s="224" t="s">
        <v>573</v>
      </c>
      <c r="B134" s="225" t="s">
        <v>570</v>
      </c>
      <c r="C134" s="226" t="s">
        <v>331</v>
      </c>
      <c r="D134" s="226" t="s">
        <v>331</v>
      </c>
    </row>
    <row r="135">
      <c r="A135" s="224" t="s">
        <v>574</v>
      </c>
      <c r="B135" s="225" t="s">
        <v>570</v>
      </c>
      <c r="C135" s="226">
        <v>0.0</v>
      </c>
      <c r="D135" s="226" t="s">
        <v>331</v>
      </c>
    </row>
    <row r="136">
      <c r="A136" s="224" t="s">
        <v>575</v>
      </c>
      <c r="B136" s="225" t="s">
        <v>570</v>
      </c>
      <c r="C136" s="226" t="s">
        <v>331</v>
      </c>
      <c r="D136" s="226" t="s">
        <v>331</v>
      </c>
    </row>
    <row r="137">
      <c r="A137" s="224" t="s">
        <v>576</v>
      </c>
      <c r="B137" s="225" t="s">
        <v>570</v>
      </c>
      <c r="C137" s="226">
        <v>0.0</v>
      </c>
      <c r="D137" s="226" t="s">
        <v>331</v>
      </c>
    </row>
    <row r="138">
      <c r="A138" s="224" t="s">
        <v>577</v>
      </c>
      <c r="B138" s="225" t="s">
        <v>570</v>
      </c>
      <c r="C138" s="226" t="s">
        <v>331</v>
      </c>
      <c r="D138" s="226" t="s">
        <v>331</v>
      </c>
    </row>
    <row r="139">
      <c r="A139" s="224" t="s">
        <v>578</v>
      </c>
      <c r="B139" s="225" t="s">
        <v>570</v>
      </c>
      <c r="C139" s="226" t="s">
        <v>331</v>
      </c>
      <c r="D139" s="226" t="s">
        <v>331</v>
      </c>
    </row>
    <row r="140">
      <c r="A140" s="224" t="s">
        <v>579</v>
      </c>
      <c r="B140" s="225" t="s">
        <v>570</v>
      </c>
      <c r="C140" s="226" t="s">
        <v>331</v>
      </c>
      <c r="D140" s="226" t="s">
        <v>331</v>
      </c>
    </row>
    <row r="141">
      <c r="A141" s="224" t="s">
        <v>580</v>
      </c>
      <c r="B141" s="225" t="s">
        <v>570</v>
      </c>
      <c r="C141" s="226" t="s">
        <v>331</v>
      </c>
      <c r="D141" s="226" t="s">
        <v>331</v>
      </c>
    </row>
    <row r="142">
      <c r="A142" s="224" t="s">
        <v>581</v>
      </c>
      <c r="B142" s="225" t="s">
        <v>570</v>
      </c>
      <c r="C142" s="226" t="s">
        <v>331</v>
      </c>
      <c r="D142" s="226" t="s">
        <v>331</v>
      </c>
    </row>
    <row r="143">
      <c r="A143" s="224" t="s">
        <v>582</v>
      </c>
      <c r="B143" s="225" t="s">
        <v>570</v>
      </c>
      <c r="C143" s="226">
        <v>0.0</v>
      </c>
      <c r="D143" s="226" t="s">
        <v>331</v>
      </c>
    </row>
    <row r="144">
      <c r="A144" s="224" t="s">
        <v>583</v>
      </c>
      <c r="B144" s="225" t="s">
        <v>570</v>
      </c>
      <c r="C144" s="226" t="s">
        <v>331</v>
      </c>
      <c r="D144" s="226" t="s">
        <v>331</v>
      </c>
    </row>
    <row r="145">
      <c r="A145" s="224" t="s">
        <v>584</v>
      </c>
      <c r="B145" s="225" t="s">
        <v>570</v>
      </c>
      <c r="C145" s="226">
        <v>0.0</v>
      </c>
      <c r="D145" s="226" t="s">
        <v>331</v>
      </c>
    </row>
    <row r="146">
      <c r="A146" s="224" t="s">
        <v>585</v>
      </c>
      <c r="B146" s="225" t="s">
        <v>570</v>
      </c>
      <c r="C146" s="226" t="s">
        <v>331</v>
      </c>
      <c r="D146" s="226" t="s">
        <v>331</v>
      </c>
    </row>
    <row r="147">
      <c r="A147" s="224" t="s">
        <v>586</v>
      </c>
      <c r="B147" s="225" t="s">
        <v>570</v>
      </c>
      <c r="C147" s="226">
        <v>0.0</v>
      </c>
      <c r="D147" s="226" t="s">
        <v>331</v>
      </c>
    </row>
    <row r="148">
      <c r="A148" s="224" t="s">
        <v>587</v>
      </c>
      <c r="B148" s="225" t="s">
        <v>570</v>
      </c>
      <c r="C148" s="226">
        <v>0.0</v>
      </c>
      <c r="D148" s="226" t="s">
        <v>331</v>
      </c>
    </row>
    <row r="149">
      <c r="A149" s="224" t="s">
        <v>588</v>
      </c>
      <c r="B149" s="225" t="s">
        <v>570</v>
      </c>
      <c r="C149" s="226">
        <v>0.0</v>
      </c>
      <c r="D149" s="226" t="s">
        <v>331</v>
      </c>
    </row>
    <row r="150">
      <c r="A150" s="224" t="s">
        <v>589</v>
      </c>
      <c r="B150" s="225" t="s">
        <v>570</v>
      </c>
      <c r="C150" s="226" t="s">
        <v>331</v>
      </c>
      <c r="D150" s="226" t="s">
        <v>331</v>
      </c>
    </row>
    <row r="151">
      <c r="A151" s="224" t="s">
        <v>590</v>
      </c>
      <c r="B151" s="225" t="s">
        <v>570</v>
      </c>
      <c r="C151" s="226">
        <v>0.0</v>
      </c>
      <c r="D151" s="226" t="s">
        <v>331</v>
      </c>
    </row>
    <row r="152">
      <c r="A152" s="224" t="s">
        <v>591</v>
      </c>
      <c r="B152" s="225" t="s">
        <v>570</v>
      </c>
      <c r="C152" s="226" t="s">
        <v>331</v>
      </c>
      <c r="D152" s="226" t="s">
        <v>331</v>
      </c>
    </row>
    <row r="153">
      <c r="A153" s="224" t="s">
        <v>592</v>
      </c>
      <c r="B153" s="225" t="s">
        <v>570</v>
      </c>
      <c r="C153" s="226">
        <v>0.0</v>
      </c>
      <c r="D153" s="226" t="s">
        <v>331</v>
      </c>
    </row>
    <row r="154">
      <c r="A154" s="224" t="s">
        <v>593</v>
      </c>
      <c r="B154" s="225" t="s">
        <v>156</v>
      </c>
      <c r="C154" s="226" t="s">
        <v>331</v>
      </c>
      <c r="D154" s="226" t="s">
        <v>331</v>
      </c>
    </row>
    <row r="155">
      <c r="A155" s="224" t="s">
        <v>594</v>
      </c>
      <c r="B155" s="225" t="s">
        <v>156</v>
      </c>
      <c r="C155" s="226" t="s">
        <v>331</v>
      </c>
      <c r="D155" s="226" t="s">
        <v>331</v>
      </c>
    </row>
    <row r="156">
      <c r="A156" s="224" t="s">
        <v>595</v>
      </c>
      <c r="B156" s="225" t="s">
        <v>156</v>
      </c>
      <c r="C156" s="226" t="s">
        <v>331</v>
      </c>
      <c r="D156" s="226" t="s">
        <v>331</v>
      </c>
    </row>
    <row r="157">
      <c r="A157" s="224" t="s">
        <v>596</v>
      </c>
      <c r="B157" s="225" t="s">
        <v>156</v>
      </c>
      <c r="C157" s="226">
        <v>0.0</v>
      </c>
      <c r="D157" s="226" t="s">
        <v>331</v>
      </c>
    </row>
    <row r="158">
      <c r="A158" s="224" t="s">
        <v>597</v>
      </c>
      <c r="B158" s="225" t="s">
        <v>156</v>
      </c>
      <c r="C158" s="226" t="s">
        <v>331</v>
      </c>
      <c r="D158" s="226" t="s">
        <v>331</v>
      </c>
    </row>
    <row r="159">
      <c r="A159" s="224" t="s">
        <v>598</v>
      </c>
      <c r="B159" s="225" t="s">
        <v>156</v>
      </c>
      <c r="C159" s="226">
        <v>0.0</v>
      </c>
      <c r="D159" s="226" t="s">
        <v>331</v>
      </c>
    </row>
    <row r="160">
      <c r="A160" s="224" t="s">
        <v>599</v>
      </c>
      <c r="B160" s="225" t="s">
        <v>156</v>
      </c>
      <c r="C160" s="226" t="s">
        <v>331</v>
      </c>
      <c r="D160" s="226" t="s">
        <v>317</v>
      </c>
    </row>
    <row r="161">
      <c r="A161" s="224" t="s">
        <v>600</v>
      </c>
      <c r="B161" s="225" t="s">
        <v>156</v>
      </c>
      <c r="C161" s="226" t="s">
        <v>331</v>
      </c>
      <c r="D161" s="226" t="s">
        <v>331</v>
      </c>
    </row>
    <row r="162">
      <c r="A162" s="224" t="s">
        <v>601</v>
      </c>
      <c r="B162" s="225" t="s">
        <v>156</v>
      </c>
      <c r="C162" s="226" t="s">
        <v>331</v>
      </c>
      <c r="D162" s="226" t="s">
        <v>317</v>
      </c>
    </row>
    <row r="163">
      <c r="A163" s="224" t="s">
        <v>602</v>
      </c>
      <c r="B163" s="225" t="s">
        <v>156</v>
      </c>
      <c r="C163" s="226" t="s">
        <v>331</v>
      </c>
      <c r="D163" s="226" t="s">
        <v>331</v>
      </c>
    </row>
    <row r="164">
      <c r="A164" s="224" t="s">
        <v>603</v>
      </c>
      <c r="B164" s="225" t="s">
        <v>156</v>
      </c>
      <c r="C164" s="226">
        <v>0.0</v>
      </c>
      <c r="D164" s="226" t="s">
        <v>317</v>
      </c>
    </row>
    <row r="165">
      <c r="A165" s="224" t="s">
        <v>604</v>
      </c>
      <c r="B165" s="225" t="s">
        <v>156</v>
      </c>
      <c r="C165" s="226" t="s">
        <v>331</v>
      </c>
      <c r="D165" s="226" t="s">
        <v>317</v>
      </c>
    </row>
    <row r="166">
      <c r="A166" s="224" t="s">
        <v>605</v>
      </c>
      <c r="B166" s="225" t="s">
        <v>156</v>
      </c>
      <c r="C166" s="226" t="s">
        <v>331</v>
      </c>
      <c r="D166" s="226" t="s">
        <v>331</v>
      </c>
    </row>
    <row r="167">
      <c r="A167" s="224" t="s">
        <v>606</v>
      </c>
      <c r="B167" s="225" t="s">
        <v>156</v>
      </c>
      <c r="C167" s="226">
        <v>0.0</v>
      </c>
      <c r="D167" s="226" t="s">
        <v>331</v>
      </c>
    </row>
    <row r="168">
      <c r="A168" s="224" t="s">
        <v>607</v>
      </c>
      <c r="B168" s="225" t="s">
        <v>156</v>
      </c>
      <c r="C168" s="226" t="s">
        <v>331</v>
      </c>
      <c r="D168" s="226" t="s">
        <v>331</v>
      </c>
    </row>
    <row r="169">
      <c r="A169" s="224" t="s">
        <v>608</v>
      </c>
      <c r="B169" s="225" t="s">
        <v>156</v>
      </c>
      <c r="C169" s="226" t="s">
        <v>331</v>
      </c>
      <c r="D169" s="226" t="s">
        <v>331</v>
      </c>
    </row>
    <row r="170">
      <c r="A170" s="224" t="s">
        <v>609</v>
      </c>
      <c r="B170" s="225" t="s">
        <v>156</v>
      </c>
      <c r="C170" s="226" t="s">
        <v>331</v>
      </c>
      <c r="D170" s="226" t="s">
        <v>331</v>
      </c>
    </row>
    <row r="171">
      <c r="A171" s="224" t="s">
        <v>610</v>
      </c>
      <c r="B171" s="225" t="s">
        <v>156</v>
      </c>
      <c r="C171" s="226">
        <v>0.0</v>
      </c>
      <c r="D171" s="226" t="s">
        <v>331</v>
      </c>
    </row>
    <row r="172">
      <c r="A172" s="224" t="s">
        <v>611</v>
      </c>
      <c r="B172" s="225" t="s">
        <v>156</v>
      </c>
      <c r="C172" s="226" t="s">
        <v>331</v>
      </c>
      <c r="D172" s="226" t="s">
        <v>331</v>
      </c>
    </row>
    <row r="173">
      <c r="A173" s="224" t="s">
        <v>612</v>
      </c>
      <c r="B173" s="225" t="s">
        <v>156</v>
      </c>
      <c r="C173" s="226">
        <v>0.0</v>
      </c>
      <c r="D173" s="226" t="s">
        <v>331</v>
      </c>
    </row>
    <row r="174">
      <c r="A174" s="224" t="s">
        <v>613</v>
      </c>
      <c r="B174" s="225" t="s">
        <v>156</v>
      </c>
      <c r="C174" s="226" t="s">
        <v>331</v>
      </c>
      <c r="D174" s="226" t="s">
        <v>331</v>
      </c>
    </row>
    <row r="175">
      <c r="A175" s="224" t="s">
        <v>614</v>
      </c>
      <c r="B175" s="225" t="s">
        <v>156</v>
      </c>
      <c r="C175" s="226" t="s">
        <v>331</v>
      </c>
      <c r="D175" s="226" t="s">
        <v>331</v>
      </c>
    </row>
    <row r="176">
      <c r="A176" s="224" t="s">
        <v>615</v>
      </c>
      <c r="B176" s="225" t="s">
        <v>156</v>
      </c>
      <c r="C176" s="226" t="s">
        <v>317</v>
      </c>
      <c r="D176" s="226" t="s">
        <v>326</v>
      </c>
    </row>
    <row r="177">
      <c r="A177" s="224" t="s">
        <v>616</v>
      </c>
      <c r="B177" s="225" t="s">
        <v>156</v>
      </c>
      <c r="C177" s="226" t="s">
        <v>331</v>
      </c>
      <c r="D177" s="226" t="s">
        <v>331</v>
      </c>
    </row>
    <row r="178">
      <c r="A178" s="224" t="s">
        <v>617</v>
      </c>
      <c r="B178" s="225" t="s">
        <v>156</v>
      </c>
      <c r="C178" s="226" t="s">
        <v>331</v>
      </c>
      <c r="D178" s="226" t="s">
        <v>331</v>
      </c>
    </row>
    <row r="179">
      <c r="A179" s="224" t="s">
        <v>618</v>
      </c>
      <c r="B179" s="225" t="s">
        <v>156</v>
      </c>
      <c r="C179" s="226" t="s">
        <v>331</v>
      </c>
      <c r="D179" s="226" t="s">
        <v>331</v>
      </c>
    </row>
    <row r="180">
      <c r="A180" s="224" t="s">
        <v>619</v>
      </c>
      <c r="B180" s="225" t="s">
        <v>156</v>
      </c>
      <c r="C180" s="226" t="s">
        <v>331</v>
      </c>
      <c r="D180" s="226" t="s">
        <v>317</v>
      </c>
    </row>
    <row r="181">
      <c r="A181" s="227" t="s">
        <v>620</v>
      </c>
      <c r="B181" s="225" t="s">
        <v>156</v>
      </c>
      <c r="C181" s="226">
        <v>0.0</v>
      </c>
      <c r="D181" s="226" t="s">
        <v>331</v>
      </c>
    </row>
    <row r="182">
      <c r="A182" s="224" t="s">
        <v>621</v>
      </c>
      <c r="B182" s="225" t="s">
        <v>156</v>
      </c>
      <c r="C182" s="226">
        <v>0.0</v>
      </c>
      <c r="D182" s="226" t="s">
        <v>331</v>
      </c>
    </row>
    <row r="183">
      <c r="A183" s="224" t="s">
        <v>622</v>
      </c>
      <c r="B183" s="225" t="s">
        <v>156</v>
      </c>
      <c r="C183" s="226">
        <v>0.0</v>
      </c>
      <c r="D183" s="226" t="s">
        <v>331</v>
      </c>
    </row>
    <row r="184">
      <c r="A184" s="224" t="s">
        <v>623</v>
      </c>
      <c r="B184" s="225" t="s">
        <v>156</v>
      </c>
      <c r="C184" s="226" t="s">
        <v>331</v>
      </c>
      <c r="D184" s="226" t="s">
        <v>317</v>
      </c>
    </row>
    <row r="185">
      <c r="A185" s="224" t="s">
        <v>624</v>
      </c>
      <c r="B185" s="225" t="s">
        <v>156</v>
      </c>
      <c r="C185" s="226" t="s">
        <v>331</v>
      </c>
      <c r="D185" s="226" t="s">
        <v>331</v>
      </c>
    </row>
    <row r="186">
      <c r="A186" s="227" t="s">
        <v>625</v>
      </c>
      <c r="B186" s="225" t="s">
        <v>156</v>
      </c>
      <c r="C186" s="226">
        <v>0.0</v>
      </c>
      <c r="D186" s="226" t="s">
        <v>331</v>
      </c>
    </row>
    <row r="187">
      <c r="A187" s="224" t="s">
        <v>626</v>
      </c>
      <c r="B187" s="225" t="s">
        <v>156</v>
      </c>
      <c r="C187" s="226" t="s">
        <v>317</v>
      </c>
      <c r="D187" s="226" t="s">
        <v>317</v>
      </c>
    </row>
    <row r="188">
      <c r="A188" s="224" t="s">
        <v>627</v>
      </c>
      <c r="B188" s="225" t="s">
        <v>156</v>
      </c>
      <c r="C188" s="226">
        <v>0.0</v>
      </c>
      <c r="D188" s="226" t="s">
        <v>317</v>
      </c>
    </row>
    <row r="189">
      <c r="A189" s="224" t="s">
        <v>628</v>
      </c>
      <c r="B189" s="225" t="s">
        <v>156</v>
      </c>
      <c r="C189" s="226">
        <v>0.0</v>
      </c>
      <c r="D189" s="226" t="s">
        <v>331</v>
      </c>
    </row>
    <row r="190">
      <c r="A190" s="224" t="s">
        <v>629</v>
      </c>
      <c r="B190" s="225" t="s">
        <v>156</v>
      </c>
      <c r="C190" s="226" t="s">
        <v>331</v>
      </c>
      <c r="D190" s="226" t="s">
        <v>331</v>
      </c>
    </row>
    <row r="191">
      <c r="A191" s="224" t="s">
        <v>630</v>
      </c>
      <c r="B191" s="225" t="s">
        <v>156</v>
      </c>
      <c r="C191" s="226">
        <v>0.0</v>
      </c>
      <c r="D191" s="226" t="s">
        <v>331</v>
      </c>
    </row>
    <row r="192">
      <c r="A192" s="224" t="s">
        <v>631</v>
      </c>
      <c r="B192" s="225" t="s">
        <v>156</v>
      </c>
      <c r="C192" s="226">
        <v>0.0</v>
      </c>
      <c r="D192" s="226" t="s">
        <v>331</v>
      </c>
    </row>
    <row r="193">
      <c r="A193" s="227" t="s">
        <v>632</v>
      </c>
      <c r="B193" s="225" t="s">
        <v>156</v>
      </c>
      <c r="C193" s="226" t="s">
        <v>331</v>
      </c>
      <c r="D193" s="226" t="s">
        <v>331</v>
      </c>
    </row>
    <row r="194">
      <c r="A194" s="224" t="s">
        <v>633</v>
      </c>
      <c r="B194" s="225" t="s">
        <v>156</v>
      </c>
      <c r="C194" s="226">
        <v>0.0</v>
      </c>
      <c r="D194" s="226" t="s">
        <v>331</v>
      </c>
    </row>
    <row r="195">
      <c r="A195" s="224" t="s">
        <v>634</v>
      </c>
      <c r="B195" s="225" t="s">
        <v>635</v>
      </c>
      <c r="C195" s="226" t="s">
        <v>331</v>
      </c>
      <c r="D195" s="226" t="s">
        <v>331</v>
      </c>
    </row>
    <row r="196">
      <c r="A196" s="224" t="s">
        <v>636</v>
      </c>
      <c r="B196" s="225" t="s">
        <v>637</v>
      </c>
      <c r="C196" s="226">
        <v>0.0</v>
      </c>
      <c r="D196" s="226" t="s">
        <v>331</v>
      </c>
    </row>
    <row r="197">
      <c r="A197" s="224" t="s">
        <v>638</v>
      </c>
      <c r="B197" s="225" t="s">
        <v>158</v>
      </c>
      <c r="C197" s="226" t="s">
        <v>331</v>
      </c>
      <c r="D197" s="226" t="s">
        <v>331</v>
      </c>
    </row>
    <row r="198">
      <c r="A198" s="224" t="s">
        <v>639</v>
      </c>
      <c r="B198" s="225" t="s">
        <v>158</v>
      </c>
      <c r="C198" s="226">
        <v>0.0</v>
      </c>
      <c r="D198" s="226" t="s">
        <v>331</v>
      </c>
    </row>
    <row r="199">
      <c r="A199" s="224" t="s">
        <v>640</v>
      </c>
      <c r="B199" s="225" t="s">
        <v>640</v>
      </c>
      <c r="C199" s="226" t="s">
        <v>331</v>
      </c>
      <c r="D199" s="226" t="s">
        <v>331</v>
      </c>
    </row>
    <row r="200">
      <c r="A200" s="224" t="s">
        <v>641</v>
      </c>
      <c r="B200" s="225" t="s">
        <v>642</v>
      </c>
      <c r="C200" s="226">
        <v>0.0</v>
      </c>
      <c r="D200" s="226" t="s">
        <v>331</v>
      </c>
    </row>
    <row r="201">
      <c r="A201" s="224" t="s">
        <v>643</v>
      </c>
      <c r="B201" s="225" t="s">
        <v>159</v>
      </c>
      <c r="C201" s="226" t="s">
        <v>331</v>
      </c>
      <c r="D201" s="226" t="s">
        <v>331</v>
      </c>
    </row>
    <row r="202">
      <c r="A202" s="224" t="s">
        <v>644</v>
      </c>
      <c r="B202" s="225" t="s">
        <v>159</v>
      </c>
      <c r="C202" s="226" t="s">
        <v>331</v>
      </c>
      <c r="D202" s="226" t="s">
        <v>331</v>
      </c>
    </row>
    <row r="203">
      <c r="A203" s="224" t="s">
        <v>645</v>
      </c>
      <c r="B203" s="225" t="s">
        <v>159</v>
      </c>
      <c r="C203" s="226">
        <v>0.0</v>
      </c>
      <c r="D203" s="226" t="s">
        <v>331</v>
      </c>
    </row>
    <row r="204">
      <c r="A204" s="224" t="s">
        <v>646</v>
      </c>
      <c r="B204" s="225" t="s">
        <v>159</v>
      </c>
      <c r="C204" s="226">
        <v>0.0</v>
      </c>
      <c r="D204" s="226" t="s">
        <v>331</v>
      </c>
    </row>
    <row r="205">
      <c r="A205" s="224" t="s">
        <v>647</v>
      </c>
      <c r="B205" s="225" t="s">
        <v>159</v>
      </c>
      <c r="C205" s="226" t="s">
        <v>331</v>
      </c>
      <c r="D205" s="226" t="s">
        <v>317</v>
      </c>
    </row>
    <row r="206">
      <c r="A206" s="224" t="s">
        <v>648</v>
      </c>
      <c r="B206" s="225" t="s">
        <v>159</v>
      </c>
      <c r="C206" s="226" t="s">
        <v>331</v>
      </c>
      <c r="D206" s="226" t="s">
        <v>331</v>
      </c>
    </row>
    <row r="207">
      <c r="A207" s="224" t="s">
        <v>649</v>
      </c>
      <c r="B207" s="225" t="s">
        <v>159</v>
      </c>
      <c r="C207" s="226" t="s">
        <v>331</v>
      </c>
      <c r="D207" s="226" t="s">
        <v>331</v>
      </c>
    </row>
    <row r="208">
      <c r="A208" s="224" t="s">
        <v>650</v>
      </c>
      <c r="B208" s="225" t="s">
        <v>160</v>
      </c>
      <c r="C208" s="226">
        <v>0.0</v>
      </c>
      <c r="D208" s="226" t="s">
        <v>331</v>
      </c>
    </row>
    <row r="209">
      <c r="A209" s="224" t="s">
        <v>651</v>
      </c>
      <c r="B209" s="225" t="s">
        <v>651</v>
      </c>
      <c r="C209" s="226" t="s">
        <v>331</v>
      </c>
      <c r="D209" s="226" t="s">
        <v>331</v>
      </c>
    </row>
    <row r="210">
      <c r="A210" s="224" t="s">
        <v>652</v>
      </c>
      <c r="B210" s="225" t="s">
        <v>652</v>
      </c>
      <c r="C210" s="226" t="s">
        <v>331</v>
      </c>
      <c r="D210" s="226" t="s">
        <v>331</v>
      </c>
    </row>
    <row r="211">
      <c r="A211" s="224" t="s">
        <v>653</v>
      </c>
      <c r="B211" s="225" t="s">
        <v>161</v>
      </c>
      <c r="C211" s="226">
        <v>0.0</v>
      </c>
      <c r="D211" s="226" t="s">
        <v>331</v>
      </c>
    </row>
    <row r="212">
      <c r="A212" s="224" t="s">
        <v>654</v>
      </c>
      <c r="B212" s="225" t="s">
        <v>161</v>
      </c>
      <c r="C212" s="226">
        <v>0.0</v>
      </c>
      <c r="D212" s="226" t="s">
        <v>331</v>
      </c>
    </row>
    <row r="213">
      <c r="A213" s="224" t="s">
        <v>655</v>
      </c>
      <c r="B213" s="225" t="s">
        <v>656</v>
      </c>
      <c r="C213" s="226">
        <v>0.0</v>
      </c>
      <c r="D213" s="226" t="s">
        <v>331</v>
      </c>
    </row>
    <row r="214">
      <c r="A214" s="224" t="s">
        <v>657</v>
      </c>
      <c r="B214" s="225" t="s">
        <v>163</v>
      </c>
      <c r="C214" s="226" t="s">
        <v>331</v>
      </c>
      <c r="D214" s="226" t="s">
        <v>331</v>
      </c>
    </row>
    <row r="215">
      <c r="A215" s="224" t="s">
        <v>658</v>
      </c>
      <c r="B215" s="225" t="s">
        <v>163</v>
      </c>
      <c r="C215" s="226">
        <v>0.0</v>
      </c>
      <c r="D215" s="226" t="s">
        <v>331</v>
      </c>
    </row>
    <row r="216">
      <c r="A216" s="224" t="s">
        <v>659</v>
      </c>
      <c r="B216" s="225" t="s">
        <v>163</v>
      </c>
      <c r="C216" s="226" t="s">
        <v>331</v>
      </c>
      <c r="D216" s="226" t="s">
        <v>331</v>
      </c>
    </row>
    <row r="217">
      <c r="A217" s="224" t="s">
        <v>660</v>
      </c>
      <c r="B217" s="225" t="s">
        <v>163</v>
      </c>
      <c r="C217" s="226">
        <v>0.0</v>
      </c>
      <c r="D217" s="226" t="s">
        <v>317</v>
      </c>
    </row>
    <row r="218">
      <c r="A218" s="224" t="s">
        <v>661</v>
      </c>
      <c r="B218" s="225" t="s">
        <v>661</v>
      </c>
      <c r="C218" s="226">
        <v>0.0</v>
      </c>
      <c r="D218" s="226" t="s">
        <v>331</v>
      </c>
    </row>
    <row r="219">
      <c r="A219" s="224" t="s">
        <v>662</v>
      </c>
      <c r="B219" s="225" t="s">
        <v>165</v>
      </c>
      <c r="C219" s="226" t="s">
        <v>331</v>
      </c>
      <c r="D219" s="226" t="s">
        <v>331</v>
      </c>
    </row>
    <row r="220">
      <c r="A220" s="224" t="s">
        <v>663</v>
      </c>
      <c r="B220" s="225" t="s">
        <v>165</v>
      </c>
      <c r="C220" s="226" t="s">
        <v>331</v>
      </c>
      <c r="D220" s="226" t="s">
        <v>331</v>
      </c>
    </row>
    <row r="221">
      <c r="A221" s="224" t="s">
        <v>664</v>
      </c>
      <c r="B221" s="225" t="s">
        <v>165</v>
      </c>
      <c r="C221" s="226" t="s">
        <v>331</v>
      </c>
      <c r="D221" s="226" t="s">
        <v>331</v>
      </c>
    </row>
    <row r="222">
      <c r="A222" s="224" t="s">
        <v>665</v>
      </c>
      <c r="B222" s="225" t="s">
        <v>166</v>
      </c>
      <c r="C222" s="226">
        <v>0.0</v>
      </c>
      <c r="D222" s="226" t="s">
        <v>331</v>
      </c>
    </row>
    <row r="223">
      <c r="A223" s="224" t="s">
        <v>666</v>
      </c>
      <c r="B223" s="225" t="s">
        <v>166</v>
      </c>
      <c r="C223" s="226">
        <v>0.0</v>
      </c>
      <c r="D223" s="226" t="s">
        <v>331</v>
      </c>
    </row>
    <row r="224">
      <c r="A224" s="224" t="s">
        <v>667</v>
      </c>
      <c r="B224" s="225" t="s">
        <v>166</v>
      </c>
      <c r="C224" s="226" t="s">
        <v>331</v>
      </c>
      <c r="D224" s="226" t="s">
        <v>331</v>
      </c>
    </row>
    <row r="225">
      <c r="A225" s="224" t="s">
        <v>668</v>
      </c>
      <c r="B225" s="225" t="s">
        <v>167</v>
      </c>
      <c r="C225" s="226">
        <v>0.0</v>
      </c>
      <c r="D225" s="226" t="s">
        <v>331</v>
      </c>
    </row>
    <row r="226">
      <c r="A226" s="224" t="s">
        <v>669</v>
      </c>
      <c r="B226" s="225" t="s">
        <v>167</v>
      </c>
      <c r="C226" s="226" t="s">
        <v>331</v>
      </c>
      <c r="D226" s="226" t="s">
        <v>331</v>
      </c>
    </row>
    <row r="227">
      <c r="A227" s="224" t="s">
        <v>670</v>
      </c>
      <c r="B227" s="225" t="s">
        <v>167</v>
      </c>
      <c r="C227" s="226" t="s">
        <v>331</v>
      </c>
      <c r="D227" s="226" t="s">
        <v>331</v>
      </c>
    </row>
    <row r="228">
      <c r="A228" s="224" t="s">
        <v>671</v>
      </c>
      <c r="B228" s="225" t="s">
        <v>167</v>
      </c>
      <c r="C228" s="226">
        <v>0.0</v>
      </c>
      <c r="D228" s="226" t="s">
        <v>331</v>
      </c>
    </row>
    <row r="229">
      <c r="A229" s="224" t="s">
        <v>672</v>
      </c>
      <c r="B229" s="225" t="s">
        <v>167</v>
      </c>
      <c r="C229" s="226" t="s">
        <v>331</v>
      </c>
      <c r="D229" s="226" t="s">
        <v>331</v>
      </c>
    </row>
    <row r="230">
      <c r="A230" s="224" t="s">
        <v>673</v>
      </c>
      <c r="B230" s="225" t="s">
        <v>167</v>
      </c>
      <c r="C230" s="226" t="s">
        <v>331</v>
      </c>
      <c r="D230" s="226" t="s">
        <v>331</v>
      </c>
    </row>
    <row r="231">
      <c r="A231" s="224" t="s">
        <v>674</v>
      </c>
      <c r="B231" s="225" t="s">
        <v>167</v>
      </c>
      <c r="C231" s="226" t="s">
        <v>331</v>
      </c>
      <c r="D231" s="226" t="s">
        <v>331</v>
      </c>
    </row>
    <row r="232">
      <c r="A232" s="224" t="s">
        <v>675</v>
      </c>
      <c r="B232" s="225" t="s">
        <v>676</v>
      </c>
      <c r="C232" s="226" t="s">
        <v>317</v>
      </c>
      <c r="D232" s="226" t="s">
        <v>343</v>
      </c>
    </row>
    <row r="233">
      <c r="A233" s="228"/>
      <c r="B233" s="229" t="s">
        <v>677</v>
      </c>
      <c r="C233" s="230" t="s">
        <v>678</v>
      </c>
      <c r="D233" s="230" t="s">
        <v>679</v>
      </c>
    </row>
    <row r="234">
      <c r="A234" s="231" t="s">
        <v>680</v>
      </c>
      <c r="B234" s="86"/>
      <c r="C234" s="86"/>
      <c r="D234" s="35"/>
    </row>
    <row r="235">
      <c r="A235" s="224" t="s">
        <v>429</v>
      </c>
      <c r="B235" s="225" t="s">
        <v>430</v>
      </c>
      <c r="C235" s="226">
        <v>0.0</v>
      </c>
      <c r="D235" s="226" t="s">
        <v>331</v>
      </c>
    </row>
    <row r="236">
      <c r="A236" s="224" t="s">
        <v>431</v>
      </c>
      <c r="B236" s="225" t="s">
        <v>430</v>
      </c>
      <c r="C236" s="226" t="s">
        <v>331</v>
      </c>
      <c r="D236" s="226" t="s">
        <v>331</v>
      </c>
    </row>
    <row r="237">
      <c r="A237" s="224" t="s">
        <v>432</v>
      </c>
      <c r="B237" s="225" t="s">
        <v>129</v>
      </c>
      <c r="C237" s="226">
        <v>0.0</v>
      </c>
      <c r="D237" s="226" t="s">
        <v>331</v>
      </c>
    </row>
    <row r="238">
      <c r="A238" s="224" t="s">
        <v>437</v>
      </c>
      <c r="B238" s="225" t="s">
        <v>438</v>
      </c>
      <c r="C238" s="226" t="s">
        <v>331</v>
      </c>
      <c r="D238" s="226" t="s">
        <v>331</v>
      </c>
    </row>
    <row r="239">
      <c r="A239" s="224" t="s">
        <v>441</v>
      </c>
      <c r="B239" s="225" t="s">
        <v>440</v>
      </c>
      <c r="C239" s="226">
        <v>0.0</v>
      </c>
      <c r="D239" s="226" t="s">
        <v>331</v>
      </c>
    </row>
    <row r="240">
      <c r="A240" s="224" t="s">
        <v>442</v>
      </c>
      <c r="B240" s="225" t="s">
        <v>440</v>
      </c>
      <c r="C240" s="226" t="s">
        <v>331</v>
      </c>
      <c r="D240" s="226" t="s">
        <v>331</v>
      </c>
    </row>
    <row r="241">
      <c r="A241" s="224" t="s">
        <v>443</v>
      </c>
      <c r="B241" s="225" t="s">
        <v>440</v>
      </c>
      <c r="C241" s="226" t="s">
        <v>317</v>
      </c>
      <c r="D241" s="226" t="s">
        <v>317</v>
      </c>
    </row>
    <row r="242">
      <c r="A242" s="224" t="s">
        <v>681</v>
      </c>
      <c r="B242" s="225" t="s">
        <v>440</v>
      </c>
      <c r="C242" s="226" t="s">
        <v>331</v>
      </c>
      <c r="D242" s="226" t="s">
        <v>331</v>
      </c>
    </row>
    <row r="243">
      <c r="A243" s="224" t="s">
        <v>682</v>
      </c>
      <c r="B243" s="225" t="s">
        <v>440</v>
      </c>
      <c r="C243" s="226" t="s">
        <v>331</v>
      </c>
      <c r="D243" s="226" t="s">
        <v>331</v>
      </c>
    </row>
    <row r="244">
      <c r="A244" s="224" t="s">
        <v>448</v>
      </c>
      <c r="B244" s="225" t="s">
        <v>445</v>
      </c>
      <c r="C244" s="226" t="s">
        <v>331</v>
      </c>
      <c r="D244" s="226" t="s">
        <v>331</v>
      </c>
    </row>
    <row r="245">
      <c r="A245" s="224" t="s">
        <v>449</v>
      </c>
      <c r="B245" s="225" t="s">
        <v>131</v>
      </c>
      <c r="C245" s="226">
        <v>0.0</v>
      </c>
      <c r="D245" s="226" t="s">
        <v>331</v>
      </c>
    </row>
    <row r="246">
      <c r="A246" s="224" t="s">
        <v>450</v>
      </c>
      <c r="B246" s="225" t="s">
        <v>131</v>
      </c>
      <c r="C246" s="226">
        <v>0.0</v>
      </c>
      <c r="D246" s="226" t="s">
        <v>331</v>
      </c>
    </row>
    <row r="247">
      <c r="A247" s="224" t="s">
        <v>461</v>
      </c>
      <c r="B247" s="225" t="s">
        <v>454</v>
      </c>
      <c r="C247" s="226">
        <v>0.0</v>
      </c>
      <c r="D247" s="226" t="s">
        <v>331</v>
      </c>
    </row>
    <row r="248">
      <c r="A248" s="224" t="s">
        <v>683</v>
      </c>
      <c r="B248" s="225" t="s">
        <v>454</v>
      </c>
      <c r="C248" s="226" t="s">
        <v>331</v>
      </c>
      <c r="D248" s="226" t="s">
        <v>331</v>
      </c>
    </row>
    <row r="249">
      <c r="A249" s="224" t="s">
        <v>469</v>
      </c>
      <c r="B249" s="225" t="s">
        <v>454</v>
      </c>
      <c r="C249" s="226">
        <v>0.0</v>
      </c>
      <c r="D249" s="226" t="s">
        <v>331</v>
      </c>
    </row>
    <row r="250">
      <c r="A250" s="224" t="s">
        <v>471</v>
      </c>
      <c r="B250" s="225" t="s">
        <v>132</v>
      </c>
      <c r="C250" s="226" t="s">
        <v>331</v>
      </c>
      <c r="D250" s="226" t="s">
        <v>317</v>
      </c>
    </row>
    <row r="251">
      <c r="A251" s="224" t="s">
        <v>472</v>
      </c>
      <c r="B251" s="225" t="s">
        <v>132</v>
      </c>
      <c r="C251" s="226">
        <v>0.0</v>
      </c>
      <c r="D251" s="226" t="s">
        <v>331</v>
      </c>
    </row>
    <row r="252">
      <c r="A252" s="224" t="s">
        <v>473</v>
      </c>
      <c r="B252" s="225" t="s">
        <v>132</v>
      </c>
      <c r="C252" s="226">
        <v>0.0</v>
      </c>
      <c r="D252" s="226" t="s">
        <v>331</v>
      </c>
    </row>
    <row r="253">
      <c r="A253" s="224" t="s">
        <v>475</v>
      </c>
      <c r="B253" s="225" t="s">
        <v>132</v>
      </c>
      <c r="C253" s="226">
        <v>0.0</v>
      </c>
      <c r="D253" s="226" t="s">
        <v>331</v>
      </c>
    </row>
    <row r="254">
      <c r="A254" s="224" t="s">
        <v>684</v>
      </c>
      <c r="B254" s="225" t="s">
        <v>479</v>
      </c>
      <c r="C254" s="226" t="s">
        <v>331</v>
      </c>
      <c r="D254" s="226" t="s">
        <v>331</v>
      </c>
    </row>
    <row r="255">
      <c r="A255" s="224" t="s">
        <v>478</v>
      </c>
      <c r="B255" s="225" t="s">
        <v>479</v>
      </c>
      <c r="C255" s="226">
        <v>0.0</v>
      </c>
      <c r="D255" s="226" t="s">
        <v>331</v>
      </c>
    </row>
    <row r="256">
      <c r="A256" s="224" t="s">
        <v>480</v>
      </c>
      <c r="B256" s="225" t="s">
        <v>134</v>
      </c>
      <c r="C256" s="226">
        <v>0.0</v>
      </c>
      <c r="D256" s="226" t="s">
        <v>331</v>
      </c>
    </row>
    <row r="257">
      <c r="A257" s="224" t="s">
        <v>482</v>
      </c>
      <c r="B257" s="225" t="s">
        <v>134</v>
      </c>
      <c r="C257" s="226" t="s">
        <v>331</v>
      </c>
      <c r="D257" s="226" t="s">
        <v>331</v>
      </c>
    </row>
    <row r="258">
      <c r="A258" s="224" t="s">
        <v>485</v>
      </c>
      <c r="B258" s="225" t="s">
        <v>134</v>
      </c>
      <c r="C258" s="226">
        <v>0.0</v>
      </c>
      <c r="D258" s="226" t="s">
        <v>331</v>
      </c>
    </row>
    <row r="259">
      <c r="A259" s="224" t="s">
        <v>488</v>
      </c>
      <c r="B259" s="225" t="s">
        <v>135</v>
      </c>
      <c r="C259" s="226" t="s">
        <v>331</v>
      </c>
      <c r="D259" s="226" t="s">
        <v>317</v>
      </c>
    </row>
    <row r="260">
      <c r="A260" s="224" t="s">
        <v>489</v>
      </c>
      <c r="B260" s="225" t="s">
        <v>135</v>
      </c>
      <c r="C260" s="226" t="s">
        <v>331</v>
      </c>
      <c r="D260" s="226" t="s">
        <v>317</v>
      </c>
    </row>
    <row r="261">
      <c r="A261" s="224" t="s">
        <v>685</v>
      </c>
      <c r="B261" s="225" t="s">
        <v>135</v>
      </c>
      <c r="C261" s="226">
        <v>0.0</v>
      </c>
      <c r="D261" s="226" t="s">
        <v>331</v>
      </c>
    </row>
    <row r="262">
      <c r="A262" s="224" t="s">
        <v>686</v>
      </c>
      <c r="B262" s="225" t="s">
        <v>135</v>
      </c>
      <c r="C262" s="226" t="s">
        <v>331</v>
      </c>
      <c r="D262" s="226" t="s">
        <v>331</v>
      </c>
    </row>
    <row r="263">
      <c r="A263" s="224" t="s">
        <v>491</v>
      </c>
      <c r="B263" s="225" t="s">
        <v>135</v>
      </c>
      <c r="C263" s="226">
        <v>0.0</v>
      </c>
      <c r="D263" s="226" t="s">
        <v>331</v>
      </c>
    </row>
    <row r="264">
      <c r="A264" s="224" t="s">
        <v>687</v>
      </c>
      <c r="B264" s="225" t="s">
        <v>135</v>
      </c>
      <c r="C264" s="226">
        <v>0.0</v>
      </c>
      <c r="D264" s="226" t="s">
        <v>331</v>
      </c>
    </row>
    <row r="265">
      <c r="A265" s="224" t="s">
        <v>688</v>
      </c>
      <c r="B265" s="225" t="s">
        <v>135</v>
      </c>
      <c r="C265" s="226">
        <v>0.0</v>
      </c>
      <c r="D265" s="226" t="s">
        <v>331</v>
      </c>
    </row>
    <row r="266">
      <c r="A266" s="224" t="s">
        <v>689</v>
      </c>
      <c r="B266" s="225" t="s">
        <v>135</v>
      </c>
      <c r="C266" s="226">
        <v>0.0</v>
      </c>
      <c r="D266" s="226" t="s">
        <v>331</v>
      </c>
    </row>
    <row r="267">
      <c r="A267" s="224" t="s">
        <v>690</v>
      </c>
      <c r="B267" s="225" t="s">
        <v>135</v>
      </c>
      <c r="C267" s="226" t="s">
        <v>331</v>
      </c>
      <c r="D267" s="226" t="s">
        <v>317</v>
      </c>
    </row>
    <row r="268">
      <c r="A268" s="224" t="s">
        <v>691</v>
      </c>
      <c r="B268" s="225" t="s">
        <v>135</v>
      </c>
      <c r="C268" s="226">
        <v>0.0</v>
      </c>
      <c r="D268" s="226" t="s">
        <v>331</v>
      </c>
    </row>
    <row r="269">
      <c r="A269" s="224" t="s">
        <v>496</v>
      </c>
      <c r="B269" s="225" t="s">
        <v>135</v>
      </c>
      <c r="C269" s="226">
        <v>0.0</v>
      </c>
      <c r="D269" s="226" t="s">
        <v>331</v>
      </c>
    </row>
    <row r="270">
      <c r="A270" s="224" t="s">
        <v>692</v>
      </c>
      <c r="B270" s="225" t="s">
        <v>136</v>
      </c>
      <c r="C270" s="226">
        <v>0.0</v>
      </c>
      <c r="D270" s="226" t="s">
        <v>331</v>
      </c>
    </row>
    <row r="271">
      <c r="A271" s="224" t="s">
        <v>498</v>
      </c>
      <c r="B271" s="225" t="s">
        <v>136</v>
      </c>
      <c r="C271" s="226">
        <v>0.0</v>
      </c>
      <c r="D271" s="226" t="s">
        <v>331</v>
      </c>
    </row>
    <row r="272">
      <c r="A272" s="224" t="s">
        <v>693</v>
      </c>
      <c r="B272" s="225" t="s">
        <v>136</v>
      </c>
      <c r="C272" s="226">
        <v>0.0</v>
      </c>
      <c r="D272" s="226" t="s">
        <v>331</v>
      </c>
    </row>
    <row r="273">
      <c r="A273" s="224" t="s">
        <v>500</v>
      </c>
      <c r="B273" s="225" t="s">
        <v>136</v>
      </c>
      <c r="C273" s="226">
        <v>0.0</v>
      </c>
      <c r="D273" s="226" t="s">
        <v>331</v>
      </c>
    </row>
    <row r="274">
      <c r="A274" s="224" t="s">
        <v>502</v>
      </c>
      <c r="B274" s="225" t="s">
        <v>503</v>
      </c>
      <c r="C274" s="226" t="s">
        <v>331</v>
      </c>
      <c r="D274" s="226" t="s">
        <v>331</v>
      </c>
    </row>
    <row r="275">
      <c r="A275" s="224" t="s">
        <v>509</v>
      </c>
      <c r="B275" s="225" t="s">
        <v>138</v>
      </c>
      <c r="C275" s="226" t="s">
        <v>331</v>
      </c>
      <c r="D275" s="226" t="s">
        <v>331</v>
      </c>
    </row>
    <row r="276">
      <c r="A276" s="224" t="s">
        <v>510</v>
      </c>
      <c r="B276" s="225" t="s">
        <v>138</v>
      </c>
      <c r="C276" s="226" t="s">
        <v>331</v>
      </c>
      <c r="D276" s="226" t="s">
        <v>331</v>
      </c>
    </row>
    <row r="277">
      <c r="A277" s="224" t="s">
        <v>514</v>
      </c>
      <c r="B277" s="225" t="s">
        <v>138</v>
      </c>
      <c r="C277" s="226">
        <v>0.0</v>
      </c>
      <c r="D277" s="226" t="s">
        <v>331</v>
      </c>
    </row>
    <row r="278">
      <c r="A278" s="224" t="s">
        <v>694</v>
      </c>
      <c r="B278" s="225" t="s">
        <v>138</v>
      </c>
      <c r="C278" s="226" t="s">
        <v>331</v>
      </c>
      <c r="D278" s="226" t="s">
        <v>331</v>
      </c>
    </row>
    <row r="279">
      <c r="A279" s="224" t="s">
        <v>695</v>
      </c>
      <c r="B279" s="225" t="s">
        <v>518</v>
      </c>
      <c r="C279" s="226">
        <v>0.0</v>
      </c>
      <c r="D279" s="226" t="s">
        <v>331</v>
      </c>
    </row>
    <row r="280">
      <c r="A280" s="224" t="s">
        <v>520</v>
      </c>
      <c r="B280" s="225" t="s">
        <v>521</v>
      </c>
      <c r="C280" s="226" t="s">
        <v>331</v>
      </c>
      <c r="D280" s="226" t="s">
        <v>331</v>
      </c>
    </row>
    <row r="281">
      <c r="A281" s="224" t="s">
        <v>523</v>
      </c>
      <c r="B281" s="225" t="s">
        <v>524</v>
      </c>
      <c r="C281" s="226" t="s">
        <v>331</v>
      </c>
      <c r="D281" s="226" t="s">
        <v>331</v>
      </c>
    </row>
    <row r="282">
      <c r="A282" s="224" t="s">
        <v>525</v>
      </c>
      <c r="B282" s="225" t="s">
        <v>524</v>
      </c>
      <c r="C282" s="226" t="s">
        <v>331</v>
      </c>
      <c r="D282" s="226" t="s">
        <v>331</v>
      </c>
    </row>
    <row r="283">
      <c r="A283" s="224" t="s">
        <v>696</v>
      </c>
      <c r="B283" s="225" t="s">
        <v>697</v>
      </c>
      <c r="C283" s="226" t="s">
        <v>331</v>
      </c>
      <c r="D283" s="226" t="s">
        <v>331</v>
      </c>
    </row>
    <row r="284">
      <c r="A284" s="224" t="s">
        <v>528</v>
      </c>
      <c r="B284" s="225" t="s">
        <v>144</v>
      </c>
      <c r="C284" s="226">
        <v>0.0</v>
      </c>
      <c r="D284" s="226" t="s">
        <v>331</v>
      </c>
    </row>
    <row r="285">
      <c r="A285" s="224" t="s">
        <v>529</v>
      </c>
      <c r="B285" s="225" t="s">
        <v>144</v>
      </c>
      <c r="C285" s="226" t="s">
        <v>331</v>
      </c>
      <c r="D285" s="226" t="s">
        <v>331</v>
      </c>
    </row>
    <row r="286">
      <c r="A286" s="224" t="s">
        <v>530</v>
      </c>
      <c r="B286" s="225" t="s">
        <v>144</v>
      </c>
      <c r="C286" s="226">
        <v>0.0</v>
      </c>
      <c r="D286" s="226" t="s">
        <v>331</v>
      </c>
    </row>
    <row r="287">
      <c r="A287" s="224" t="s">
        <v>531</v>
      </c>
      <c r="B287" s="225" t="s">
        <v>144</v>
      </c>
      <c r="C287" s="226" t="s">
        <v>331</v>
      </c>
      <c r="D287" s="226" t="s">
        <v>331</v>
      </c>
    </row>
    <row r="288">
      <c r="A288" s="224" t="s">
        <v>698</v>
      </c>
      <c r="B288" s="225" t="s">
        <v>699</v>
      </c>
      <c r="C288" s="226">
        <v>0.0</v>
      </c>
      <c r="D288" s="226" t="s">
        <v>331</v>
      </c>
    </row>
    <row r="289">
      <c r="A289" s="224" t="s">
        <v>534</v>
      </c>
      <c r="B289" s="225" t="s">
        <v>145</v>
      </c>
      <c r="C289" s="226" t="s">
        <v>331</v>
      </c>
      <c r="D289" s="226" t="s">
        <v>331</v>
      </c>
    </row>
    <row r="290">
      <c r="A290" s="224" t="s">
        <v>537</v>
      </c>
      <c r="B290" s="225" t="s">
        <v>145</v>
      </c>
      <c r="C290" s="226" t="s">
        <v>331</v>
      </c>
      <c r="D290" s="226" t="s">
        <v>331</v>
      </c>
    </row>
    <row r="291">
      <c r="A291" s="224" t="s">
        <v>539</v>
      </c>
      <c r="B291" s="225" t="s">
        <v>540</v>
      </c>
      <c r="C291" s="226" t="s">
        <v>331</v>
      </c>
      <c r="D291" s="226" t="s">
        <v>317</v>
      </c>
    </row>
    <row r="292">
      <c r="A292" s="224" t="s">
        <v>545</v>
      </c>
      <c r="B292" s="225" t="s">
        <v>151</v>
      </c>
      <c r="C292" s="226">
        <v>0.0</v>
      </c>
      <c r="D292" s="226" t="s">
        <v>331</v>
      </c>
    </row>
    <row r="293">
      <c r="A293" s="224" t="s">
        <v>548</v>
      </c>
      <c r="B293" s="225" t="s">
        <v>152</v>
      </c>
      <c r="C293" s="226">
        <v>0.0</v>
      </c>
      <c r="D293" s="226" t="s">
        <v>331</v>
      </c>
    </row>
    <row r="294">
      <c r="A294" s="224" t="s">
        <v>549</v>
      </c>
      <c r="B294" s="225" t="s">
        <v>152</v>
      </c>
      <c r="C294" s="226">
        <v>0.0</v>
      </c>
      <c r="D294" s="226" t="s">
        <v>331</v>
      </c>
    </row>
    <row r="295">
      <c r="A295" s="224" t="s">
        <v>550</v>
      </c>
      <c r="B295" s="225" t="s">
        <v>152</v>
      </c>
      <c r="C295" s="226">
        <v>0.0</v>
      </c>
      <c r="D295" s="226" t="s">
        <v>331</v>
      </c>
    </row>
    <row r="296">
      <c r="A296" s="224" t="s">
        <v>551</v>
      </c>
      <c r="B296" s="225" t="s">
        <v>152</v>
      </c>
      <c r="C296" s="226">
        <v>0.0</v>
      </c>
      <c r="D296" s="226" t="s">
        <v>331</v>
      </c>
    </row>
    <row r="297">
      <c r="A297" s="224" t="s">
        <v>552</v>
      </c>
      <c r="B297" s="225" t="s">
        <v>152</v>
      </c>
      <c r="C297" s="226">
        <v>0.0</v>
      </c>
      <c r="D297" s="226" t="s">
        <v>331</v>
      </c>
    </row>
    <row r="298">
      <c r="A298" s="224" t="s">
        <v>554</v>
      </c>
      <c r="B298" s="225" t="s">
        <v>153</v>
      </c>
      <c r="C298" s="226">
        <v>0.0</v>
      </c>
      <c r="D298" s="226" t="s">
        <v>331</v>
      </c>
    </row>
    <row r="299">
      <c r="A299" s="224" t="s">
        <v>700</v>
      </c>
      <c r="B299" s="225" t="s">
        <v>153</v>
      </c>
      <c r="C299" s="226">
        <v>0.0</v>
      </c>
      <c r="D299" s="226" t="s">
        <v>331</v>
      </c>
    </row>
    <row r="300">
      <c r="A300" s="224" t="s">
        <v>556</v>
      </c>
      <c r="B300" s="225" t="s">
        <v>557</v>
      </c>
      <c r="C300" s="226">
        <v>0.0</v>
      </c>
      <c r="D300" s="226" t="s">
        <v>331</v>
      </c>
    </row>
    <row r="301">
      <c r="A301" s="224" t="s">
        <v>559</v>
      </c>
      <c r="B301" s="225" t="s">
        <v>557</v>
      </c>
      <c r="C301" s="226" t="s">
        <v>331</v>
      </c>
      <c r="D301" s="226" t="s">
        <v>331</v>
      </c>
    </row>
    <row r="302">
      <c r="A302" s="224" t="s">
        <v>701</v>
      </c>
      <c r="B302" s="225" t="s">
        <v>154</v>
      </c>
      <c r="C302" s="226" t="s">
        <v>331</v>
      </c>
      <c r="D302" s="226" t="s">
        <v>326</v>
      </c>
    </row>
    <row r="303">
      <c r="A303" s="224" t="s">
        <v>702</v>
      </c>
      <c r="B303" s="225" t="s">
        <v>154</v>
      </c>
      <c r="C303" s="226">
        <v>0.0</v>
      </c>
      <c r="D303" s="226" t="s">
        <v>331</v>
      </c>
    </row>
    <row r="304">
      <c r="A304" s="224" t="s">
        <v>560</v>
      </c>
      <c r="B304" s="225" t="s">
        <v>154</v>
      </c>
      <c r="C304" s="226">
        <v>0.0</v>
      </c>
      <c r="D304" s="226" t="s">
        <v>331</v>
      </c>
    </row>
    <row r="305">
      <c r="A305" s="224" t="s">
        <v>561</v>
      </c>
      <c r="B305" s="225" t="s">
        <v>154</v>
      </c>
      <c r="C305" s="226">
        <v>0.0</v>
      </c>
      <c r="D305" s="226" t="s">
        <v>331</v>
      </c>
    </row>
    <row r="306">
      <c r="A306" s="224" t="s">
        <v>703</v>
      </c>
      <c r="B306" s="225" t="s">
        <v>154</v>
      </c>
      <c r="C306" s="226">
        <v>0.0</v>
      </c>
      <c r="D306" s="226" t="s">
        <v>331</v>
      </c>
    </row>
    <row r="307">
      <c r="A307" s="224" t="s">
        <v>704</v>
      </c>
      <c r="B307" s="225" t="s">
        <v>154</v>
      </c>
      <c r="C307" s="226">
        <v>0.0</v>
      </c>
      <c r="D307" s="226" t="s">
        <v>331</v>
      </c>
    </row>
    <row r="308">
      <c r="A308" s="224" t="s">
        <v>705</v>
      </c>
      <c r="B308" s="225" t="s">
        <v>154</v>
      </c>
      <c r="C308" s="226" t="s">
        <v>331</v>
      </c>
      <c r="D308" s="226" t="s">
        <v>331</v>
      </c>
    </row>
    <row r="309">
      <c r="A309" s="224" t="s">
        <v>563</v>
      </c>
      <c r="B309" s="225" t="s">
        <v>154</v>
      </c>
      <c r="C309" s="226" t="s">
        <v>331</v>
      </c>
      <c r="D309" s="226" t="s">
        <v>317</v>
      </c>
    </row>
    <row r="310">
      <c r="A310" s="224" t="s">
        <v>706</v>
      </c>
      <c r="B310" s="225" t="s">
        <v>154</v>
      </c>
      <c r="C310" s="226" t="s">
        <v>331</v>
      </c>
      <c r="D310" s="226" t="s">
        <v>331</v>
      </c>
    </row>
    <row r="311">
      <c r="A311" s="224" t="s">
        <v>564</v>
      </c>
      <c r="B311" s="225" t="s">
        <v>154</v>
      </c>
      <c r="C311" s="226">
        <v>0.0</v>
      </c>
      <c r="D311" s="226" t="s">
        <v>317</v>
      </c>
    </row>
    <row r="312">
      <c r="A312" s="224" t="s">
        <v>565</v>
      </c>
      <c r="B312" s="225" t="s">
        <v>154</v>
      </c>
      <c r="C312" s="226" t="s">
        <v>331</v>
      </c>
      <c r="D312" s="226" t="s">
        <v>331</v>
      </c>
    </row>
    <row r="313">
      <c r="A313" s="224" t="s">
        <v>707</v>
      </c>
      <c r="B313" s="225" t="s">
        <v>154</v>
      </c>
      <c r="C313" s="226" t="s">
        <v>331</v>
      </c>
      <c r="D313" s="226" t="s">
        <v>331</v>
      </c>
    </row>
    <row r="314">
      <c r="A314" s="224" t="s">
        <v>566</v>
      </c>
      <c r="B314" s="225" t="s">
        <v>154</v>
      </c>
      <c r="C314" s="226" t="s">
        <v>331</v>
      </c>
      <c r="D314" s="226" t="s">
        <v>317</v>
      </c>
    </row>
    <row r="315">
      <c r="A315" s="224" t="s">
        <v>568</v>
      </c>
      <c r="B315" s="225" t="s">
        <v>155</v>
      </c>
      <c r="C315" s="226">
        <v>0.0</v>
      </c>
      <c r="D315" s="226" t="s">
        <v>331</v>
      </c>
    </row>
    <row r="316">
      <c r="A316" s="224" t="s">
        <v>708</v>
      </c>
      <c r="B316" s="225" t="s">
        <v>155</v>
      </c>
      <c r="C316" s="226">
        <v>0.0</v>
      </c>
      <c r="D316" s="226" t="s">
        <v>331</v>
      </c>
    </row>
    <row r="317">
      <c r="A317" s="224" t="s">
        <v>572</v>
      </c>
      <c r="B317" s="225" t="s">
        <v>570</v>
      </c>
      <c r="C317" s="226" t="s">
        <v>331</v>
      </c>
      <c r="D317" s="226" t="s">
        <v>331</v>
      </c>
    </row>
    <row r="318">
      <c r="A318" s="224" t="s">
        <v>709</v>
      </c>
      <c r="B318" s="225" t="s">
        <v>570</v>
      </c>
      <c r="C318" s="226">
        <v>0.0</v>
      </c>
      <c r="D318" s="226" t="s">
        <v>331</v>
      </c>
    </row>
    <row r="319">
      <c r="A319" s="224" t="s">
        <v>579</v>
      </c>
      <c r="B319" s="225" t="s">
        <v>570</v>
      </c>
      <c r="C319" s="226" t="s">
        <v>331</v>
      </c>
      <c r="D319" s="226" t="s">
        <v>331</v>
      </c>
    </row>
    <row r="320">
      <c r="A320" s="224" t="s">
        <v>710</v>
      </c>
      <c r="B320" s="225" t="s">
        <v>570</v>
      </c>
      <c r="C320" s="226">
        <v>0.0</v>
      </c>
      <c r="D320" s="226" t="s">
        <v>331</v>
      </c>
    </row>
    <row r="321">
      <c r="A321" s="224" t="s">
        <v>580</v>
      </c>
      <c r="B321" s="225" t="s">
        <v>570</v>
      </c>
      <c r="C321" s="226">
        <v>0.0</v>
      </c>
      <c r="D321" s="226" t="s">
        <v>331</v>
      </c>
    </row>
    <row r="322">
      <c r="A322" s="224" t="s">
        <v>585</v>
      </c>
      <c r="B322" s="225" t="s">
        <v>570</v>
      </c>
      <c r="C322" s="226">
        <v>0.0</v>
      </c>
      <c r="D322" s="226" t="s">
        <v>331</v>
      </c>
    </row>
    <row r="323">
      <c r="A323" s="224" t="s">
        <v>587</v>
      </c>
      <c r="B323" s="225" t="s">
        <v>570</v>
      </c>
      <c r="C323" s="226">
        <v>0.0</v>
      </c>
      <c r="D323" s="226" t="s">
        <v>331</v>
      </c>
    </row>
    <row r="324">
      <c r="A324" s="224" t="s">
        <v>588</v>
      </c>
      <c r="B324" s="225" t="s">
        <v>570</v>
      </c>
      <c r="C324" s="226">
        <v>0.0</v>
      </c>
      <c r="D324" s="226" t="s">
        <v>331</v>
      </c>
    </row>
    <row r="325">
      <c r="A325" s="224" t="s">
        <v>591</v>
      </c>
      <c r="B325" s="225" t="s">
        <v>570</v>
      </c>
      <c r="C325" s="226" t="s">
        <v>331</v>
      </c>
      <c r="D325" s="226" t="s">
        <v>331</v>
      </c>
    </row>
    <row r="326">
      <c r="A326" s="224" t="s">
        <v>711</v>
      </c>
      <c r="B326" s="225" t="s">
        <v>570</v>
      </c>
      <c r="C326" s="226">
        <v>0.0</v>
      </c>
      <c r="D326" s="226" t="s">
        <v>331</v>
      </c>
    </row>
    <row r="327">
      <c r="A327" s="224" t="s">
        <v>593</v>
      </c>
      <c r="B327" s="225" t="s">
        <v>156</v>
      </c>
      <c r="C327" s="226">
        <v>0.0</v>
      </c>
      <c r="D327" s="226" t="s">
        <v>331</v>
      </c>
    </row>
    <row r="328">
      <c r="A328" s="224" t="s">
        <v>594</v>
      </c>
      <c r="B328" s="225" t="s">
        <v>156</v>
      </c>
      <c r="C328" s="226">
        <v>0.0</v>
      </c>
      <c r="D328" s="226" t="s">
        <v>331</v>
      </c>
    </row>
    <row r="329">
      <c r="A329" s="224" t="s">
        <v>597</v>
      </c>
      <c r="B329" s="225" t="s">
        <v>156</v>
      </c>
      <c r="C329" s="226">
        <v>0.0</v>
      </c>
      <c r="D329" s="226" t="s">
        <v>331</v>
      </c>
    </row>
    <row r="330">
      <c r="A330" s="224" t="s">
        <v>598</v>
      </c>
      <c r="B330" s="225" t="s">
        <v>156</v>
      </c>
      <c r="C330" s="226">
        <v>0.0</v>
      </c>
      <c r="D330" s="226" t="s">
        <v>331</v>
      </c>
    </row>
    <row r="331">
      <c r="A331" s="224" t="s">
        <v>599</v>
      </c>
      <c r="B331" s="225" t="s">
        <v>156</v>
      </c>
      <c r="C331" s="226">
        <v>0.0</v>
      </c>
      <c r="D331" s="226" t="s">
        <v>331</v>
      </c>
    </row>
    <row r="332">
      <c r="A332" s="224" t="s">
        <v>601</v>
      </c>
      <c r="B332" s="225" t="s">
        <v>156</v>
      </c>
      <c r="C332" s="226" t="s">
        <v>331</v>
      </c>
      <c r="D332" s="226" t="s">
        <v>331</v>
      </c>
    </row>
    <row r="333">
      <c r="A333" s="224" t="s">
        <v>602</v>
      </c>
      <c r="B333" s="225" t="s">
        <v>156</v>
      </c>
      <c r="C333" s="226">
        <v>0.0</v>
      </c>
      <c r="D333" s="226" t="s">
        <v>331</v>
      </c>
    </row>
    <row r="334">
      <c r="A334" s="224" t="s">
        <v>604</v>
      </c>
      <c r="B334" s="225" t="s">
        <v>156</v>
      </c>
      <c r="C334" s="226">
        <v>0.0</v>
      </c>
      <c r="D334" s="226" t="s">
        <v>331</v>
      </c>
    </row>
    <row r="335">
      <c r="A335" s="224" t="s">
        <v>605</v>
      </c>
      <c r="B335" s="225" t="s">
        <v>156</v>
      </c>
      <c r="C335" s="226" t="s">
        <v>331</v>
      </c>
      <c r="D335" s="226" t="s">
        <v>331</v>
      </c>
    </row>
    <row r="336">
      <c r="A336" s="224" t="s">
        <v>712</v>
      </c>
      <c r="B336" s="225" t="s">
        <v>156</v>
      </c>
      <c r="C336" s="226">
        <v>0.0</v>
      </c>
      <c r="D336" s="226" t="s">
        <v>331</v>
      </c>
    </row>
    <row r="337">
      <c r="A337" s="224" t="s">
        <v>609</v>
      </c>
      <c r="B337" s="225" t="s">
        <v>156</v>
      </c>
      <c r="C337" s="226" t="s">
        <v>331</v>
      </c>
      <c r="D337" s="226" t="s">
        <v>317</v>
      </c>
    </row>
    <row r="338">
      <c r="A338" s="224" t="s">
        <v>610</v>
      </c>
      <c r="B338" s="225" t="s">
        <v>156</v>
      </c>
      <c r="C338" s="226">
        <v>0.0</v>
      </c>
      <c r="D338" s="226" t="s">
        <v>331</v>
      </c>
    </row>
    <row r="339">
      <c r="A339" s="224" t="s">
        <v>611</v>
      </c>
      <c r="B339" s="225" t="s">
        <v>156</v>
      </c>
      <c r="C339" s="226">
        <v>0.0</v>
      </c>
      <c r="D339" s="226" t="s">
        <v>317</v>
      </c>
    </row>
    <row r="340">
      <c r="A340" s="224" t="s">
        <v>612</v>
      </c>
      <c r="B340" s="225" t="s">
        <v>156</v>
      </c>
      <c r="C340" s="226" t="s">
        <v>331</v>
      </c>
      <c r="D340" s="226" t="s">
        <v>331</v>
      </c>
    </row>
    <row r="341">
      <c r="A341" s="224" t="s">
        <v>713</v>
      </c>
      <c r="B341" s="225" t="s">
        <v>156</v>
      </c>
      <c r="C341" s="226">
        <v>0.0</v>
      </c>
      <c r="D341" s="226" t="s">
        <v>331</v>
      </c>
    </row>
    <row r="342">
      <c r="A342" s="224" t="s">
        <v>615</v>
      </c>
      <c r="B342" s="225" t="s">
        <v>156</v>
      </c>
      <c r="C342" s="226" t="s">
        <v>331</v>
      </c>
      <c r="D342" s="226" t="s">
        <v>317</v>
      </c>
    </row>
    <row r="343">
      <c r="A343" s="224" t="s">
        <v>616</v>
      </c>
      <c r="B343" s="225" t="s">
        <v>156</v>
      </c>
      <c r="C343" s="226">
        <v>0.0</v>
      </c>
      <c r="D343" s="226" t="s">
        <v>331</v>
      </c>
    </row>
    <row r="344">
      <c r="A344" s="224" t="s">
        <v>617</v>
      </c>
      <c r="B344" s="225" t="s">
        <v>156</v>
      </c>
      <c r="C344" s="226" t="s">
        <v>331</v>
      </c>
      <c r="D344" s="226" t="s">
        <v>331</v>
      </c>
    </row>
    <row r="345">
      <c r="A345" s="224" t="s">
        <v>618</v>
      </c>
      <c r="B345" s="225" t="s">
        <v>156</v>
      </c>
      <c r="C345" s="226">
        <v>0.0</v>
      </c>
      <c r="D345" s="226" t="s">
        <v>331</v>
      </c>
    </row>
    <row r="346">
      <c r="A346" s="224" t="s">
        <v>619</v>
      </c>
      <c r="B346" s="225" t="s">
        <v>156</v>
      </c>
      <c r="C346" s="226">
        <v>0.0</v>
      </c>
      <c r="D346" s="226" t="s">
        <v>317</v>
      </c>
    </row>
    <row r="347">
      <c r="A347" s="224" t="s">
        <v>714</v>
      </c>
      <c r="B347" s="225" t="s">
        <v>156</v>
      </c>
      <c r="C347" s="226">
        <v>0.0</v>
      </c>
      <c r="D347" s="226" t="s">
        <v>331</v>
      </c>
    </row>
    <row r="348">
      <c r="A348" s="224" t="s">
        <v>621</v>
      </c>
      <c r="B348" s="225" t="s">
        <v>156</v>
      </c>
      <c r="C348" s="226" t="s">
        <v>331</v>
      </c>
      <c r="D348" s="226" t="s">
        <v>331</v>
      </c>
    </row>
    <row r="349">
      <c r="A349" s="224" t="s">
        <v>622</v>
      </c>
      <c r="B349" s="225" t="s">
        <v>156</v>
      </c>
      <c r="C349" s="226" t="s">
        <v>331</v>
      </c>
      <c r="D349" s="226" t="s">
        <v>331</v>
      </c>
    </row>
    <row r="350">
      <c r="A350" s="224" t="s">
        <v>624</v>
      </c>
      <c r="B350" s="225" t="s">
        <v>156</v>
      </c>
      <c r="C350" s="226">
        <v>0.0</v>
      </c>
      <c r="D350" s="226" t="s">
        <v>331</v>
      </c>
    </row>
    <row r="351">
      <c r="A351" s="227" t="s">
        <v>625</v>
      </c>
      <c r="B351" s="225" t="s">
        <v>156</v>
      </c>
      <c r="C351" s="226">
        <v>0.0</v>
      </c>
      <c r="D351" s="226" t="s">
        <v>331</v>
      </c>
    </row>
    <row r="352">
      <c r="A352" s="224" t="s">
        <v>626</v>
      </c>
      <c r="B352" s="225" t="s">
        <v>156</v>
      </c>
      <c r="C352" s="226" t="s">
        <v>331</v>
      </c>
      <c r="D352" s="226" t="s">
        <v>331</v>
      </c>
    </row>
    <row r="353">
      <c r="A353" s="224" t="s">
        <v>628</v>
      </c>
      <c r="B353" s="225" t="s">
        <v>156</v>
      </c>
      <c r="C353" s="226">
        <v>0.0</v>
      </c>
      <c r="D353" s="226" t="s">
        <v>331</v>
      </c>
    </row>
    <row r="354">
      <c r="A354" s="224" t="s">
        <v>629</v>
      </c>
      <c r="B354" s="225" t="s">
        <v>156</v>
      </c>
      <c r="C354" s="226">
        <v>0.0</v>
      </c>
      <c r="D354" s="226" t="s">
        <v>331</v>
      </c>
    </row>
    <row r="355">
      <c r="A355" s="224" t="s">
        <v>715</v>
      </c>
      <c r="B355" s="225" t="s">
        <v>716</v>
      </c>
      <c r="C355" s="226">
        <v>0.0</v>
      </c>
      <c r="D355" s="226" t="s">
        <v>331</v>
      </c>
    </row>
    <row r="356">
      <c r="A356" s="224" t="s">
        <v>717</v>
      </c>
      <c r="B356" s="225" t="s">
        <v>158</v>
      </c>
      <c r="C356" s="226">
        <v>0.0</v>
      </c>
      <c r="D356" s="226" t="s">
        <v>331</v>
      </c>
    </row>
    <row r="357">
      <c r="A357" s="224" t="s">
        <v>640</v>
      </c>
      <c r="B357" s="225" t="s">
        <v>640</v>
      </c>
      <c r="C357" s="226">
        <v>0.0</v>
      </c>
      <c r="D357" s="226" t="s">
        <v>331</v>
      </c>
    </row>
    <row r="358">
      <c r="A358" s="224" t="s">
        <v>647</v>
      </c>
      <c r="B358" s="225" t="s">
        <v>159</v>
      </c>
      <c r="C358" s="226">
        <v>0.0</v>
      </c>
      <c r="D358" s="226" t="s">
        <v>331</v>
      </c>
    </row>
    <row r="359">
      <c r="A359" s="224" t="s">
        <v>648</v>
      </c>
      <c r="B359" s="225" t="s">
        <v>159</v>
      </c>
      <c r="C359" s="226">
        <v>0.0</v>
      </c>
      <c r="D359" s="226" t="s">
        <v>331</v>
      </c>
    </row>
    <row r="360">
      <c r="A360" s="224" t="s">
        <v>652</v>
      </c>
      <c r="B360" s="225" t="s">
        <v>652</v>
      </c>
      <c r="C360" s="226" t="s">
        <v>331</v>
      </c>
      <c r="D360" s="226" t="s">
        <v>331</v>
      </c>
    </row>
    <row r="361">
      <c r="A361" s="224" t="s">
        <v>718</v>
      </c>
      <c r="B361" s="225" t="s">
        <v>719</v>
      </c>
      <c r="C361" s="226">
        <v>0.0</v>
      </c>
      <c r="D361" s="226" t="s">
        <v>331</v>
      </c>
    </row>
    <row r="362">
      <c r="A362" s="224" t="s">
        <v>720</v>
      </c>
      <c r="B362" s="225" t="s">
        <v>163</v>
      </c>
      <c r="C362" s="226">
        <v>0.0</v>
      </c>
      <c r="D362" s="226" t="s">
        <v>331</v>
      </c>
    </row>
    <row r="363">
      <c r="A363" s="224" t="s">
        <v>721</v>
      </c>
      <c r="B363" s="225" t="s">
        <v>163</v>
      </c>
      <c r="C363" s="226">
        <v>0.0</v>
      </c>
      <c r="D363" s="226" t="s">
        <v>331</v>
      </c>
    </row>
    <row r="364">
      <c r="A364" s="224" t="s">
        <v>722</v>
      </c>
      <c r="B364" s="225" t="s">
        <v>163</v>
      </c>
      <c r="C364" s="226">
        <v>0.0</v>
      </c>
      <c r="D364" s="226" t="s">
        <v>331</v>
      </c>
    </row>
    <row r="365">
      <c r="A365" s="224" t="s">
        <v>723</v>
      </c>
      <c r="B365" s="225" t="s">
        <v>163</v>
      </c>
      <c r="C365" s="226" t="s">
        <v>331</v>
      </c>
      <c r="D365" s="226" t="s">
        <v>331</v>
      </c>
    </row>
    <row r="366">
      <c r="A366" s="224" t="s">
        <v>658</v>
      </c>
      <c r="B366" s="225" t="s">
        <v>163</v>
      </c>
      <c r="C366" s="226">
        <v>0.0</v>
      </c>
      <c r="D366" s="226" t="s">
        <v>331</v>
      </c>
    </row>
    <row r="367">
      <c r="A367" s="224" t="s">
        <v>659</v>
      </c>
      <c r="B367" s="225" t="s">
        <v>163</v>
      </c>
      <c r="C367" s="226" t="s">
        <v>331</v>
      </c>
      <c r="D367" s="226" t="s">
        <v>331</v>
      </c>
    </row>
    <row r="368">
      <c r="A368" s="224" t="s">
        <v>660</v>
      </c>
      <c r="B368" s="225" t="s">
        <v>163</v>
      </c>
      <c r="C368" s="226">
        <v>0.0</v>
      </c>
      <c r="D368" s="226" t="s">
        <v>331</v>
      </c>
    </row>
    <row r="369">
      <c r="A369" s="224" t="s">
        <v>724</v>
      </c>
      <c r="B369" s="225" t="s">
        <v>163</v>
      </c>
      <c r="C369" s="226">
        <v>0.0</v>
      </c>
      <c r="D369" s="226" t="s">
        <v>331</v>
      </c>
    </row>
    <row r="370">
      <c r="A370" s="224" t="s">
        <v>725</v>
      </c>
      <c r="B370" s="225" t="s">
        <v>163</v>
      </c>
      <c r="C370" s="226" t="s">
        <v>331</v>
      </c>
      <c r="D370" s="226" t="s">
        <v>331</v>
      </c>
    </row>
    <row r="371">
      <c r="A371" s="224" t="s">
        <v>726</v>
      </c>
      <c r="B371" s="225" t="s">
        <v>165</v>
      </c>
      <c r="C371" s="226">
        <v>0.0</v>
      </c>
      <c r="D371" s="226" t="s">
        <v>331</v>
      </c>
    </row>
    <row r="372">
      <c r="A372" s="224" t="s">
        <v>662</v>
      </c>
      <c r="B372" s="225" t="s">
        <v>165</v>
      </c>
      <c r="C372" s="226" t="s">
        <v>331</v>
      </c>
      <c r="D372" s="226" t="s">
        <v>331</v>
      </c>
    </row>
    <row r="373">
      <c r="A373" s="224" t="s">
        <v>668</v>
      </c>
      <c r="B373" s="225" t="s">
        <v>167</v>
      </c>
      <c r="C373" s="226">
        <v>0.0</v>
      </c>
      <c r="D373" s="226" t="s">
        <v>331</v>
      </c>
    </row>
    <row r="374">
      <c r="A374" s="224" t="s">
        <v>670</v>
      </c>
      <c r="B374" s="225" t="s">
        <v>167</v>
      </c>
      <c r="C374" s="226">
        <v>0.0</v>
      </c>
      <c r="D374" s="226" t="s">
        <v>331</v>
      </c>
    </row>
    <row r="375">
      <c r="A375" s="224" t="s">
        <v>671</v>
      </c>
      <c r="B375" s="225" t="s">
        <v>167</v>
      </c>
      <c r="C375" s="226">
        <v>0.0</v>
      </c>
      <c r="D375" s="226" t="s">
        <v>331</v>
      </c>
    </row>
    <row r="376">
      <c r="A376" s="224" t="s">
        <v>674</v>
      </c>
      <c r="B376" s="225" t="s">
        <v>167</v>
      </c>
      <c r="C376" s="226" t="s">
        <v>331</v>
      </c>
      <c r="D376" s="226" t="s">
        <v>317</v>
      </c>
    </row>
    <row r="377">
      <c r="A377" s="224" t="s">
        <v>727</v>
      </c>
      <c r="B377" s="225" t="s">
        <v>167</v>
      </c>
      <c r="C377" s="226">
        <v>0.0</v>
      </c>
      <c r="D377" s="226" t="s">
        <v>331</v>
      </c>
    </row>
    <row r="378">
      <c r="A378" s="224" t="s">
        <v>728</v>
      </c>
      <c r="B378" s="225" t="s">
        <v>167</v>
      </c>
      <c r="C378" s="226">
        <v>0.0</v>
      </c>
      <c r="D378" s="226" t="s">
        <v>331</v>
      </c>
    </row>
    <row r="379">
      <c r="A379" s="224" t="s">
        <v>675</v>
      </c>
      <c r="B379" s="225" t="s">
        <v>676</v>
      </c>
      <c r="C379" s="226">
        <v>0.0</v>
      </c>
      <c r="D379" s="226" t="s">
        <v>331</v>
      </c>
    </row>
    <row r="380">
      <c r="A380" s="232"/>
      <c r="B380" s="229" t="s">
        <v>677</v>
      </c>
      <c r="C380" s="230" t="s">
        <v>328</v>
      </c>
      <c r="D380" s="230" t="s">
        <v>729</v>
      </c>
    </row>
    <row r="381" ht="99.75" customHeight="1">
      <c r="A381" s="233" t="s">
        <v>730</v>
      </c>
      <c r="B381" s="86"/>
      <c r="C381" s="86"/>
      <c r="D381" s="35"/>
    </row>
  </sheetData>
  <mergeCells count="5">
    <mergeCell ref="A1:D1"/>
    <mergeCell ref="A2:D2"/>
    <mergeCell ref="A4:D4"/>
    <mergeCell ref="A234:D234"/>
    <mergeCell ref="A381:D38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4">
        <f>IFERROR(__xludf.DUMMYFUNCTION("filter( Trends!A1:AO1000, row(Trends!A1:A1000) &gt; counta(Trends!A1:A1000) - 199 )"),43935.0)</f>
        <v>43935</v>
      </c>
      <c r="B1" s="172">
        <f>IFERROR(__xludf.DUMMYFUNCTION("""COMPUTED_VALUE"""),289.0)</f>
        <v>289</v>
      </c>
      <c r="C1" s="172">
        <f>IFERROR(__xludf.DUMMYFUNCTION("""COMPUTED_VALUE"""),255.0)</f>
        <v>255</v>
      </c>
      <c r="D1" s="172">
        <f>IFERROR(__xludf.DUMMYFUNCTION("""COMPUTED_VALUE"""),3670.0)</f>
        <v>3670</v>
      </c>
      <c r="E1" s="172">
        <f>IFERROR(__xludf.DUMMYFUNCTION("""COMPUTED_VALUE"""),1787.0)</f>
        <v>1787</v>
      </c>
      <c r="F1" s="172">
        <f>IFERROR(__xludf.DUMMYFUNCTION("""COMPUTED_VALUE"""),23015.0)</f>
        <v>23015</v>
      </c>
      <c r="G1" s="172">
        <f>IFERROR(__xludf.DUMMYFUNCTION("""COMPUTED_VALUE"""),2076.0)</f>
        <v>2076</v>
      </c>
      <c r="H1" s="172">
        <f>IFERROR(__xludf.DUMMYFUNCTION("""COMPUTED_VALUE"""),26685.0)</f>
        <v>26685</v>
      </c>
      <c r="I1" s="172">
        <f>IFERROR(__xludf.DUMMYFUNCTION("""COMPUTED_VALUE"""),262.0)</f>
        <v>262</v>
      </c>
      <c r="J1" s="172">
        <f>IFERROR(__xludf.DUMMYFUNCTION("""COMPUTED_VALUE"""),245.0)</f>
        <v>245</v>
      </c>
      <c r="K1" s="172">
        <f>IFERROR(__xludf.DUMMYFUNCTION("""COMPUTED_VALUE"""),3580.0)</f>
        <v>3580</v>
      </c>
      <c r="L1" s="172">
        <f>IFERROR(__xludf.DUMMYFUNCTION("""COMPUTED_VALUE"""),1514.0)</f>
        <v>1514</v>
      </c>
      <c r="M1" s="172">
        <f>IFERROR(__xludf.DUMMYFUNCTION("""COMPUTED_VALUE"""),20623.0)</f>
        <v>20623</v>
      </c>
      <c r="N1" s="172">
        <f>IFERROR(__xludf.DUMMYFUNCTION("""COMPUTED_VALUE"""),24203.0)</f>
        <v>24203</v>
      </c>
      <c r="O1" s="172">
        <f>IFERROR(__xludf.DUMMYFUNCTION("""COMPUTED_VALUE"""),27.0)</f>
        <v>27</v>
      </c>
      <c r="P1" s="172">
        <f>IFERROR(__xludf.DUMMYFUNCTION("""COMPUTED_VALUE"""),488.0)</f>
        <v>488</v>
      </c>
      <c r="Q1" s="172">
        <f>IFERROR(__xludf.DUMMYFUNCTION("""COMPUTED_VALUE"""),18.0)</f>
        <v>18</v>
      </c>
      <c r="R1" s="172">
        <f>IFERROR(__xludf.DUMMYFUNCTION("""COMPUTED_VALUE"""),163.0)</f>
        <v>163</v>
      </c>
      <c r="S1" s="172">
        <f>IFERROR(__xludf.DUMMYFUNCTION("""COMPUTED_VALUE"""),5.0)</f>
        <v>5</v>
      </c>
      <c r="T1" s="172">
        <f>IFERROR(__xludf.DUMMYFUNCTION("""COMPUTED_VALUE"""),45.0)</f>
        <v>45</v>
      </c>
      <c r="U1" s="172">
        <f>IFERROR(__xludf.DUMMYFUNCTION("""COMPUTED_VALUE"""),280.0)</f>
        <v>280</v>
      </c>
      <c r="V1" s="172">
        <f>IFERROR(__xludf.DUMMYFUNCTION("""COMPUTED_VALUE"""),271.0)</f>
        <v>271</v>
      </c>
      <c r="W1" s="172">
        <f>IFERROR(__xludf.DUMMYFUNCTION("""COMPUTED_VALUE"""),72.0)</f>
        <v>72</v>
      </c>
      <c r="X1" s="172">
        <f>IFERROR(__xludf.DUMMYFUNCTION("""COMPUTED_VALUE"""),53.0)</f>
        <v>53</v>
      </c>
      <c r="Y1" s="172">
        <f>IFERROR(__xludf.DUMMYFUNCTION("""COMPUTED_VALUE"""),8.0)</f>
        <v>8</v>
      </c>
      <c r="Z1" s="172">
        <f>IFERROR(__xludf.DUMMYFUNCTION("""COMPUTED_VALUE"""),108.0)</f>
        <v>108</v>
      </c>
    </row>
    <row r="2">
      <c r="A2" s="234">
        <f>IFERROR(__xludf.DUMMYFUNCTION("""COMPUTED_VALUE"""),43936.0)</f>
        <v>43936</v>
      </c>
      <c r="B2" s="172">
        <f>IFERROR(__xludf.DUMMYFUNCTION("""COMPUTED_VALUE"""),351.0)</f>
        <v>351</v>
      </c>
      <c r="C2" s="172">
        <f>IFERROR(__xludf.DUMMYFUNCTION("""COMPUTED_VALUE"""),267.0)</f>
        <v>267</v>
      </c>
      <c r="D2" s="172">
        <f>IFERROR(__xludf.DUMMYFUNCTION("""COMPUTED_VALUE"""),4021.0)</f>
        <v>4021</v>
      </c>
      <c r="E2" s="172">
        <f>IFERROR(__xludf.DUMMYFUNCTION("""COMPUTED_VALUE"""),1799.0)</f>
        <v>1799</v>
      </c>
      <c r="F2" s="172">
        <f>IFERROR(__xludf.DUMMYFUNCTION("""COMPUTED_VALUE"""),24814.0)</f>
        <v>24814</v>
      </c>
      <c r="G2" s="172">
        <f>IFERROR(__xludf.DUMMYFUNCTION("""COMPUTED_VALUE"""),2150.0)</f>
        <v>2150</v>
      </c>
      <c r="H2" s="172">
        <f>IFERROR(__xludf.DUMMYFUNCTION("""COMPUTED_VALUE"""),28835.0)</f>
        <v>28835</v>
      </c>
      <c r="I2" s="172">
        <f>IFERROR(__xludf.DUMMYFUNCTION("""COMPUTED_VALUE"""),306.0)</f>
        <v>306</v>
      </c>
      <c r="J2" s="172">
        <f>IFERROR(__xludf.DUMMYFUNCTION("""COMPUTED_VALUE"""),252.0)</f>
        <v>252</v>
      </c>
      <c r="K2" s="172">
        <f>IFERROR(__xludf.DUMMYFUNCTION("""COMPUTED_VALUE"""),3886.0)</f>
        <v>3886</v>
      </c>
      <c r="L2" s="172">
        <f>IFERROR(__xludf.DUMMYFUNCTION("""COMPUTED_VALUE"""),1530.0)</f>
        <v>1530</v>
      </c>
      <c r="M2" s="172">
        <f>IFERROR(__xludf.DUMMYFUNCTION("""COMPUTED_VALUE"""),22153.0)</f>
        <v>22153</v>
      </c>
      <c r="N2" s="172">
        <f>IFERROR(__xludf.DUMMYFUNCTION("""COMPUTED_VALUE"""),26039.0)</f>
        <v>26039</v>
      </c>
      <c r="O2" s="172">
        <f>IFERROR(__xludf.DUMMYFUNCTION("""COMPUTED_VALUE"""),31.0)</f>
        <v>31</v>
      </c>
      <c r="P2" s="172">
        <f>IFERROR(__xludf.DUMMYFUNCTION("""COMPUTED_VALUE"""),519.0)</f>
        <v>519</v>
      </c>
      <c r="Q2" s="172">
        <f>IFERROR(__xludf.DUMMYFUNCTION("""COMPUTED_VALUE"""),20.0)</f>
        <v>20</v>
      </c>
      <c r="R2" s="172">
        <f>IFERROR(__xludf.DUMMYFUNCTION("""COMPUTED_VALUE"""),183.0)</f>
        <v>183</v>
      </c>
      <c r="S2" s="172">
        <f>IFERROR(__xludf.DUMMYFUNCTION("""COMPUTED_VALUE"""),3.0)</f>
        <v>3</v>
      </c>
      <c r="T2" s="172">
        <f>IFERROR(__xludf.DUMMYFUNCTION("""COMPUTED_VALUE"""),48.0)</f>
        <v>48</v>
      </c>
      <c r="U2" s="172">
        <f>IFERROR(__xludf.DUMMYFUNCTION("""COMPUTED_VALUE"""),288.0)</f>
        <v>288</v>
      </c>
      <c r="V2" s="172">
        <f>IFERROR(__xludf.DUMMYFUNCTION("""COMPUTED_VALUE"""),281.0)</f>
        <v>281</v>
      </c>
      <c r="W2" s="172">
        <f>IFERROR(__xludf.DUMMYFUNCTION("""COMPUTED_VALUE"""),72.0)</f>
        <v>72</v>
      </c>
      <c r="X2" s="172">
        <f>IFERROR(__xludf.DUMMYFUNCTION("""COMPUTED_VALUE"""),54.0)</f>
        <v>54</v>
      </c>
      <c r="Y2" s="172">
        <f>IFERROR(__xludf.DUMMYFUNCTION("""COMPUTED_VALUE"""),17.0)</f>
        <v>17</v>
      </c>
      <c r="Z2" s="172">
        <f>IFERROR(__xludf.DUMMYFUNCTION("""COMPUTED_VALUE"""),125.0)</f>
        <v>125</v>
      </c>
    </row>
    <row r="3">
      <c r="A3" s="234">
        <f>IFERROR(__xludf.DUMMYFUNCTION("""COMPUTED_VALUE"""),43937.0)</f>
        <v>43937</v>
      </c>
      <c r="B3" s="172">
        <f>IFERROR(__xludf.DUMMYFUNCTION("""COMPUTED_VALUE"""),447.0)</f>
        <v>447</v>
      </c>
      <c r="C3" s="172">
        <f>IFERROR(__xludf.DUMMYFUNCTION("""COMPUTED_VALUE"""),362.0)</f>
        <v>362</v>
      </c>
      <c r="D3" s="172">
        <f>IFERROR(__xludf.DUMMYFUNCTION("""COMPUTED_VALUE"""),4468.0)</f>
        <v>4468</v>
      </c>
      <c r="E3" s="172">
        <f>IFERROR(__xludf.DUMMYFUNCTION("""COMPUTED_VALUE"""),2494.0)</f>
        <v>2494</v>
      </c>
      <c r="F3" s="172">
        <f>IFERROR(__xludf.DUMMYFUNCTION("""COMPUTED_VALUE"""),27308.0)</f>
        <v>27308</v>
      </c>
      <c r="G3" s="172">
        <f>IFERROR(__xludf.DUMMYFUNCTION("""COMPUTED_VALUE"""),2941.0)</f>
        <v>2941</v>
      </c>
      <c r="H3" s="172">
        <f>IFERROR(__xludf.DUMMYFUNCTION("""COMPUTED_VALUE"""),31776.0)</f>
        <v>31776</v>
      </c>
      <c r="I3" s="172">
        <f>IFERROR(__xludf.DUMMYFUNCTION("""COMPUTED_VALUE"""),387.0)</f>
        <v>387</v>
      </c>
      <c r="J3" s="172">
        <f>IFERROR(__xludf.DUMMYFUNCTION("""COMPUTED_VALUE"""),318.0)</f>
        <v>318</v>
      </c>
      <c r="K3" s="172">
        <f>IFERROR(__xludf.DUMMYFUNCTION("""COMPUTED_VALUE"""),4273.0)</f>
        <v>4273</v>
      </c>
      <c r="L3" s="172">
        <f>IFERROR(__xludf.DUMMYFUNCTION("""COMPUTED_VALUE"""),2060.0)</f>
        <v>2060</v>
      </c>
      <c r="M3" s="172">
        <f>IFERROR(__xludf.DUMMYFUNCTION("""COMPUTED_VALUE"""),24213.0)</f>
        <v>24213</v>
      </c>
      <c r="N3" s="172">
        <f>IFERROR(__xludf.DUMMYFUNCTION("""COMPUTED_VALUE"""),28486.0)</f>
        <v>28486</v>
      </c>
      <c r="O3" s="172">
        <f>IFERROR(__xludf.DUMMYFUNCTION("""COMPUTED_VALUE"""),36.0)</f>
        <v>36</v>
      </c>
      <c r="P3" s="172">
        <f>IFERROR(__xludf.DUMMYFUNCTION("""COMPUTED_VALUE"""),555.0)</f>
        <v>555</v>
      </c>
      <c r="Q3" s="172">
        <f>IFERROR(__xludf.DUMMYFUNCTION("""COMPUTED_VALUE"""),25.0)</f>
        <v>25</v>
      </c>
      <c r="R3" s="172">
        <f>IFERROR(__xludf.DUMMYFUNCTION("""COMPUTED_VALUE"""),208.0)</f>
        <v>208</v>
      </c>
      <c r="S3" s="172">
        <f>IFERROR(__xludf.DUMMYFUNCTION("""COMPUTED_VALUE"""),6.0)</f>
        <v>6</v>
      </c>
      <c r="T3" s="172">
        <f>IFERROR(__xludf.DUMMYFUNCTION("""COMPUTED_VALUE"""),54.0)</f>
        <v>54</v>
      </c>
      <c r="U3" s="172">
        <f>IFERROR(__xludf.DUMMYFUNCTION("""COMPUTED_VALUE"""),293.0)</f>
        <v>293</v>
      </c>
      <c r="V3" s="172">
        <f>IFERROR(__xludf.DUMMYFUNCTION("""COMPUTED_VALUE"""),287.0)</f>
        <v>287</v>
      </c>
      <c r="W3" s="172">
        <f>IFERROR(__xludf.DUMMYFUNCTION("""COMPUTED_VALUE"""),72.0)</f>
        <v>72</v>
      </c>
      <c r="X3" s="172">
        <f>IFERROR(__xludf.DUMMYFUNCTION("""COMPUTED_VALUE"""),53.0)</f>
        <v>53</v>
      </c>
      <c r="Y3" s="172">
        <f>IFERROR(__xludf.DUMMYFUNCTION("""COMPUTED_VALUE"""),14.0)</f>
        <v>14</v>
      </c>
      <c r="Z3" s="172">
        <f>IFERROR(__xludf.DUMMYFUNCTION("""COMPUTED_VALUE"""),139.0)</f>
        <v>139</v>
      </c>
    </row>
    <row r="4">
      <c r="A4" s="234">
        <f>IFERROR(__xludf.DUMMYFUNCTION("""COMPUTED_VALUE"""),43938.0)</f>
        <v>43938</v>
      </c>
      <c r="B4" s="172">
        <f>IFERROR(__xludf.DUMMYFUNCTION("""COMPUTED_VALUE"""),304.0)</f>
        <v>304</v>
      </c>
      <c r="C4" s="172">
        <f>IFERROR(__xludf.DUMMYFUNCTION("""COMPUTED_VALUE"""),367.0)</f>
        <v>367</v>
      </c>
      <c r="D4" s="172">
        <f>IFERROR(__xludf.DUMMYFUNCTION("""COMPUTED_VALUE"""),4772.0)</f>
        <v>4772</v>
      </c>
      <c r="E4" s="172">
        <f>IFERROR(__xludf.DUMMYFUNCTION("""COMPUTED_VALUE"""),1821.0)</f>
        <v>1821</v>
      </c>
      <c r="F4" s="172">
        <f>IFERROR(__xludf.DUMMYFUNCTION("""COMPUTED_VALUE"""),29129.0)</f>
        <v>29129</v>
      </c>
      <c r="G4" s="172">
        <f>IFERROR(__xludf.DUMMYFUNCTION("""COMPUTED_VALUE"""),2125.0)</f>
        <v>2125</v>
      </c>
      <c r="H4" s="172">
        <f>IFERROR(__xludf.DUMMYFUNCTION("""COMPUTED_VALUE"""),33901.0)</f>
        <v>33901</v>
      </c>
      <c r="I4" s="172">
        <f>IFERROR(__xludf.DUMMYFUNCTION("""COMPUTED_VALUE"""),290.0)</f>
        <v>290</v>
      </c>
      <c r="J4" s="172">
        <f>IFERROR(__xludf.DUMMYFUNCTION("""COMPUTED_VALUE"""),328.0)</f>
        <v>328</v>
      </c>
      <c r="K4" s="172">
        <f>IFERROR(__xludf.DUMMYFUNCTION("""COMPUTED_VALUE"""),4563.0)</f>
        <v>4563</v>
      </c>
      <c r="L4" s="172">
        <f>IFERROR(__xludf.DUMMYFUNCTION("""COMPUTED_VALUE"""),1426.0)</f>
        <v>1426</v>
      </c>
      <c r="M4" s="172">
        <f>IFERROR(__xludf.DUMMYFUNCTION("""COMPUTED_VALUE"""),25639.0)</f>
        <v>25639</v>
      </c>
      <c r="N4" s="172">
        <f>IFERROR(__xludf.DUMMYFUNCTION("""COMPUTED_VALUE"""),30202.0)</f>
        <v>30202</v>
      </c>
      <c r="O4" s="172">
        <f>IFERROR(__xludf.DUMMYFUNCTION("""COMPUTED_VALUE"""),32.0)</f>
        <v>32</v>
      </c>
      <c r="P4" s="172">
        <f>IFERROR(__xludf.DUMMYFUNCTION("""COMPUTED_VALUE"""),587.0)</f>
        <v>587</v>
      </c>
      <c r="Q4" s="172">
        <f>IFERROR(__xludf.DUMMYFUNCTION("""COMPUTED_VALUE"""),20.0)</f>
        <v>20</v>
      </c>
      <c r="R4" s="172">
        <f>IFERROR(__xludf.DUMMYFUNCTION("""COMPUTED_VALUE"""),228.0)</f>
        <v>228</v>
      </c>
      <c r="S4" s="172">
        <f>IFERROR(__xludf.DUMMYFUNCTION("""COMPUTED_VALUE"""),7.0)</f>
        <v>7</v>
      </c>
      <c r="T4" s="172">
        <f>IFERROR(__xludf.DUMMYFUNCTION("""COMPUTED_VALUE"""),61.0)</f>
        <v>61</v>
      </c>
      <c r="U4" s="172">
        <f>IFERROR(__xludf.DUMMYFUNCTION("""COMPUTED_VALUE"""),298.0)</f>
        <v>298</v>
      </c>
      <c r="V4" s="172">
        <f>IFERROR(__xludf.DUMMYFUNCTION("""COMPUTED_VALUE"""),293.0)</f>
        <v>293</v>
      </c>
      <c r="W4" s="172">
        <f>IFERROR(__xludf.DUMMYFUNCTION("""COMPUTED_VALUE"""),66.0)</f>
        <v>66</v>
      </c>
      <c r="X4" s="172">
        <f>IFERROR(__xludf.DUMMYFUNCTION("""COMPUTED_VALUE"""),45.0)</f>
        <v>45</v>
      </c>
      <c r="Y4" s="172">
        <f>IFERROR(__xludf.DUMMYFUNCTION("""COMPUTED_VALUE"""),21.0)</f>
        <v>21</v>
      </c>
      <c r="Z4" s="172">
        <f>IFERROR(__xludf.DUMMYFUNCTION("""COMPUTED_VALUE"""),160.0)</f>
        <v>160</v>
      </c>
    </row>
    <row r="5">
      <c r="A5" s="234">
        <f>IFERROR(__xludf.DUMMYFUNCTION("""COMPUTED_VALUE"""),43939.0)</f>
        <v>43939</v>
      </c>
      <c r="B5" s="172">
        <f>IFERROR(__xludf.DUMMYFUNCTION("""COMPUTED_VALUE"""),321.0)</f>
        <v>321</v>
      </c>
      <c r="C5" s="172">
        <f>IFERROR(__xludf.DUMMYFUNCTION("""COMPUTED_VALUE"""),357.0)</f>
        <v>357</v>
      </c>
      <c r="D5" s="172">
        <f>IFERROR(__xludf.DUMMYFUNCTION("""COMPUTED_VALUE"""),5093.0)</f>
        <v>5093</v>
      </c>
      <c r="E5" s="172">
        <f>IFERROR(__xludf.DUMMYFUNCTION("""COMPUTED_VALUE"""),1725.0)</f>
        <v>1725</v>
      </c>
      <c r="F5" s="172">
        <f>IFERROR(__xludf.DUMMYFUNCTION("""COMPUTED_VALUE"""),30854.0)</f>
        <v>30854</v>
      </c>
      <c r="G5" s="172">
        <f>IFERROR(__xludf.DUMMYFUNCTION("""COMPUTED_VALUE"""),2046.0)</f>
        <v>2046</v>
      </c>
      <c r="H5" s="172">
        <f>IFERROR(__xludf.DUMMYFUNCTION("""COMPUTED_VALUE"""),35947.0)</f>
        <v>35947</v>
      </c>
      <c r="I5" s="172">
        <f>IFERROR(__xludf.DUMMYFUNCTION("""COMPUTED_VALUE"""),284.0)</f>
        <v>284</v>
      </c>
      <c r="J5" s="172">
        <f>IFERROR(__xludf.DUMMYFUNCTION("""COMPUTED_VALUE"""),320.0)</f>
        <v>320</v>
      </c>
      <c r="K5" s="172">
        <f>IFERROR(__xludf.DUMMYFUNCTION("""COMPUTED_VALUE"""),4847.0)</f>
        <v>4847</v>
      </c>
      <c r="L5" s="172">
        <f>IFERROR(__xludf.DUMMYFUNCTION("""COMPUTED_VALUE"""),1311.0)</f>
        <v>1311</v>
      </c>
      <c r="M5" s="172">
        <f>IFERROR(__xludf.DUMMYFUNCTION("""COMPUTED_VALUE"""),26950.0)</f>
        <v>26950</v>
      </c>
      <c r="N5" s="172">
        <f>IFERROR(__xludf.DUMMYFUNCTION("""COMPUTED_VALUE"""),31797.0)</f>
        <v>31797</v>
      </c>
      <c r="O5" s="172">
        <f>IFERROR(__xludf.DUMMYFUNCTION("""COMPUTED_VALUE"""),26.0)</f>
        <v>26</v>
      </c>
      <c r="P5" s="172">
        <f>IFERROR(__xludf.DUMMYFUNCTION("""COMPUTED_VALUE"""),613.0)</f>
        <v>613</v>
      </c>
      <c r="Q5" s="172">
        <f>IFERROR(__xludf.DUMMYFUNCTION("""COMPUTED_VALUE"""),18.0)</f>
        <v>18</v>
      </c>
      <c r="R5" s="172">
        <f>IFERROR(__xludf.DUMMYFUNCTION("""COMPUTED_VALUE"""),246.0)</f>
        <v>246</v>
      </c>
      <c r="S5" s="172">
        <f>IFERROR(__xludf.DUMMYFUNCTION("""COMPUTED_VALUE"""),4.0)</f>
        <v>4</v>
      </c>
      <c r="T5" s="172">
        <f>IFERROR(__xludf.DUMMYFUNCTION("""COMPUTED_VALUE"""),65.0)</f>
        <v>65</v>
      </c>
      <c r="U5" s="172">
        <f>IFERROR(__xludf.DUMMYFUNCTION("""COMPUTED_VALUE"""),302.0)</f>
        <v>302</v>
      </c>
      <c r="V5" s="172">
        <f>IFERROR(__xludf.DUMMYFUNCTION("""COMPUTED_VALUE"""),298.0)</f>
        <v>298</v>
      </c>
      <c r="W5" s="172">
        <f>IFERROR(__xludf.DUMMYFUNCTION("""COMPUTED_VALUE"""),63.0)</f>
        <v>63</v>
      </c>
      <c r="X5" s="172">
        <f>IFERROR(__xludf.DUMMYFUNCTION("""COMPUTED_VALUE"""),49.0)</f>
        <v>49</v>
      </c>
      <c r="Y5" s="172">
        <f>IFERROR(__xludf.DUMMYFUNCTION("""COMPUTED_VALUE"""),15.0)</f>
        <v>15</v>
      </c>
      <c r="Z5" s="172">
        <f>IFERROR(__xludf.DUMMYFUNCTION("""COMPUTED_VALUE"""),175.0)</f>
        <v>175</v>
      </c>
    </row>
    <row r="6">
      <c r="A6" s="234">
        <f>IFERROR(__xludf.DUMMYFUNCTION("""COMPUTED_VALUE"""),43940.0)</f>
        <v>43940</v>
      </c>
      <c r="B6" s="172">
        <f>IFERROR(__xludf.DUMMYFUNCTION("""COMPUTED_VALUE"""),381.0)</f>
        <v>381</v>
      </c>
      <c r="C6" s="172">
        <f>IFERROR(__xludf.DUMMYFUNCTION("""COMPUTED_VALUE"""),335.0)</f>
        <v>335</v>
      </c>
      <c r="D6" s="172">
        <f>IFERROR(__xludf.DUMMYFUNCTION("""COMPUTED_VALUE"""),5474.0)</f>
        <v>5474</v>
      </c>
      <c r="E6" s="172">
        <f>IFERROR(__xludf.DUMMYFUNCTION("""COMPUTED_VALUE"""),2047.0)</f>
        <v>2047</v>
      </c>
      <c r="F6" s="172">
        <f>IFERROR(__xludf.DUMMYFUNCTION("""COMPUTED_VALUE"""),32901.0)</f>
        <v>32901</v>
      </c>
      <c r="G6" s="172">
        <f>IFERROR(__xludf.DUMMYFUNCTION("""COMPUTED_VALUE"""),2428.0)</f>
        <v>2428</v>
      </c>
      <c r="H6" s="172">
        <f>IFERROR(__xludf.DUMMYFUNCTION("""COMPUTED_VALUE"""),38375.0)</f>
        <v>38375</v>
      </c>
      <c r="I6" s="172">
        <f>IFERROR(__xludf.DUMMYFUNCTION("""COMPUTED_VALUE"""),337.0)</f>
        <v>337</v>
      </c>
      <c r="J6" s="172">
        <f>IFERROR(__xludf.DUMMYFUNCTION("""COMPUTED_VALUE"""),304.0)</f>
        <v>304</v>
      </c>
      <c r="K6" s="172">
        <f>IFERROR(__xludf.DUMMYFUNCTION("""COMPUTED_VALUE"""),5184.0)</f>
        <v>5184</v>
      </c>
      <c r="L6" s="172">
        <f>IFERROR(__xludf.DUMMYFUNCTION("""COMPUTED_VALUE"""),1723.0)</f>
        <v>1723</v>
      </c>
      <c r="M6" s="172">
        <f>IFERROR(__xludf.DUMMYFUNCTION("""COMPUTED_VALUE"""),28673.0)</f>
        <v>28673</v>
      </c>
      <c r="N6" s="172">
        <f>IFERROR(__xludf.DUMMYFUNCTION("""COMPUTED_VALUE"""),33857.0)</f>
        <v>33857</v>
      </c>
      <c r="O6" s="172">
        <f>IFERROR(__xludf.DUMMYFUNCTION("""COMPUTED_VALUE"""),23.0)</f>
        <v>23</v>
      </c>
      <c r="P6" s="172">
        <f>IFERROR(__xludf.DUMMYFUNCTION("""COMPUTED_VALUE"""),636.0)</f>
        <v>636</v>
      </c>
      <c r="Q6" s="172">
        <f>IFERROR(__xludf.DUMMYFUNCTION("""COMPUTED_VALUE"""),26.0)</f>
        <v>26</v>
      </c>
      <c r="R6" s="172">
        <f>IFERROR(__xludf.DUMMYFUNCTION("""COMPUTED_VALUE"""),272.0)</f>
        <v>272</v>
      </c>
      <c r="S6" s="172">
        <f>IFERROR(__xludf.DUMMYFUNCTION("""COMPUTED_VALUE"""),1.0)</f>
        <v>1</v>
      </c>
      <c r="T6" s="172">
        <f>IFERROR(__xludf.DUMMYFUNCTION("""COMPUTED_VALUE"""),66.0)</f>
        <v>66</v>
      </c>
      <c r="U6" s="172">
        <f>IFERROR(__xludf.DUMMYFUNCTION("""COMPUTED_VALUE"""),298.0)</f>
        <v>298</v>
      </c>
      <c r="V6" s="172">
        <f>IFERROR(__xludf.DUMMYFUNCTION("""COMPUTED_VALUE"""),299.0)</f>
        <v>299</v>
      </c>
      <c r="W6" s="172">
        <f>IFERROR(__xludf.DUMMYFUNCTION("""COMPUTED_VALUE"""),65.0)</f>
        <v>65</v>
      </c>
      <c r="X6" s="172">
        <f>IFERROR(__xludf.DUMMYFUNCTION("""COMPUTED_VALUE"""),55.0)</f>
        <v>55</v>
      </c>
      <c r="Y6" s="172">
        <f>IFERROR(__xludf.DUMMYFUNCTION("""COMPUTED_VALUE"""),11.0)</f>
        <v>11</v>
      </c>
      <c r="Z6" s="172">
        <f>IFERROR(__xludf.DUMMYFUNCTION("""COMPUTED_VALUE"""),186.0)</f>
        <v>186</v>
      </c>
    </row>
    <row r="7">
      <c r="A7" s="234">
        <f>IFERROR(__xludf.DUMMYFUNCTION("""COMPUTED_VALUE"""),43941.0)</f>
        <v>43941</v>
      </c>
      <c r="B7" s="172">
        <f>IFERROR(__xludf.DUMMYFUNCTION("""COMPUTED_VALUE"""),394.0)</f>
        <v>394</v>
      </c>
      <c r="C7" s="172">
        <f>IFERROR(__xludf.DUMMYFUNCTION("""COMPUTED_VALUE"""),365.0)</f>
        <v>365</v>
      </c>
      <c r="D7" s="172">
        <f>IFERROR(__xludf.DUMMYFUNCTION("""COMPUTED_VALUE"""),5868.0)</f>
        <v>5868</v>
      </c>
      <c r="E7" s="172">
        <f>IFERROR(__xludf.DUMMYFUNCTION("""COMPUTED_VALUE"""),1907.0)</f>
        <v>1907</v>
      </c>
      <c r="F7" s="172">
        <f>IFERROR(__xludf.DUMMYFUNCTION("""COMPUTED_VALUE"""),34808.0)</f>
        <v>34808</v>
      </c>
      <c r="G7" s="172">
        <f>IFERROR(__xludf.DUMMYFUNCTION("""COMPUTED_VALUE"""),2301.0)</f>
        <v>2301</v>
      </c>
      <c r="H7" s="172">
        <f>IFERROR(__xludf.DUMMYFUNCTION("""COMPUTED_VALUE"""),40676.0)</f>
        <v>40676</v>
      </c>
      <c r="I7" s="172">
        <f>IFERROR(__xludf.DUMMYFUNCTION("""COMPUTED_VALUE"""),376.0)</f>
        <v>376</v>
      </c>
      <c r="J7" s="172">
        <f>IFERROR(__xludf.DUMMYFUNCTION("""COMPUTED_VALUE"""),332.0)</f>
        <v>332</v>
      </c>
      <c r="K7" s="172">
        <f>IFERROR(__xludf.DUMMYFUNCTION("""COMPUTED_VALUE"""),5560.0)</f>
        <v>5560</v>
      </c>
      <c r="L7" s="172">
        <f>IFERROR(__xludf.DUMMYFUNCTION("""COMPUTED_VALUE"""),1560.0)</f>
        <v>1560</v>
      </c>
      <c r="M7" s="172">
        <f>IFERROR(__xludf.DUMMYFUNCTION("""COMPUTED_VALUE"""),30233.0)</f>
        <v>30233</v>
      </c>
      <c r="N7" s="172">
        <f>IFERROR(__xludf.DUMMYFUNCTION("""COMPUTED_VALUE"""),35793.0)</f>
        <v>35793</v>
      </c>
      <c r="O7" s="172">
        <f>IFERROR(__xludf.DUMMYFUNCTION("""COMPUTED_VALUE"""),46.0)</f>
        <v>46</v>
      </c>
      <c r="P7" s="172">
        <f>IFERROR(__xludf.DUMMYFUNCTION("""COMPUTED_VALUE"""),682.0)</f>
        <v>682</v>
      </c>
      <c r="Q7" s="172">
        <f>IFERROR(__xludf.DUMMYFUNCTION("""COMPUTED_VALUE"""),29.0)</f>
        <v>29</v>
      </c>
      <c r="R7" s="172">
        <f>IFERROR(__xludf.DUMMYFUNCTION("""COMPUTED_VALUE"""),301.0)</f>
        <v>301</v>
      </c>
      <c r="S7" s="172">
        <f>IFERROR(__xludf.DUMMYFUNCTION("""COMPUTED_VALUE"""),2.0)</f>
        <v>2</v>
      </c>
      <c r="T7" s="172">
        <f>IFERROR(__xludf.DUMMYFUNCTION("""COMPUTED_VALUE"""),68.0)</f>
        <v>68</v>
      </c>
      <c r="U7" s="172">
        <f>IFERROR(__xludf.DUMMYFUNCTION("""COMPUTED_VALUE"""),313.0)</f>
        <v>313</v>
      </c>
      <c r="V7" s="172">
        <f>IFERROR(__xludf.DUMMYFUNCTION("""COMPUTED_VALUE"""),304.0)</f>
        <v>304</v>
      </c>
      <c r="W7" s="172">
        <f>IFERROR(__xludf.DUMMYFUNCTION("""COMPUTED_VALUE"""),75.0)</f>
        <v>75</v>
      </c>
      <c r="X7" s="172">
        <f>IFERROR(__xludf.DUMMYFUNCTION("""COMPUTED_VALUE"""),56.0)</f>
        <v>56</v>
      </c>
      <c r="Y7" s="172">
        <f>IFERROR(__xludf.DUMMYFUNCTION("""COMPUTED_VALUE"""),10.0)</f>
        <v>10</v>
      </c>
      <c r="Z7" s="172">
        <f>IFERROR(__xludf.DUMMYFUNCTION("""COMPUTED_VALUE"""),196.0)</f>
        <v>196</v>
      </c>
    </row>
    <row r="8">
      <c r="A8" s="234">
        <f>IFERROR(__xludf.DUMMYFUNCTION("""COMPUTED_VALUE"""),43942.0)</f>
        <v>43942</v>
      </c>
      <c r="B8" s="172">
        <f>IFERROR(__xludf.DUMMYFUNCTION("""COMPUTED_VALUE"""),444.0)</f>
        <v>444</v>
      </c>
      <c r="C8" s="172">
        <f>IFERROR(__xludf.DUMMYFUNCTION("""COMPUTED_VALUE"""),406.0)</f>
        <v>406</v>
      </c>
      <c r="D8" s="172">
        <f>IFERROR(__xludf.DUMMYFUNCTION("""COMPUTED_VALUE"""),6312.0)</f>
        <v>6312</v>
      </c>
      <c r="E8" s="172">
        <f>IFERROR(__xludf.DUMMYFUNCTION("""COMPUTED_VALUE"""),2110.0)</f>
        <v>2110</v>
      </c>
      <c r="F8" s="172">
        <f>IFERROR(__xludf.DUMMYFUNCTION("""COMPUTED_VALUE"""),36918.0)</f>
        <v>36918</v>
      </c>
      <c r="G8" s="172">
        <f>IFERROR(__xludf.DUMMYFUNCTION("""COMPUTED_VALUE"""),2554.0)</f>
        <v>2554</v>
      </c>
      <c r="H8" s="172">
        <f>IFERROR(__xludf.DUMMYFUNCTION("""COMPUTED_VALUE"""),43230.0)</f>
        <v>43230</v>
      </c>
      <c r="I8" s="172">
        <f>IFERROR(__xludf.DUMMYFUNCTION("""COMPUTED_VALUE"""),383.0)</f>
        <v>383</v>
      </c>
      <c r="J8" s="172">
        <f>IFERROR(__xludf.DUMMYFUNCTION("""COMPUTED_VALUE"""),365.0)</f>
        <v>365</v>
      </c>
      <c r="K8" s="172">
        <f>IFERROR(__xludf.DUMMYFUNCTION("""COMPUTED_VALUE"""),5943.0)</f>
        <v>5943</v>
      </c>
      <c r="L8" s="172">
        <f>IFERROR(__xludf.DUMMYFUNCTION("""COMPUTED_VALUE"""),1684.0)</f>
        <v>1684</v>
      </c>
      <c r="M8" s="172">
        <f>IFERROR(__xludf.DUMMYFUNCTION("""COMPUTED_VALUE"""),31917.0)</f>
        <v>31917</v>
      </c>
      <c r="N8" s="172">
        <f>IFERROR(__xludf.DUMMYFUNCTION("""COMPUTED_VALUE"""),37860.0)</f>
        <v>37860</v>
      </c>
      <c r="O8" s="172">
        <f>IFERROR(__xludf.DUMMYFUNCTION("""COMPUTED_VALUE"""),45.0)</f>
        <v>45</v>
      </c>
      <c r="P8" s="172">
        <f>IFERROR(__xludf.DUMMYFUNCTION("""COMPUTED_VALUE"""),727.0)</f>
        <v>727</v>
      </c>
      <c r="Q8" s="172">
        <f>IFERROR(__xludf.DUMMYFUNCTION("""COMPUTED_VALUE"""),33.0)</f>
        <v>33</v>
      </c>
      <c r="R8" s="172">
        <f>IFERROR(__xludf.DUMMYFUNCTION("""COMPUTED_VALUE"""),334.0)</f>
        <v>334</v>
      </c>
      <c r="S8" s="172">
        <f>IFERROR(__xludf.DUMMYFUNCTION("""COMPUTED_VALUE"""),5.0)</f>
        <v>5</v>
      </c>
      <c r="T8" s="172">
        <f>IFERROR(__xludf.DUMMYFUNCTION("""COMPUTED_VALUE"""),73.0)</f>
        <v>73</v>
      </c>
      <c r="U8" s="172">
        <f>IFERROR(__xludf.DUMMYFUNCTION("""COMPUTED_VALUE"""),320.0)</f>
        <v>320</v>
      </c>
      <c r="V8" s="172">
        <f>IFERROR(__xludf.DUMMYFUNCTION("""COMPUTED_VALUE"""),310.0)</f>
        <v>310</v>
      </c>
      <c r="W8" s="172">
        <f>IFERROR(__xludf.DUMMYFUNCTION("""COMPUTED_VALUE"""),72.0)</f>
        <v>72</v>
      </c>
      <c r="X8" s="172">
        <f>IFERROR(__xludf.DUMMYFUNCTION("""COMPUTED_VALUE"""),56.0)</f>
        <v>56</v>
      </c>
      <c r="Y8" s="172">
        <f>IFERROR(__xludf.DUMMYFUNCTION("""COMPUTED_VALUE"""),18.0)</f>
        <v>18</v>
      </c>
      <c r="Z8" s="172">
        <f>IFERROR(__xludf.DUMMYFUNCTION("""COMPUTED_VALUE"""),214.0)</f>
        <v>214</v>
      </c>
    </row>
    <row r="9">
      <c r="A9" s="234">
        <f>IFERROR(__xludf.DUMMYFUNCTION("""COMPUTED_VALUE"""),43943.0)</f>
        <v>43943</v>
      </c>
      <c r="B9" s="172">
        <f>IFERROR(__xludf.DUMMYFUNCTION("""COMPUTED_VALUE"""),418.0)</f>
        <v>418</v>
      </c>
      <c r="C9" s="172">
        <f>IFERROR(__xludf.DUMMYFUNCTION("""COMPUTED_VALUE"""),419.0)</f>
        <v>419</v>
      </c>
      <c r="D9" s="172">
        <f>IFERROR(__xludf.DUMMYFUNCTION("""COMPUTED_VALUE"""),6730.0)</f>
        <v>6730</v>
      </c>
      <c r="E9" s="172">
        <f>IFERROR(__xludf.DUMMYFUNCTION("""COMPUTED_VALUE"""),2390.0)</f>
        <v>2390</v>
      </c>
      <c r="F9" s="172">
        <f>IFERROR(__xludf.DUMMYFUNCTION("""COMPUTED_VALUE"""),39308.0)</f>
        <v>39308</v>
      </c>
      <c r="G9" s="172">
        <f>IFERROR(__xludf.DUMMYFUNCTION("""COMPUTED_VALUE"""),2808.0)</f>
        <v>2808</v>
      </c>
      <c r="H9" s="172">
        <f>IFERROR(__xludf.DUMMYFUNCTION("""COMPUTED_VALUE"""),46038.0)</f>
        <v>46038</v>
      </c>
      <c r="I9" s="172">
        <f>IFERROR(__xludf.DUMMYFUNCTION("""COMPUTED_VALUE"""),379.0)</f>
        <v>379</v>
      </c>
      <c r="J9" s="172">
        <f>IFERROR(__xludf.DUMMYFUNCTION("""COMPUTED_VALUE"""),379.0)</f>
        <v>379</v>
      </c>
      <c r="K9" s="172">
        <f>IFERROR(__xludf.DUMMYFUNCTION("""COMPUTED_VALUE"""),6322.0)</f>
        <v>6322</v>
      </c>
      <c r="L9" s="172">
        <f>IFERROR(__xludf.DUMMYFUNCTION("""COMPUTED_VALUE"""),1893.0)</f>
        <v>1893</v>
      </c>
      <c r="M9" s="172">
        <f>IFERROR(__xludf.DUMMYFUNCTION("""COMPUTED_VALUE"""),33810.0)</f>
        <v>33810</v>
      </c>
      <c r="N9" s="172">
        <f>IFERROR(__xludf.DUMMYFUNCTION("""COMPUTED_VALUE"""),40132.0)</f>
        <v>40132</v>
      </c>
      <c r="O9" s="172">
        <f>IFERROR(__xludf.DUMMYFUNCTION("""COMPUTED_VALUE"""),41.0)</f>
        <v>41</v>
      </c>
      <c r="P9" s="172">
        <f>IFERROR(__xludf.DUMMYFUNCTION("""COMPUTED_VALUE"""),768.0)</f>
        <v>768</v>
      </c>
      <c r="Q9" s="172">
        <f>IFERROR(__xludf.DUMMYFUNCTION("""COMPUTED_VALUE"""),32.0)</f>
        <v>32</v>
      </c>
      <c r="R9" s="172">
        <f>IFERROR(__xludf.DUMMYFUNCTION("""COMPUTED_VALUE"""),366.0)</f>
        <v>366</v>
      </c>
      <c r="S9" s="172">
        <f>IFERROR(__xludf.DUMMYFUNCTION("""COMPUTED_VALUE"""),5.0)</f>
        <v>5</v>
      </c>
      <c r="T9" s="172">
        <f>IFERROR(__xludf.DUMMYFUNCTION("""COMPUTED_VALUE"""),78.0)</f>
        <v>78</v>
      </c>
      <c r="U9" s="172">
        <f>IFERROR(__xludf.DUMMYFUNCTION("""COMPUTED_VALUE"""),324.0)</f>
        <v>324</v>
      </c>
      <c r="V9" s="172">
        <f>IFERROR(__xludf.DUMMYFUNCTION("""COMPUTED_VALUE"""),319.0)</f>
        <v>319</v>
      </c>
      <c r="W9" s="172">
        <f>IFERROR(__xludf.DUMMYFUNCTION("""COMPUTED_VALUE"""),73.0)</f>
        <v>73</v>
      </c>
      <c r="X9" s="172">
        <f>IFERROR(__xludf.DUMMYFUNCTION("""COMPUTED_VALUE"""),58.0)</f>
        <v>58</v>
      </c>
      <c r="Y9" s="172">
        <f>IFERROR(__xludf.DUMMYFUNCTION("""COMPUTED_VALUE"""),18.0)</f>
        <v>18</v>
      </c>
      <c r="Z9" s="172">
        <f>IFERROR(__xludf.DUMMYFUNCTION("""COMPUTED_VALUE"""),232.0)</f>
        <v>232</v>
      </c>
    </row>
    <row r="10">
      <c r="A10" s="234">
        <f>IFERROR(__xludf.DUMMYFUNCTION("""COMPUTED_VALUE"""),43944.0)</f>
        <v>43944</v>
      </c>
      <c r="B10" s="172">
        <f>IFERROR(__xludf.DUMMYFUNCTION("""COMPUTED_VALUE"""),479.0)</f>
        <v>479</v>
      </c>
      <c r="C10" s="172">
        <f>IFERROR(__xludf.DUMMYFUNCTION("""COMPUTED_VALUE"""),447.0)</f>
        <v>447</v>
      </c>
      <c r="D10" s="172">
        <f>IFERROR(__xludf.DUMMYFUNCTION("""COMPUTED_VALUE"""),7209.0)</f>
        <v>7209</v>
      </c>
      <c r="E10" s="172">
        <f>IFERROR(__xludf.DUMMYFUNCTION("""COMPUTED_VALUE"""),2469.0)</f>
        <v>2469</v>
      </c>
      <c r="F10" s="172">
        <f>IFERROR(__xludf.DUMMYFUNCTION("""COMPUTED_VALUE"""),41777.0)</f>
        <v>41777</v>
      </c>
      <c r="G10" s="172">
        <f>IFERROR(__xludf.DUMMYFUNCTION("""COMPUTED_VALUE"""),2948.0)</f>
        <v>2948</v>
      </c>
      <c r="H10" s="172">
        <f>IFERROR(__xludf.DUMMYFUNCTION("""COMPUTED_VALUE"""),48986.0)</f>
        <v>48986</v>
      </c>
      <c r="I10" s="172">
        <f>IFERROR(__xludf.DUMMYFUNCTION("""COMPUTED_VALUE"""),412.0)</f>
        <v>412</v>
      </c>
      <c r="J10" s="172">
        <f>IFERROR(__xludf.DUMMYFUNCTION("""COMPUTED_VALUE"""),391.0)</f>
        <v>391</v>
      </c>
      <c r="K10" s="172">
        <f>IFERROR(__xludf.DUMMYFUNCTION("""COMPUTED_VALUE"""),6734.0)</f>
        <v>6734</v>
      </c>
      <c r="L10" s="172">
        <f>IFERROR(__xludf.DUMMYFUNCTION("""COMPUTED_VALUE"""),1837.0)</f>
        <v>1837</v>
      </c>
      <c r="M10" s="172">
        <f>IFERROR(__xludf.DUMMYFUNCTION("""COMPUTED_VALUE"""),35647.0)</f>
        <v>35647</v>
      </c>
      <c r="N10" s="172">
        <f>IFERROR(__xludf.DUMMYFUNCTION("""COMPUTED_VALUE"""),42381.0)</f>
        <v>42381</v>
      </c>
      <c r="O10" s="172">
        <f>IFERROR(__xludf.DUMMYFUNCTION("""COMPUTED_VALUE"""),32.0)</f>
        <v>32</v>
      </c>
      <c r="P10" s="172">
        <f>IFERROR(__xludf.DUMMYFUNCTION("""COMPUTED_VALUE"""),800.0)</f>
        <v>800</v>
      </c>
      <c r="Q10" s="172">
        <f>IFERROR(__xludf.DUMMYFUNCTION("""COMPUTED_VALUE"""),28.0)</f>
        <v>28</v>
      </c>
      <c r="R10" s="172">
        <f>IFERROR(__xludf.DUMMYFUNCTION("""COMPUTED_VALUE"""),394.0)</f>
        <v>394</v>
      </c>
      <c r="S10" s="172">
        <f>IFERROR(__xludf.DUMMYFUNCTION("""COMPUTED_VALUE"""),5.0)</f>
        <v>5</v>
      </c>
      <c r="T10" s="172">
        <f>IFERROR(__xludf.DUMMYFUNCTION("""COMPUTED_VALUE"""),83.0)</f>
        <v>83</v>
      </c>
      <c r="U10" s="172">
        <f>IFERROR(__xludf.DUMMYFUNCTION("""COMPUTED_VALUE"""),323.0)</f>
        <v>323</v>
      </c>
      <c r="V10" s="172">
        <f>IFERROR(__xludf.DUMMYFUNCTION("""COMPUTED_VALUE"""),322.0)</f>
        <v>322</v>
      </c>
      <c r="W10" s="172">
        <f>IFERROR(__xludf.DUMMYFUNCTION("""COMPUTED_VALUE"""),76.0)</f>
        <v>76</v>
      </c>
      <c r="X10" s="172">
        <f>IFERROR(__xludf.DUMMYFUNCTION("""COMPUTED_VALUE"""),62.0)</f>
        <v>62</v>
      </c>
      <c r="Y10" s="172">
        <f>IFERROR(__xludf.DUMMYFUNCTION("""COMPUTED_VALUE"""),15.0)</f>
        <v>15</v>
      </c>
      <c r="Z10" s="172">
        <f>IFERROR(__xludf.DUMMYFUNCTION("""COMPUTED_VALUE"""),247.0)</f>
        <v>247</v>
      </c>
    </row>
    <row r="11">
      <c r="A11" s="234">
        <f>IFERROR(__xludf.DUMMYFUNCTION("""COMPUTED_VALUE"""),43945.0)</f>
        <v>43945</v>
      </c>
      <c r="B11" s="172">
        <f>IFERROR(__xludf.DUMMYFUNCTION("""COMPUTED_VALUE"""),491.0)</f>
        <v>491</v>
      </c>
      <c r="C11" s="172">
        <f>IFERROR(__xludf.DUMMYFUNCTION("""COMPUTED_VALUE"""),463.0)</f>
        <v>463</v>
      </c>
      <c r="D11" s="172">
        <f>IFERROR(__xludf.DUMMYFUNCTION("""COMPUTED_VALUE"""),7700.0)</f>
        <v>7700</v>
      </c>
      <c r="E11" s="172">
        <f>IFERROR(__xludf.DUMMYFUNCTION("""COMPUTED_VALUE"""),3284.0)</f>
        <v>3284</v>
      </c>
      <c r="F11" s="172">
        <f>IFERROR(__xludf.DUMMYFUNCTION("""COMPUTED_VALUE"""),45061.0)</f>
        <v>45061</v>
      </c>
      <c r="G11" s="172">
        <f>IFERROR(__xludf.DUMMYFUNCTION("""COMPUTED_VALUE"""),3775.0)</f>
        <v>3775</v>
      </c>
      <c r="H11" s="172">
        <f>IFERROR(__xludf.DUMMYFUNCTION("""COMPUTED_VALUE"""),52761.0)</f>
        <v>52761</v>
      </c>
      <c r="I11" s="172">
        <f>IFERROR(__xludf.DUMMYFUNCTION("""COMPUTED_VALUE"""),407.0)</f>
        <v>407</v>
      </c>
      <c r="J11" s="172">
        <f>IFERROR(__xludf.DUMMYFUNCTION("""COMPUTED_VALUE"""),399.0)</f>
        <v>399</v>
      </c>
      <c r="K11" s="172">
        <f>IFERROR(__xludf.DUMMYFUNCTION("""COMPUTED_VALUE"""),7141.0)</f>
        <v>7141</v>
      </c>
      <c r="L11" s="172">
        <f>IFERROR(__xludf.DUMMYFUNCTION("""COMPUTED_VALUE"""),2596.0)</f>
        <v>2596</v>
      </c>
      <c r="M11" s="172">
        <f>IFERROR(__xludf.DUMMYFUNCTION("""COMPUTED_VALUE"""),38243.0)</f>
        <v>38243</v>
      </c>
      <c r="N11" s="172">
        <f>IFERROR(__xludf.DUMMYFUNCTION("""COMPUTED_VALUE"""),45384.0)</f>
        <v>45384</v>
      </c>
      <c r="O11" s="172">
        <f>IFERROR(__xludf.DUMMYFUNCTION("""COMPUTED_VALUE"""),35.0)</f>
        <v>35</v>
      </c>
      <c r="P11" s="172">
        <f>IFERROR(__xludf.DUMMYFUNCTION("""COMPUTED_VALUE"""),835.0)</f>
        <v>835</v>
      </c>
      <c r="Q11" s="172">
        <f>IFERROR(__xludf.DUMMYFUNCTION("""COMPUTED_VALUE"""),26.0)</f>
        <v>26</v>
      </c>
      <c r="R11" s="172">
        <f>IFERROR(__xludf.DUMMYFUNCTION("""COMPUTED_VALUE"""),420.0)</f>
        <v>420</v>
      </c>
      <c r="S11" s="172">
        <f>IFERROR(__xludf.DUMMYFUNCTION("""COMPUTED_VALUE"""),4.0)</f>
        <v>4</v>
      </c>
      <c r="T11" s="172">
        <f>IFERROR(__xludf.DUMMYFUNCTION("""COMPUTED_VALUE"""),87.0)</f>
        <v>87</v>
      </c>
      <c r="U11" s="172">
        <f>IFERROR(__xludf.DUMMYFUNCTION("""COMPUTED_VALUE"""),328.0)</f>
        <v>328</v>
      </c>
      <c r="V11" s="172">
        <f>IFERROR(__xludf.DUMMYFUNCTION("""COMPUTED_VALUE"""),325.0)</f>
        <v>325</v>
      </c>
      <c r="W11" s="172">
        <f>IFERROR(__xludf.DUMMYFUNCTION("""COMPUTED_VALUE"""),85.0)</f>
        <v>85</v>
      </c>
      <c r="X11" s="172">
        <f>IFERROR(__xludf.DUMMYFUNCTION("""COMPUTED_VALUE"""),63.0)</f>
        <v>63</v>
      </c>
      <c r="Y11" s="172">
        <f>IFERROR(__xludf.DUMMYFUNCTION("""COMPUTED_VALUE"""),15.0)</f>
        <v>15</v>
      </c>
      <c r="Z11" s="172">
        <f>IFERROR(__xludf.DUMMYFUNCTION("""COMPUTED_VALUE"""),262.0)</f>
        <v>262</v>
      </c>
    </row>
    <row r="12">
      <c r="A12" s="234">
        <f>IFERROR(__xludf.DUMMYFUNCTION("""COMPUTED_VALUE"""),43946.0)</f>
        <v>43946</v>
      </c>
      <c r="B12" s="172">
        <f>IFERROR(__xludf.DUMMYFUNCTION("""COMPUTED_VALUE"""),393.0)</f>
        <v>393</v>
      </c>
      <c r="C12" s="172">
        <f>IFERROR(__xludf.DUMMYFUNCTION("""COMPUTED_VALUE"""),454.0)</f>
        <v>454</v>
      </c>
      <c r="D12" s="172">
        <f>IFERROR(__xludf.DUMMYFUNCTION("""COMPUTED_VALUE"""),8093.0)</f>
        <v>8093</v>
      </c>
      <c r="E12" s="172">
        <f>IFERROR(__xludf.DUMMYFUNCTION("""COMPUTED_VALUE"""),2206.0)</f>
        <v>2206</v>
      </c>
      <c r="F12" s="172">
        <f>IFERROR(__xludf.DUMMYFUNCTION("""COMPUTED_VALUE"""),47267.0)</f>
        <v>47267</v>
      </c>
      <c r="G12" s="172">
        <f>IFERROR(__xludf.DUMMYFUNCTION("""COMPUTED_VALUE"""),2599.0)</f>
        <v>2599</v>
      </c>
      <c r="H12" s="172">
        <f>IFERROR(__xludf.DUMMYFUNCTION("""COMPUTED_VALUE"""),55360.0)</f>
        <v>55360</v>
      </c>
      <c r="I12" s="172">
        <f>IFERROR(__xludf.DUMMYFUNCTION("""COMPUTED_VALUE"""),300.0)</f>
        <v>300</v>
      </c>
      <c r="J12" s="172">
        <f>IFERROR(__xludf.DUMMYFUNCTION("""COMPUTED_VALUE"""),373.0)</f>
        <v>373</v>
      </c>
      <c r="K12" s="172">
        <f>IFERROR(__xludf.DUMMYFUNCTION("""COMPUTED_VALUE"""),7441.0)</f>
        <v>7441</v>
      </c>
      <c r="L12" s="172">
        <f>IFERROR(__xludf.DUMMYFUNCTION("""COMPUTED_VALUE"""),1743.0)</f>
        <v>1743</v>
      </c>
      <c r="M12" s="172">
        <f>IFERROR(__xludf.DUMMYFUNCTION("""COMPUTED_VALUE"""),39986.0)</f>
        <v>39986</v>
      </c>
      <c r="N12" s="172">
        <f>IFERROR(__xludf.DUMMYFUNCTION("""COMPUTED_VALUE"""),47427.0)</f>
        <v>47427</v>
      </c>
      <c r="O12" s="172">
        <f>IFERROR(__xludf.DUMMYFUNCTION("""COMPUTED_VALUE"""),34.0)</f>
        <v>34</v>
      </c>
      <c r="P12" s="172">
        <f>IFERROR(__xludf.DUMMYFUNCTION("""COMPUTED_VALUE"""),869.0)</f>
        <v>869</v>
      </c>
      <c r="Q12" s="172">
        <f>IFERROR(__xludf.DUMMYFUNCTION("""COMPUTED_VALUE"""),17.0)</f>
        <v>17</v>
      </c>
      <c r="R12" s="172">
        <f>IFERROR(__xludf.DUMMYFUNCTION("""COMPUTED_VALUE"""),437.0)</f>
        <v>437</v>
      </c>
      <c r="S12" s="172">
        <f>IFERROR(__xludf.DUMMYFUNCTION("""COMPUTED_VALUE"""),5.0)</f>
        <v>5</v>
      </c>
      <c r="T12" s="172">
        <f>IFERROR(__xludf.DUMMYFUNCTION("""COMPUTED_VALUE"""),92.0)</f>
        <v>92</v>
      </c>
      <c r="U12" s="172">
        <f>IFERROR(__xludf.DUMMYFUNCTION("""COMPUTED_VALUE"""),340.0)</f>
        <v>340</v>
      </c>
      <c r="V12" s="172">
        <f>IFERROR(__xludf.DUMMYFUNCTION("""COMPUTED_VALUE"""),330.0)</f>
        <v>330</v>
      </c>
      <c r="W12" s="172">
        <f>IFERROR(__xludf.DUMMYFUNCTION("""COMPUTED_VALUE"""),85.0)</f>
        <v>85</v>
      </c>
      <c r="X12" s="172">
        <f>IFERROR(__xludf.DUMMYFUNCTION("""COMPUTED_VALUE"""),62.0)</f>
        <v>62</v>
      </c>
      <c r="Y12" s="172">
        <f>IFERROR(__xludf.DUMMYFUNCTION("""COMPUTED_VALUE"""),14.0)</f>
        <v>14</v>
      </c>
      <c r="Z12" s="172">
        <f>IFERROR(__xludf.DUMMYFUNCTION("""COMPUTED_VALUE"""),276.0)</f>
        <v>276</v>
      </c>
    </row>
    <row r="13">
      <c r="A13" s="234">
        <f>IFERROR(__xludf.DUMMYFUNCTION("""COMPUTED_VALUE"""),43947.0)</f>
        <v>43947</v>
      </c>
      <c r="B13" s="172">
        <f>IFERROR(__xludf.DUMMYFUNCTION("""COMPUTED_VALUE"""),316.0)</f>
        <v>316</v>
      </c>
      <c r="C13" s="172">
        <f>IFERROR(__xludf.DUMMYFUNCTION("""COMPUTED_VALUE"""),400.0)</f>
        <v>400</v>
      </c>
      <c r="D13" s="172">
        <f>IFERROR(__xludf.DUMMYFUNCTION("""COMPUTED_VALUE"""),8409.0)</f>
        <v>8409</v>
      </c>
      <c r="E13" s="172">
        <f>IFERROR(__xludf.DUMMYFUNCTION("""COMPUTED_VALUE"""),2309.0)</f>
        <v>2309</v>
      </c>
      <c r="F13" s="172">
        <f>IFERROR(__xludf.DUMMYFUNCTION("""COMPUTED_VALUE"""),49576.0)</f>
        <v>49576</v>
      </c>
      <c r="G13" s="172">
        <f>IFERROR(__xludf.DUMMYFUNCTION("""COMPUTED_VALUE"""),2625.0)</f>
        <v>2625</v>
      </c>
      <c r="H13" s="172">
        <f>IFERROR(__xludf.DUMMYFUNCTION("""COMPUTED_VALUE"""),57985.0)</f>
        <v>57985</v>
      </c>
      <c r="I13" s="172">
        <f>IFERROR(__xludf.DUMMYFUNCTION("""COMPUTED_VALUE"""),274.0)</f>
        <v>274</v>
      </c>
      <c r="J13" s="172">
        <f>IFERROR(__xludf.DUMMYFUNCTION("""COMPUTED_VALUE"""),327.0)</f>
        <v>327</v>
      </c>
      <c r="K13" s="172">
        <f>IFERROR(__xludf.DUMMYFUNCTION("""COMPUTED_VALUE"""),7715.0)</f>
        <v>7715</v>
      </c>
      <c r="L13" s="172">
        <f>IFERROR(__xludf.DUMMYFUNCTION("""COMPUTED_VALUE"""),1852.0)</f>
        <v>1852</v>
      </c>
      <c r="M13" s="172">
        <f>IFERROR(__xludf.DUMMYFUNCTION("""COMPUTED_VALUE"""),41838.0)</f>
        <v>41838</v>
      </c>
      <c r="N13" s="172">
        <f>IFERROR(__xludf.DUMMYFUNCTION("""COMPUTED_VALUE"""),49553.0)</f>
        <v>49553</v>
      </c>
      <c r="O13" s="172">
        <f>IFERROR(__xludf.DUMMYFUNCTION("""COMPUTED_VALUE"""),33.0)</f>
        <v>33</v>
      </c>
      <c r="P13" s="172">
        <f>IFERROR(__xludf.DUMMYFUNCTION("""COMPUTED_VALUE"""),902.0)</f>
        <v>902</v>
      </c>
      <c r="Q13" s="172">
        <f>IFERROR(__xludf.DUMMYFUNCTION("""COMPUTED_VALUE"""),15.0)</f>
        <v>15</v>
      </c>
      <c r="R13" s="172">
        <f>IFERROR(__xludf.DUMMYFUNCTION("""COMPUTED_VALUE"""),452.0)</f>
        <v>452</v>
      </c>
      <c r="S13" s="172">
        <f>IFERROR(__xludf.DUMMYFUNCTION("""COMPUTED_VALUE"""),3.0)</f>
        <v>3</v>
      </c>
      <c r="T13" s="172">
        <f>IFERROR(__xludf.DUMMYFUNCTION("""COMPUTED_VALUE"""),95.0)</f>
        <v>95</v>
      </c>
      <c r="U13" s="172">
        <f>IFERROR(__xludf.DUMMYFUNCTION("""COMPUTED_VALUE"""),355.0)</f>
        <v>355</v>
      </c>
      <c r="V13" s="172">
        <f>IFERROR(__xludf.DUMMYFUNCTION("""COMPUTED_VALUE"""),341.0)</f>
        <v>341</v>
      </c>
      <c r="W13" s="172">
        <f>IFERROR(__xludf.DUMMYFUNCTION("""COMPUTED_VALUE"""),86.0)</f>
        <v>86</v>
      </c>
      <c r="X13" s="172">
        <f>IFERROR(__xludf.DUMMYFUNCTION("""COMPUTED_VALUE"""),59.0)</f>
        <v>59</v>
      </c>
      <c r="Y13" s="172">
        <f>IFERROR(__xludf.DUMMYFUNCTION("""COMPUTED_VALUE"""),14.0)</f>
        <v>14</v>
      </c>
      <c r="Z13" s="172">
        <f>IFERROR(__xludf.DUMMYFUNCTION("""COMPUTED_VALUE"""),290.0)</f>
        <v>290</v>
      </c>
    </row>
    <row r="14">
      <c r="A14" s="234">
        <f>IFERROR(__xludf.DUMMYFUNCTION("""COMPUTED_VALUE"""),43948.0)</f>
        <v>43948</v>
      </c>
      <c r="B14" s="172">
        <f>IFERROR(__xludf.DUMMYFUNCTION("""COMPUTED_VALUE"""),249.0)</f>
        <v>249</v>
      </c>
      <c r="C14" s="172">
        <f>IFERROR(__xludf.DUMMYFUNCTION("""COMPUTED_VALUE"""),319.0)</f>
        <v>319</v>
      </c>
      <c r="D14" s="172">
        <f>IFERROR(__xludf.DUMMYFUNCTION("""COMPUTED_VALUE"""),8658.0)</f>
        <v>8658</v>
      </c>
      <c r="E14" s="172">
        <f>IFERROR(__xludf.DUMMYFUNCTION("""COMPUTED_VALUE"""),1620.0)</f>
        <v>1620</v>
      </c>
      <c r="F14" s="172">
        <f>IFERROR(__xludf.DUMMYFUNCTION("""COMPUTED_VALUE"""),51196.0)</f>
        <v>51196</v>
      </c>
      <c r="G14" s="172">
        <f>IFERROR(__xludf.DUMMYFUNCTION("""COMPUTED_VALUE"""),1869.0)</f>
        <v>1869</v>
      </c>
      <c r="H14" s="172">
        <f>IFERROR(__xludf.DUMMYFUNCTION("""COMPUTED_VALUE"""),59854.0)</f>
        <v>59854</v>
      </c>
      <c r="I14" s="172">
        <f>IFERROR(__xludf.DUMMYFUNCTION("""COMPUTED_VALUE"""),206.0)</f>
        <v>206</v>
      </c>
      <c r="J14" s="172">
        <f>IFERROR(__xludf.DUMMYFUNCTION("""COMPUTED_VALUE"""),260.0)</f>
        <v>260</v>
      </c>
      <c r="K14" s="172">
        <f>IFERROR(__xludf.DUMMYFUNCTION("""COMPUTED_VALUE"""),7921.0)</f>
        <v>7921</v>
      </c>
      <c r="L14" s="172">
        <f>IFERROR(__xludf.DUMMYFUNCTION("""COMPUTED_VALUE"""),1150.0)</f>
        <v>1150</v>
      </c>
      <c r="M14" s="172">
        <f>IFERROR(__xludf.DUMMYFUNCTION("""COMPUTED_VALUE"""),42988.0)</f>
        <v>42988</v>
      </c>
      <c r="N14" s="172">
        <f>IFERROR(__xludf.DUMMYFUNCTION("""COMPUTED_VALUE"""),50909.0)</f>
        <v>50909</v>
      </c>
      <c r="O14" s="172">
        <f>IFERROR(__xludf.DUMMYFUNCTION("""COMPUTED_VALUE"""),29.0)</f>
        <v>29</v>
      </c>
      <c r="P14" s="172">
        <f>IFERROR(__xludf.DUMMYFUNCTION("""COMPUTED_VALUE"""),931.0)</f>
        <v>931</v>
      </c>
      <c r="Q14" s="172">
        <f>IFERROR(__xludf.DUMMYFUNCTION("""COMPUTED_VALUE"""),21.0)</f>
        <v>21</v>
      </c>
      <c r="R14" s="172">
        <f>IFERROR(__xludf.DUMMYFUNCTION("""COMPUTED_VALUE"""),473.0)</f>
        <v>473</v>
      </c>
      <c r="S14" s="172">
        <f>IFERROR(__xludf.DUMMYFUNCTION("""COMPUTED_VALUE"""),4.0)</f>
        <v>4</v>
      </c>
      <c r="T14" s="172">
        <f>IFERROR(__xludf.DUMMYFUNCTION("""COMPUTED_VALUE"""),99.0)</f>
        <v>99</v>
      </c>
      <c r="U14" s="172">
        <f>IFERROR(__xludf.DUMMYFUNCTION("""COMPUTED_VALUE"""),359.0)</f>
        <v>359</v>
      </c>
      <c r="V14" s="172">
        <f>IFERROR(__xludf.DUMMYFUNCTION("""COMPUTED_VALUE"""),351.0)</f>
        <v>351</v>
      </c>
      <c r="W14" s="172">
        <f>IFERROR(__xludf.DUMMYFUNCTION("""COMPUTED_VALUE"""),86.0)</f>
        <v>86</v>
      </c>
      <c r="X14" s="172">
        <f>IFERROR(__xludf.DUMMYFUNCTION("""COMPUTED_VALUE"""),61.0)</f>
        <v>61</v>
      </c>
      <c r="Y14" s="172">
        <f>IFERROR(__xludf.DUMMYFUNCTION("""COMPUTED_VALUE"""),10.0)</f>
        <v>10</v>
      </c>
      <c r="Z14" s="172">
        <f>IFERROR(__xludf.DUMMYFUNCTION("""COMPUTED_VALUE"""),300.0)</f>
        <v>300</v>
      </c>
    </row>
    <row r="15">
      <c r="A15" s="234">
        <f>IFERROR(__xludf.DUMMYFUNCTION("""COMPUTED_VALUE"""),43949.0)</f>
        <v>43949</v>
      </c>
      <c r="B15" s="172">
        <f>IFERROR(__xludf.DUMMYFUNCTION("""COMPUTED_VALUE"""),410.0)</f>
        <v>410</v>
      </c>
      <c r="C15" s="172">
        <f>IFERROR(__xludf.DUMMYFUNCTION("""COMPUTED_VALUE"""),325.0)</f>
        <v>325</v>
      </c>
      <c r="D15" s="172">
        <f>IFERROR(__xludf.DUMMYFUNCTION("""COMPUTED_VALUE"""),9068.0)</f>
        <v>9068</v>
      </c>
      <c r="E15" s="172">
        <f>IFERROR(__xludf.DUMMYFUNCTION("""COMPUTED_VALUE"""),2263.0)</f>
        <v>2263</v>
      </c>
      <c r="F15" s="172">
        <f>IFERROR(__xludf.DUMMYFUNCTION("""COMPUTED_VALUE"""),53459.0)</f>
        <v>53459</v>
      </c>
      <c r="G15" s="172">
        <f>IFERROR(__xludf.DUMMYFUNCTION("""COMPUTED_VALUE"""),2673.0)</f>
        <v>2673</v>
      </c>
      <c r="H15" s="172">
        <f>IFERROR(__xludf.DUMMYFUNCTION("""COMPUTED_VALUE"""),62527.0)</f>
        <v>62527</v>
      </c>
      <c r="I15" s="172">
        <f>IFERROR(__xludf.DUMMYFUNCTION("""COMPUTED_VALUE"""),332.0)</f>
        <v>332</v>
      </c>
      <c r="J15" s="172">
        <f>IFERROR(__xludf.DUMMYFUNCTION("""COMPUTED_VALUE"""),271.0)</f>
        <v>271</v>
      </c>
      <c r="K15" s="172">
        <f>IFERROR(__xludf.DUMMYFUNCTION("""COMPUTED_VALUE"""),8253.0)</f>
        <v>8253</v>
      </c>
      <c r="L15" s="172">
        <f>IFERROR(__xludf.DUMMYFUNCTION("""COMPUTED_VALUE"""),1735.0)</f>
        <v>1735</v>
      </c>
      <c r="M15" s="172">
        <f>IFERROR(__xludf.DUMMYFUNCTION("""COMPUTED_VALUE"""),44723.0)</f>
        <v>44723</v>
      </c>
      <c r="N15" s="172">
        <f>IFERROR(__xludf.DUMMYFUNCTION("""COMPUTED_VALUE"""),52976.0)</f>
        <v>52976</v>
      </c>
      <c r="O15" s="172">
        <f>IFERROR(__xludf.DUMMYFUNCTION("""COMPUTED_VALUE"""),44.0)</f>
        <v>44</v>
      </c>
      <c r="P15" s="172">
        <f>IFERROR(__xludf.DUMMYFUNCTION("""COMPUTED_VALUE"""),975.0)</f>
        <v>975</v>
      </c>
      <c r="Q15" s="172">
        <f>IFERROR(__xludf.DUMMYFUNCTION("""COMPUTED_VALUE"""),24.0)</f>
        <v>24</v>
      </c>
      <c r="R15" s="172">
        <f>IFERROR(__xludf.DUMMYFUNCTION("""COMPUTED_VALUE"""),497.0)</f>
        <v>497</v>
      </c>
      <c r="S15" s="172">
        <f>IFERROR(__xludf.DUMMYFUNCTION("""COMPUTED_VALUE"""),3.0)</f>
        <v>3</v>
      </c>
      <c r="T15" s="172">
        <f>IFERROR(__xludf.DUMMYFUNCTION("""COMPUTED_VALUE"""),102.0)</f>
        <v>102</v>
      </c>
      <c r="U15" s="172">
        <f>IFERROR(__xludf.DUMMYFUNCTION("""COMPUTED_VALUE"""),376.0)</f>
        <v>376</v>
      </c>
      <c r="V15" s="172">
        <f>IFERROR(__xludf.DUMMYFUNCTION("""COMPUTED_VALUE"""),363.0)</f>
        <v>363</v>
      </c>
      <c r="W15" s="172">
        <f>IFERROR(__xludf.DUMMYFUNCTION("""COMPUTED_VALUE"""),88.0)</f>
        <v>88</v>
      </c>
      <c r="X15" s="172">
        <f>IFERROR(__xludf.DUMMYFUNCTION("""COMPUTED_VALUE"""),59.0)</f>
        <v>59</v>
      </c>
      <c r="Y15" s="172">
        <f>IFERROR(__xludf.DUMMYFUNCTION("""COMPUTED_VALUE"""),22.0)</f>
        <v>22</v>
      </c>
      <c r="Z15" s="172">
        <f>IFERROR(__xludf.DUMMYFUNCTION("""COMPUTED_VALUE"""),322.0)</f>
        <v>322</v>
      </c>
    </row>
    <row r="16">
      <c r="A16" s="234">
        <f>IFERROR(__xludf.DUMMYFUNCTION("""COMPUTED_VALUE"""),43950.0)</f>
        <v>43950</v>
      </c>
      <c r="B16" s="172">
        <f>IFERROR(__xludf.DUMMYFUNCTION("""COMPUTED_VALUE"""),476.0)</f>
        <v>476</v>
      </c>
      <c r="C16" s="172">
        <f>IFERROR(__xludf.DUMMYFUNCTION("""COMPUTED_VALUE"""),378.0)</f>
        <v>378</v>
      </c>
      <c r="D16" s="172">
        <f>IFERROR(__xludf.DUMMYFUNCTION("""COMPUTED_VALUE"""),9544.0)</f>
        <v>9544</v>
      </c>
      <c r="E16" s="172">
        <f>IFERROR(__xludf.DUMMYFUNCTION("""COMPUTED_VALUE"""),3343.0)</f>
        <v>3343</v>
      </c>
      <c r="F16" s="172">
        <f>IFERROR(__xludf.DUMMYFUNCTION("""COMPUTED_VALUE"""),56802.0)</f>
        <v>56802</v>
      </c>
      <c r="G16" s="172">
        <f>IFERROR(__xludf.DUMMYFUNCTION("""COMPUTED_VALUE"""),3819.0)</f>
        <v>3819</v>
      </c>
      <c r="H16" s="172">
        <f>IFERROR(__xludf.DUMMYFUNCTION("""COMPUTED_VALUE"""),66346.0)</f>
        <v>66346</v>
      </c>
      <c r="I16" s="172">
        <f>IFERROR(__xludf.DUMMYFUNCTION("""COMPUTED_VALUE"""),371.0)</f>
        <v>371</v>
      </c>
      <c r="J16" s="172">
        <f>IFERROR(__xludf.DUMMYFUNCTION("""COMPUTED_VALUE"""),303.0)</f>
        <v>303</v>
      </c>
      <c r="K16" s="172">
        <f>IFERROR(__xludf.DUMMYFUNCTION("""COMPUTED_VALUE"""),8624.0)</f>
        <v>8624</v>
      </c>
      <c r="L16" s="172">
        <f>IFERROR(__xludf.DUMMYFUNCTION("""COMPUTED_VALUE"""),2398.0)</f>
        <v>2398</v>
      </c>
      <c r="M16" s="172">
        <f>IFERROR(__xludf.DUMMYFUNCTION("""COMPUTED_VALUE"""),47121.0)</f>
        <v>47121</v>
      </c>
      <c r="N16" s="172">
        <f>IFERROR(__xludf.DUMMYFUNCTION("""COMPUTED_VALUE"""),55745.0)</f>
        <v>55745</v>
      </c>
      <c r="O16" s="172">
        <f>IFERROR(__xludf.DUMMYFUNCTION("""COMPUTED_VALUE"""),36.0)</f>
        <v>36</v>
      </c>
      <c r="P16" s="172">
        <f>IFERROR(__xludf.DUMMYFUNCTION("""COMPUTED_VALUE"""),1011.0)</f>
        <v>1011</v>
      </c>
      <c r="Q16" s="172">
        <f>IFERROR(__xludf.DUMMYFUNCTION("""COMPUTED_VALUE"""),38.0)</f>
        <v>38</v>
      </c>
      <c r="R16" s="172">
        <f>IFERROR(__xludf.DUMMYFUNCTION("""COMPUTED_VALUE"""),535.0)</f>
        <v>535</v>
      </c>
      <c r="S16" s="172">
        <f>IFERROR(__xludf.DUMMYFUNCTION("""COMPUTED_VALUE"""),11.0)</f>
        <v>11</v>
      </c>
      <c r="T16" s="172">
        <f>IFERROR(__xludf.DUMMYFUNCTION("""COMPUTED_VALUE"""),113.0)</f>
        <v>113</v>
      </c>
      <c r="U16" s="172">
        <f>IFERROR(__xludf.DUMMYFUNCTION("""COMPUTED_VALUE"""),363.0)</f>
        <v>363</v>
      </c>
      <c r="V16" s="172">
        <f>IFERROR(__xludf.DUMMYFUNCTION("""COMPUTED_VALUE"""),366.0)</f>
        <v>366</v>
      </c>
      <c r="W16" s="172">
        <f>IFERROR(__xludf.DUMMYFUNCTION("""COMPUTED_VALUE"""),78.0)</f>
        <v>78</v>
      </c>
      <c r="X16" s="172">
        <f>IFERROR(__xludf.DUMMYFUNCTION("""COMPUTED_VALUE"""),53.0)</f>
        <v>53</v>
      </c>
      <c r="Y16" s="172">
        <f>IFERROR(__xludf.DUMMYFUNCTION("""COMPUTED_VALUE"""),18.0)</f>
        <v>18</v>
      </c>
      <c r="Z16" s="172">
        <f>IFERROR(__xludf.DUMMYFUNCTION("""COMPUTED_VALUE"""),340.0)</f>
        <v>340</v>
      </c>
    </row>
    <row r="17">
      <c r="A17" s="234">
        <f>IFERROR(__xludf.DUMMYFUNCTION("""COMPUTED_VALUE"""),43951.0)</f>
        <v>43951</v>
      </c>
      <c r="B17" s="172">
        <f>IFERROR(__xludf.DUMMYFUNCTION("""COMPUTED_VALUE"""),432.0)</f>
        <v>432</v>
      </c>
      <c r="C17" s="172">
        <f>IFERROR(__xludf.DUMMYFUNCTION("""COMPUTED_VALUE"""),439.0)</f>
        <v>439</v>
      </c>
      <c r="D17" s="172">
        <f>IFERROR(__xludf.DUMMYFUNCTION("""COMPUTED_VALUE"""),9976.0)</f>
        <v>9976</v>
      </c>
      <c r="E17" s="172">
        <f>IFERROR(__xludf.DUMMYFUNCTION("""COMPUTED_VALUE"""),2769.0)</f>
        <v>2769</v>
      </c>
      <c r="F17" s="172">
        <f>IFERROR(__xludf.DUMMYFUNCTION("""COMPUTED_VALUE"""),59571.0)</f>
        <v>59571</v>
      </c>
      <c r="G17" s="172">
        <f>IFERROR(__xludf.DUMMYFUNCTION("""COMPUTED_VALUE"""),3201.0)</f>
        <v>3201</v>
      </c>
      <c r="H17" s="172">
        <f>IFERROR(__xludf.DUMMYFUNCTION("""COMPUTED_VALUE"""),69547.0)</f>
        <v>69547</v>
      </c>
      <c r="I17" s="172">
        <f>IFERROR(__xludf.DUMMYFUNCTION("""COMPUTED_VALUE"""),350.0)</f>
        <v>350</v>
      </c>
      <c r="J17" s="172">
        <f>IFERROR(__xludf.DUMMYFUNCTION("""COMPUTED_VALUE"""),351.0)</f>
        <v>351</v>
      </c>
      <c r="K17" s="172">
        <f>IFERROR(__xludf.DUMMYFUNCTION("""COMPUTED_VALUE"""),8974.0)</f>
        <v>8974</v>
      </c>
      <c r="L17" s="172">
        <f>IFERROR(__xludf.DUMMYFUNCTION("""COMPUTED_VALUE"""),1892.0)</f>
        <v>1892</v>
      </c>
      <c r="M17" s="172">
        <f>IFERROR(__xludf.DUMMYFUNCTION("""COMPUTED_VALUE"""),49013.0)</f>
        <v>49013</v>
      </c>
      <c r="N17" s="172">
        <f>IFERROR(__xludf.DUMMYFUNCTION("""COMPUTED_VALUE"""),57987.0)</f>
        <v>57987</v>
      </c>
      <c r="O17" s="172">
        <f>IFERROR(__xludf.DUMMYFUNCTION("""COMPUTED_VALUE"""),33.0)</f>
        <v>33</v>
      </c>
      <c r="P17" s="172">
        <f>IFERROR(__xludf.DUMMYFUNCTION("""COMPUTED_VALUE"""),1044.0)</f>
        <v>1044</v>
      </c>
      <c r="Q17" s="172">
        <f>IFERROR(__xludf.DUMMYFUNCTION("""COMPUTED_VALUE"""),38.0)</f>
        <v>38</v>
      </c>
      <c r="R17" s="172">
        <f>IFERROR(__xludf.DUMMYFUNCTION("""COMPUTED_VALUE"""),573.0)</f>
        <v>573</v>
      </c>
      <c r="S17" s="172">
        <f>IFERROR(__xludf.DUMMYFUNCTION("""COMPUTED_VALUE"""),6.0)</f>
        <v>6</v>
      </c>
      <c r="T17" s="172">
        <f>IFERROR(__xludf.DUMMYFUNCTION("""COMPUTED_VALUE"""),119.0)</f>
        <v>119</v>
      </c>
      <c r="U17" s="172">
        <f>IFERROR(__xludf.DUMMYFUNCTION("""COMPUTED_VALUE"""),352.0)</f>
        <v>352</v>
      </c>
      <c r="V17" s="172">
        <f>IFERROR(__xludf.DUMMYFUNCTION("""COMPUTED_VALUE"""),364.0)</f>
        <v>364</v>
      </c>
      <c r="W17" s="172">
        <f>IFERROR(__xludf.DUMMYFUNCTION("""COMPUTED_VALUE"""),83.0)</f>
        <v>83</v>
      </c>
      <c r="X17" s="172">
        <f>IFERROR(__xludf.DUMMYFUNCTION("""COMPUTED_VALUE"""),57.0)</f>
        <v>57</v>
      </c>
      <c r="Y17" s="172">
        <f>IFERROR(__xludf.DUMMYFUNCTION("""COMPUTED_VALUE"""),24.0)</f>
        <v>24</v>
      </c>
      <c r="Z17" s="172">
        <f>IFERROR(__xludf.DUMMYFUNCTION("""COMPUTED_VALUE"""),364.0)</f>
        <v>364</v>
      </c>
    </row>
    <row r="18">
      <c r="A18" s="234">
        <f>IFERROR(__xludf.DUMMYFUNCTION("""COMPUTED_VALUE"""),43952.0)</f>
        <v>43952</v>
      </c>
      <c r="B18" s="172">
        <f>IFERROR(__xludf.DUMMYFUNCTION("""COMPUTED_VALUE"""),454.0)</f>
        <v>454</v>
      </c>
      <c r="C18" s="172">
        <f>IFERROR(__xludf.DUMMYFUNCTION("""COMPUTED_VALUE"""),454.0)</f>
        <v>454</v>
      </c>
      <c r="D18" s="172">
        <f>IFERROR(__xludf.DUMMYFUNCTION("""COMPUTED_VALUE"""),10430.0)</f>
        <v>10430</v>
      </c>
      <c r="E18" s="172">
        <f>IFERROR(__xludf.DUMMYFUNCTION("""COMPUTED_VALUE"""),3086.0)</f>
        <v>3086</v>
      </c>
      <c r="F18" s="172">
        <f>IFERROR(__xludf.DUMMYFUNCTION("""COMPUTED_VALUE"""),62657.0)</f>
        <v>62657</v>
      </c>
      <c r="G18" s="172">
        <f>IFERROR(__xludf.DUMMYFUNCTION("""COMPUTED_VALUE"""),3540.0)</f>
        <v>3540</v>
      </c>
      <c r="H18" s="172">
        <f>IFERROR(__xludf.DUMMYFUNCTION("""COMPUTED_VALUE"""),73087.0)</f>
        <v>73087</v>
      </c>
      <c r="I18" s="172">
        <f>IFERROR(__xludf.DUMMYFUNCTION("""COMPUTED_VALUE"""),323.0)</f>
        <v>323</v>
      </c>
      <c r="J18" s="172">
        <f>IFERROR(__xludf.DUMMYFUNCTION("""COMPUTED_VALUE"""),348.0)</f>
        <v>348</v>
      </c>
      <c r="K18" s="172">
        <f>IFERROR(__xludf.DUMMYFUNCTION("""COMPUTED_VALUE"""),9297.0)</f>
        <v>9297</v>
      </c>
      <c r="L18" s="172">
        <f>IFERROR(__xludf.DUMMYFUNCTION("""COMPUTED_VALUE"""),2140.0)</f>
        <v>2140</v>
      </c>
      <c r="M18" s="172">
        <f>IFERROR(__xludf.DUMMYFUNCTION("""COMPUTED_VALUE"""),51153.0)</f>
        <v>51153</v>
      </c>
      <c r="N18" s="172">
        <f>IFERROR(__xludf.DUMMYFUNCTION("""COMPUTED_VALUE"""),60450.0)</f>
        <v>60450</v>
      </c>
      <c r="O18" s="172">
        <f>IFERROR(__xludf.DUMMYFUNCTION("""COMPUTED_VALUE"""),51.0)</f>
        <v>51</v>
      </c>
      <c r="P18" s="172">
        <f>IFERROR(__xludf.DUMMYFUNCTION("""COMPUTED_VALUE"""),1095.0)</f>
        <v>1095</v>
      </c>
      <c r="Q18" s="172">
        <f>IFERROR(__xludf.DUMMYFUNCTION("""COMPUTED_VALUE"""),39.0)</f>
        <v>39</v>
      </c>
      <c r="R18" s="172">
        <f>IFERROR(__xludf.DUMMYFUNCTION("""COMPUTED_VALUE"""),612.0)</f>
        <v>612</v>
      </c>
      <c r="S18" s="172">
        <f>IFERROR(__xludf.DUMMYFUNCTION("""COMPUTED_VALUE"""),3.0)</f>
        <v>3</v>
      </c>
      <c r="T18" s="172">
        <f>IFERROR(__xludf.DUMMYFUNCTION("""COMPUTED_VALUE"""),122.0)</f>
        <v>122</v>
      </c>
      <c r="U18" s="172">
        <f>IFERROR(__xludf.DUMMYFUNCTION("""COMPUTED_VALUE"""),361.0)</f>
        <v>361</v>
      </c>
      <c r="V18" s="172">
        <f>IFERROR(__xludf.DUMMYFUNCTION("""COMPUTED_VALUE"""),359.0)</f>
        <v>359</v>
      </c>
      <c r="W18" s="172">
        <f>IFERROR(__xludf.DUMMYFUNCTION("""COMPUTED_VALUE"""),84.0)</f>
        <v>84</v>
      </c>
      <c r="X18" s="172">
        <f>IFERROR(__xludf.DUMMYFUNCTION("""COMPUTED_VALUE"""),58.0)</f>
        <v>58</v>
      </c>
      <c r="Y18" s="172">
        <f>IFERROR(__xludf.DUMMYFUNCTION("""COMPUTED_VALUE"""),14.0)</f>
        <v>14</v>
      </c>
      <c r="Z18" s="172">
        <f>IFERROR(__xludf.DUMMYFUNCTION("""COMPUTED_VALUE"""),378.0)</f>
        <v>378</v>
      </c>
    </row>
    <row r="19">
      <c r="A19" s="234">
        <f>IFERROR(__xludf.DUMMYFUNCTION("""COMPUTED_VALUE"""),43953.0)</f>
        <v>43953</v>
      </c>
      <c r="B19" s="172">
        <f>IFERROR(__xludf.DUMMYFUNCTION("""COMPUTED_VALUE"""),257.0)</f>
        <v>257</v>
      </c>
      <c r="C19" s="172">
        <f>IFERROR(__xludf.DUMMYFUNCTION("""COMPUTED_VALUE"""),381.0)</f>
        <v>381</v>
      </c>
      <c r="D19" s="172">
        <f>IFERROR(__xludf.DUMMYFUNCTION("""COMPUTED_VALUE"""),10687.0)</f>
        <v>10687</v>
      </c>
      <c r="E19" s="172">
        <f>IFERROR(__xludf.DUMMYFUNCTION("""COMPUTED_VALUE"""),1926.0)</f>
        <v>1926</v>
      </c>
      <c r="F19" s="172">
        <f>IFERROR(__xludf.DUMMYFUNCTION("""COMPUTED_VALUE"""),64583.0)</f>
        <v>64583</v>
      </c>
      <c r="G19" s="172">
        <f>IFERROR(__xludf.DUMMYFUNCTION("""COMPUTED_VALUE"""),2183.0)</f>
        <v>2183</v>
      </c>
      <c r="H19" s="172">
        <f>IFERROR(__xludf.DUMMYFUNCTION("""COMPUTED_VALUE"""),75270.0)</f>
        <v>75270</v>
      </c>
      <c r="I19" s="172">
        <f>IFERROR(__xludf.DUMMYFUNCTION("""COMPUTED_VALUE"""),192.0)</f>
        <v>192</v>
      </c>
      <c r="J19" s="172">
        <f>IFERROR(__xludf.DUMMYFUNCTION("""COMPUTED_VALUE"""),288.0)</f>
        <v>288</v>
      </c>
      <c r="K19" s="172">
        <f>IFERROR(__xludf.DUMMYFUNCTION("""COMPUTED_VALUE"""),9489.0)</f>
        <v>9489</v>
      </c>
      <c r="L19" s="172">
        <f>IFERROR(__xludf.DUMMYFUNCTION("""COMPUTED_VALUE"""),1255.0)</f>
        <v>1255</v>
      </c>
      <c r="M19" s="172">
        <f>IFERROR(__xludf.DUMMYFUNCTION("""COMPUTED_VALUE"""),52408.0)</f>
        <v>52408</v>
      </c>
      <c r="N19" s="172">
        <f>IFERROR(__xludf.DUMMYFUNCTION("""COMPUTED_VALUE"""),61897.0)</f>
        <v>61897</v>
      </c>
      <c r="O19" s="172">
        <f>IFERROR(__xludf.DUMMYFUNCTION("""COMPUTED_VALUE"""),36.0)</f>
        <v>36</v>
      </c>
      <c r="P19" s="172">
        <f>IFERROR(__xludf.DUMMYFUNCTION("""COMPUTED_VALUE"""),1131.0)</f>
        <v>1131</v>
      </c>
      <c r="Q19" s="172">
        <f>IFERROR(__xludf.DUMMYFUNCTION("""COMPUTED_VALUE"""),38.0)</f>
        <v>38</v>
      </c>
      <c r="R19" s="172">
        <f>IFERROR(__xludf.DUMMYFUNCTION("""COMPUTED_VALUE"""),650.0)</f>
        <v>650</v>
      </c>
      <c r="S19" s="172">
        <f>IFERROR(__xludf.DUMMYFUNCTION("""COMPUTED_VALUE"""),5.0)</f>
        <v>5</v>
      </c>
      <c r="T19" s="172">
        <f>IFERROR(__xludf.DUMMYFUNCTION("""COMPUTED_VALUE"""),127.0)</f>
        <v>127</v>
      </c>
      <c r="U19" s="172">
        <f>IFERROR(__xludf.DUMMYFUNCTION("""COMPUTED_VALUE"""),354.0)</f>
        <v>354</v>
      </c>
      <c r="V19" s="172">
        <f>IFERROR(__xludf.DUMMYFUNCTION("""COMPUTED_VALUE"""),356.0)</f>
        <v>356</v>
      </c>
      <c r="W19" s="172">
        <f>IFERROR(__xludf.DUMMYFUNCTION("""COMPUTED_VALUE"""),91.0)</f>
        <v>91</v>
      </c>
      <c r="X19" s="172">
        <f>IFERROR(__xludf.DUMMYFUNCTION("""COMPUTED_VALUE"""),62.0)</f>
        <v>62</v>
      </c>
      <c r="Y19" s="172">
        <f>IFERROR(__xludf.DUMMYFUNCTION("""COMPUTED_VALUE"""),24.0)</f>
        <v>24</v>
      </c>
      <c r="Z19" s="172">
        <f>IFERROR(__xludf.DUMMYFUNCTION("""COMPUTED_VALUE"""),402.0)</f>
        <v>402</v>
      </c>
    </row>
    <row r="20">
      <c r="A20" s="234">
        <f>IFERROR(__xludf.DUMMYFUNCTION("""COMPUTED_VALUE"""),43954.0)</f>
        <v>43954</v>
      </c>
      <c r="B20" s="172">
        <f>IFERROR(__xludf.DUMMYFUNCTION("""COMPUTED_VALUE"""),283.0)</f>
        <v>283</v>
      </c>
      <c r="C20" s="172">
        <f>IFERROR(__xludf.DUMMYFUNCTION("""COMPUTED_VALUE"""),331.0)</f>
        <v>331</v>
      </c>
      <c r="D20" s="172">
        <f>IFERROR(__xludf.DUMMYFUNCTION("""COMPUTED_VALUE"""),10970.0)</f>
        <v>10970</v>
      </c>
      <c r="E20" s="172">
        <f>IFERROR(__xludf.DUMMYFUNCTION("""COMPUTED_VALUE"""),2160.0)</f>
        <v>2160</v>
      </c>
      <c r="F20" s="172">
        <f>IFERROR(__xludf.DUMMYFUNCTION("""COMPUTED_VALUE"""),66743.0)</f>
        <v>66743</v>
      </c>
      <c r="G20" s="172">
        <f>IFERROR(__xludf.DUMMYFUNCTION("""COMPUTED_VALUE"""),2443.0)</f>
        <v>2443</v>
      </c>
      <c r="H20" s="172">
        <f>IFERROR(__xludf.DUMMYFUNCTION("""COMPUTED_VALUE"""),77713.0)</f>
        <v>77713</v>
      </c>
      <c r="I20" s="172">
        <f>IFERROR(__xludf.DUMMYFUNCTION("""COMPUTED_VALUE"""),183.0)</f>
        <v>183</v>
      </c>
      <c r="J20" s="172">
        <f>IFERROR(__xludf.DUMMYFUNCTION("""COMPUTED_VALUE"""),233.0)</f>
        <v>233</v>
      </c>
      <c r="K20" s="172">
        <f>IFERROR(__xludf.DUMMYFUNCTION("""COMPUTED_VALUE"""),9672.0)</f>
        <v>9672</v>
      </c>
      <c r="L20" s="172">
        <f>IFERROR(__xludf.DUMMYFUNCTION("""COMPUTED_VALUE"""),1551.0)</f>
        <v>1551</v>
      </c>
      <c r="M20" s="172">
        <f>IFERROR(__xludf.DUMMYFUNCTION("""COMPUTED_VALUE"""),53959.0)</f>
        <v>53959</v>
      </c>
      <c r="N20" s="172">
        <f>IFERROR(__xludf.DUMMYFUNCTION("""COMPUTED_VALUE"""),63631.0)</f>
        <v>63631</v>
      </c>
      <c r="O20" s="172">
        <f>IFERROR(__xludf.DUMMYFUNCTION("""COMPUTED_VALUE"""),31.0)</f>
        <v>31</v>
      </c>
      <c r="P20" s="172">
        <f>IFERROR(__xludf.DUMMYFUNCTION("""COMPUTED_VALUE"""),1162.0)</f>
        <v>1162</v>
      </c>
      <c r="Q20" s="172">
        <f>IFERROR(__xludf.DUMMYFUNCTION("""COMPUTED_VALUE"""),27.0)</f>
        <v>27</v>
      </c>
      <c r="R20" s="172">
        <f>IFERROR(__xludf.DUMMYFUNCTION("""COMPUTED_VALUE"""),677.0)</f>
        <v>677</v>
      </c>
      <c r="S20" s="172">
        <f>IFERROR(__xludf.DUMMYFUNCTION("""COMPUTED_VALUE"""),8.0)</f>
        <v>8</v>
      </c>
      <c r="T20" s="172">
        <f>IFERROR(__xludf.DUMMYFUNCTION("""COMPUTED_VALUE"""),135.0)</f>
        <v>135</v>
      </c>
      <c r="U20" s="172">
        <f>IFERROR(__xludf.DUMMYFUNCTION("""COMPUTED_VALUE"""),350.0)</f>
        <v>350</v>
      </c>
      <c r="V20" s="172">
        <f>IFERROR(__xludf.DUMMYFUNCTION("""COMPUTED_VALUE"""),355.0)</f>
        <v>355</v>
      </c>
      <c r="W20" s="172">
        <f>IFERROR(__xludf.DUMMYFUNCTION("""COMPUTED_VALUE"""),90.0)</f>
        <v>90</v>
      </c>
      <c r="X20" s="172">
        <f>IFERROR(__xludf.DUMMYFUNCTION("""COMPUTED_VALUE"""),61.0)</f>
        <v>61</v>
      </c>
      <c r="Y20" s="172">
        <f>IFERROR(__xludf.DUMMYFUNCTION("""COMPUTED_VALUE"""),21.0)</f>
        <v>21</v>
      </c>
      <c r="Z20" s="172">
        <f>IFERROR(__xludf.DUMMYFUNCTION("""COMPUTED_VALUE"""),423.0)</f>
        <v>423</v>
      </c>
    </row>
    <row r="21">
      <c r="A21" s="234">
        <f>IFERROR(__xludf.DUMMYFUNCTION("""COMPUTED_VALUE"""),43955.0)</f>
        <v>43955</v>
      </c>
      <c r="B21" s="172">
        <f>IFERROR(__xludf.DUMMYFUNCTION("""COMPUTED_VALUE"""),387.0)</f>
        <v>387</v>
      </c>
      <c r="C21" s="172">
        <f>IFERROR(__xludf.DUMMYFUNCTION("""COMPUTED_VALUE"""),309.0)</f>
        <v>309</v>
      </c>
      <c r="D21" s="172">
        <f>IFERROR(__xludf.DUMMYFUNCTION("""COMPUTED_VALUE"""),11357.0)</f>
        <v>11357</v>
      </c>
      <c r="E21" s="172">
        <f>IFERROR(__xludf.DUMMYFUNCTION("""COMPUTED_VALUE"""),2098.0)</f>
        <v>2098</v>
      </c>
      <c r="F21" s="172">
        <f>IFERROR(__xludf.DUMMYFUNCTION("""COMPUTED_VALUE"""),68841.0)</f>
        <v>68841</v>
      </c>
      <c r="G21" s="172">
        <f>IFERROR(__xludf.DUMMYFUNCTION("""COMPUTED_VALUE"""),2485.0)</f>
        <v>2485</v>
      </c>
      <c r="H21" s="172">
        <f>IFERROR(__xludf.DUMMYFUNCTION("""COMPUTED_VALUE"""),80198.0)</f>
        <v>80198</v>
      </c>
      <c r="I21" s="172">
        <f>IFERROR(__xludf.DUMMYFUNCTION("""COMPUTED_VALUE"""),290.0)</f>
        <v>290</v>
      </c>
      <c r="J21" s="172">
        <f>IFERROR(__xludf.DUMMYFUNCTION("""COMPUTED_VALUE"""),222.0)</f>
        <v>222</v>
      </c>
      <c r="K21" s="172">
        <f>IFERROR(__xludf.DUMMYFUNCTION("""COMPUTED_VALUE"""),9962.0)</f>
        <v>9962</v>
      </c>
      <c r="L21" s="172">
        <f>IFERROR(__xludf.DUMMYFUNCTION("""COMPUTED_VALUE"""),1540.0)</f>
        <v>1540</v>
      </c>
      <c r="M21" s="172">
        <f>IFERROR(__xludf.DUMMYFUNCTION("""COMPUTED_VALUE"""),55499.0)</f>
        <v>55499</v>
      </c>
      <c r="N21" s="172">
        <f>IFERROR(__xludf.DUMMYFUNCTION("""COMPUTED_VALUE"""),65461.0)</f>
        <v>65461</v>
      </c>
      <c r="O21" s="172">
        <f>IFERROR(__xludf.DUMMYFUNCTION("""COMPUTED_VALUE"""),30.0)</f>
        <v>30</v>
      </c>
      <c r="P21" s="172">
        <f>IFERROR(__xludf.DUMMYFUNCTION("""COMPUTED_VALUE"""),1192.0)</f>
        <v>1192</v>
      </c>
      <c r="Q21" s="172">
        <f>IFERROR(__xludf.DUMMYFUNCTION("""COMPUTED_VALUE"""),31.0)</f>
        <v>31</v>
      </c>
      <c r="R21" s="172">
        <f>IFERROR(__xludf.DUMMYFUNCTION("""COMPUTED_VALUE"""),708.0)</f>
        <v>708</v>
      </c>
      <c r="S21" s="172">
        <f>IFERROR(__xludf.DUMMYFUNCTION("""COMPUTED_VALUE"""),5.0)</f>
        <v>5</v>
      </c>
      <c r="T21" s="172">
        <f>IFERROR(__xludf.DUMMYFUNCTION("""COMPUTED_VALUE"""),140.0)</f>
        <v>140</v>
      </c>
      <c r="U21" s="172">
        <f>IFERROR(__xludf.DUMMYFUNCTION("""COMPUTED_VALUE"""),344.0)</f>
        <v>344</v>
      </c>
      <c r="V21" s="172">
        <f>IFERROR(__xludf.DUMMYFUNCTION("""COMPUTED_VALUE"""),349.0)</f>
        <v>349</v>
      </c>
      <c r="W21" s="172">
        <f>IFERROR(__xludf.DUMMYFUNCTION("""COMPUTED_VALUE"""),88.0)</f>
        <v>88</v>
      </c>
      <c r="X21" s="172">
        <f>IFERROR(__xludf.DUMMYFUNCTION("""COMPUTED_VALUE"""),57.0)</f>
        <v>57</v>
      </c>
      <c r="Y21" s="172">
        <f>IFERROR(__xludf.DUMMYFUNCTION("""COMPUTED_VALUE"""),18.0)</f>
        <v>18</v>
      </c>
      <c r="Z21" s="172">
        <f>IFERROR(__xludf.DUMMYFUNCTION("""COMPUTED_VALUE"""),441.0)</f>
        <v>441</v>
      </c>
    </row>
    <row r="22">
      <c r="A22" s="234">
        <f>IFERROR(__xludf.DUMMYFUNCTION("""COMPUTED_VALUE"""),43956.0)</f>
        <v>43956</v>
      </c>
      <c r="B22" s="172">
        <f>IFERROR(__xludf.DUMMYFUNCTION("""COMPUTED_VALUE"""),433.0)</f>
        <v>433</v>
      </c>
      <c r="C22" s="172">
        <f>IFERROR(__xludf.DUMMYFUNCTION("""COMPUTED_VALUE"""),368.0)</f>
        <v>368</v>
      </c>
      <c r="D22" s="172">
        <f>IFERROR(__xludf.DUMMYFUNCTION("""COMPUTED_VALUE"""),11790.0)</f>
        <v>11790</v>
      </c>
      <c r="E22" s="172">
        <f>IFERROR(__xludf.DUMMYFUNCTION("""COMPUTED_VALUE"""),2873.0)</f>
        <v>2873</v>
      </c>
      <c r="F22" s="172">
        <f>IFERROR(__xludf.DUMMYFUNCTION("""COMPUTED_VALUE"""),71714.0)</f>
        <v>71714</v>
      </c>
      <c r="G22" s="172">
        <f>IFERROR(__xludf.DUMMYFUNCTION("""COMPUTED_VALUE"""),3306.0)</f>
        <v>3306</v>
      </c>
      <c r="H22" s="172">
        <f>IFERROR(__xludf.DUMMYFUNCTION("""COMPUTED_VALUE"""),83504.0)</f>
        <v>83504</v>
      </c>
      <c r="I22" s="172">
        <f>IFERROR(__xludf.DUMMYFUNCTION("""COMPUTED_VALUE"""),301.0)</f>
        <v>301</v>
      </c>
      <c r="J22" s="172">
        <f>IFERROR(__xludf.DUMMYFUNCTION("""COMPUTED_VALUE"""),258.0)</f>
        <v>258</v>
      </c>
      <c r="K22" s="172">
        <f>IFERROR(__xludf.DUMMYFUNCTION("""COMPUTED_VALUE"""),10263.0)</f>
        <v>10263</v>
      </c>
      <c r="L22" s="172">
        <f>IFERROR(__xludf.DUMMYFUNCTION("""COMPUTED_VALUE"""),1942.0)</f>
        <v>1942</v>
      </c>
      <c r="M22" s="172">
        <f>IFERROR(__xludf.DUMMYFUNCTION("""COMPUTED_VALUE"""),57441.0)</f>
        <v>57441</v>
      </c>
      <c r="N22" s="172">
        <f>IFERROR(__xludf.DUMMYFUNCTION("""COMPUTED_VALUE"""),67704.0)</f>
        <v>67704</v>
      </c>
      <c r="O22" s="172">
        <f>IFERROR(__xludf.DUMMYFUNCTION("""COMPUTED_VALUE"""),29.0)</f>
        <v>29</v>
      </c>
      <c r="P22" s="172">
        <f>IFERROR(__xludf.DUMMYFUNCTION("""COMPUTED_VALUE"""),1221.0)</f>
        <v>1221</v>
      </c>
      <c r="Q22" s="172">
        <f>IFERROR(__xludf.DUMMYFUNCTION("""COMPUTED_VALUE"""),32.0)</f>
        <v>32</v>
      </c>
      <c r="R22" s="172">
        <f>IFERROR(__xludf.DUMMYFUNCTION("""COMPUTED_VALUE"""),740.0)</f>
        <v>740</v>
      </c>
      <c r="S22" s="172">
        <f>IFERROR(__xludf.DUMMYFUNCTION("""COMPUTED_VALUE"""),6.0)</f>
        <v>6</v>
      </c>
      <c r="T22" s="172">
        <f>IFERROR(__xludf.DUMMYFUNCTION("""COMPUTED_VALUE"""),146.0)</f>
        <v>146</v>
      </c>
      <c r="U22" s="172">
        <f>IFERROR(__xludf.DUMMYFUNCTION("""COMPUTED_VALUE"""),335.0)</f>
        <v>335</v>
      </c>
      <c r="V22" s="172">
        <f>IFERROR(__xludf.DUMMYFUNCTION("""COMPUTED_VALUE"""),343.0)</f>
        <v>343</v>
      </c>
      <c r="W22" s="172">
        <f>IFERROR(__xludf.DUMMYFUNCTION("""COMPUTED_VALUE"""),82.0)</f>
        <v>82</v>
      </c>
      <c r="X22" s="172">
        <f>IFERROR(__xludf.DUMMYFUNCTION("""COMPUTED_VALUE"""),54.0)</f>
        <v>54</v>
      </c>
      <c r="Y22" s="172">
        <f>IFERROR(__xludf.DUMMYFUNCTION("""COMPUTED_VALUE"""),16.0)</f>
        <v>16</v>
      </c>
      <c r="Z22" s="172">
        <f>IFERROR(__xludf.DUMMYFUNCTION("""COMPUTED_VALUE"""),457.0)</f>
        <v>457</v>
      </c>
    </row>
    <row r="23">
      <c r="A23" s="234">
        <f>IFERROR(__xludf.DUMMYFUNCTION("""COMPUTED_VALUE"""),43957.0)</f>
        <v>43957</v>
      </c>
      <c r="B23" s="172">
        <f>IFERROR(__xludf.DUMMYFUNCTION("""COMPUTED_VALUE"""),488.0)</f>
        <v>488</v>
      </c>
      <c r="C23" s="172">
        <f>IFERROR(__xludf.DUMMYFUNCTION("""COMPUTED_VALUE"""),436.0)</f>
        <v>436</v>
      </c>
      <c r="D23" s="172">
        <f>IFERROR(__xludf.DUMMYFUNCTION("""COMPUTED_VALUE"""),12278.0)</f>
        <v>12278</v>
      </c>
      <c r="E23" s="172">
        <f>IFERROR(__xludf.DUMMYFUNCTION("""COMPUTED_VALUE"""),2830.0)</f>
        <v>2830</v>
      </c>
      <c r="F23" s="172">
        <f>IFERROR(__xludf.DUMMYFUNCTION("""COMPUTED_VALUE"""),74544.0)</f>
        <v>74544</v>
      </c>
      <c r="G23" s="172">
        <f>IFERROR(__xludf.DUMMYFUNCTION("""COMPUTED_VALUE"""),3318.0)</f>
        <v>3318</v>
      </c>
      <c r="H23" s="172">
        <f>IFERROR(__xludf.DUMMYFUNCTION("""COMPUTED_VALUE"""),86822.0)</f>
        <v>86822</v>
      </c>
      <c r="I23" s="172">
        <f>IFERROR(__xludf.DUMMYFUNCTION("""COMPUTED_VALUE"""),340.0)</f>
        <v>340</v>
      </c>
      <c r="J23" s="172">
        <f>IFERROR(__xludf.DUMMYFUNCTION("""COMPUTED_VALUE"""),310.0)</f>
        <v>310</v>
      </c>
      <c r="K23" s="172">
        <f>IFERROR(__xludf.DUMMYFUNCTION("""COMPUTED_VALUE"""),10603.0)</f>
        <v>10603</v>
      </c>
      <c r="L23" s="172">
        <f>IFERROR(__xludf.DUMMYFUNCTION("""COMPUTED_VALUE"""),1902.0)</f>
        <v>1902</v>
      </c>
      <c r="M23" s="172">
        <f>IFERROR(__xludf.DUMMYFUNCTION("""COMPUTED_VALUE"""),59343.0)</f>
        <v>59343</v>
      </c>
      <c r="N23" s="172">
        <f>IFERROR(__xludf.DUMMYFUNCTION("""COMPUTED_VALUE"""),69946.0)</f>
        <v>69946</v>
      </c>
      <c r="O23" s="172">
        <f>IFERROR(__xludf.DUMMYFUNCTION("""COMPUTED_VALUE"""),28.0)</f>
        <v>28</v>
      </c>
      <c r="P23" s="172">
        <f>IFERROR(__xludf.DUMMYFUNCTION("""COMPUTED_VALUE"""),1249.0)</f>
        <v>1249</v>
      </c>
      <c r="Q23" s="172">
        <f>IFERROR(__xludf.DUMMYFUNCTION("""COMPUTED_VALUE"""),44.0)</f>
        <v>44</v>
      </c>
      <c r="R23" s="172">
        <f>IFERROR(__xludf.DUMMYFUNCTION("""COMPUTED_VALUE"""),784.0)</f>
        <v>784</v>
      </c>
      <c r="S23" s="172">
        <f>IFERROR(__xludf.DUMMYFUNCTION("""COMPUTED_VALUE"""),9.0)</f>
        <v>9</v>
      </c>
      <c r="T23" s="172">
        <f>IFERROR(__xludf.DUMMYFUNCTION("""COMPUTED_VALUE"""),155.0)</f>
        <v>155</v>
      </c>
      <c r="U23" s="172">
        <f>IFERROR(__xludf.DUMMYFUNCTION("""COMPUTED_VALUE"""),310.0)</f>
        <v>310</v>
      </c>
      <c r="V23" s="172">
        <f>IFERROR(__xludf.DUMMYFUNCTION("""COMPUTED_VALUE"""),330.0)</f>
        <v>330</v>
      </c>
      <c r="W23" s="172">
        <f>IFERROR(__xludf.DUMMYFUNCTION("""COMPUTED_VALUE"""),79.0)</f>
        <v>79</v>
      </c>
      <c r="X23" s="172">
        <f>IFERROR(__xludf.DUMMYFUNCTION("""COMPUTED_VALUE"""),54.0)</f>
        <v>54</v>
      </c>
      <c r="Y23" s="172">
        <f>IFERROR(__xludf.DUMMYFUNCTION("""COMPUTED_VALUE"""),21.0)</f>
        <v>21</v>
      </c>
      <c r="Z23" s="172">
        <f>IFERROR(__xludf.DUMMYFUNCTION("""COMPUTED_VALUE"""),478.0)</f>
        <v>478</v>
      </c>
    </row>
    <row r="24">
      <c r="A24" s="234">
        <f>IFERROR(__xludf.DUMMYFUNCTION("""COMPUTED_VALUE"""),43958.0)</f>
        <v>43958</v>
      </c>
      <c r="B24" s="172">
        <f>IFERROR(__xludf.DUMMYFUNCTION("""COMPUTED_VALUE"""),425.0)</f>
        <v>425</v>
      </c>
      <c r="C24" s="172">
        <f>IFERROR(__xludf.DUMMYFUNCTION("""COMPUTED_VALUE"""),449.0)</f>
        <v>449</v>
      </c>
      <c r="D24" s="172">
        <f>IFERROR(__xludf.DUMMYFUNCTION("""COMPUTED_VALUE"""),12703.0)</f>
        <v>12703</v>
      </c>
      <c r="E24" s="172">
        <f>IFERROR(__xludf.DUMMYFUNCTION("""COMPUTED_VALUE"""),2969.0)</f>
        <v>2969</v>
      </c>
      <c r="F24" s="172">
        <f>IFERROR(__xludf.DUMMYFUNCTION("""COMPUTED_VALUE"""),77513.0)</f>
        <v>77513</v>
      </c>
      <c r="G24" s="172">
        <f>IFERROR(__xludf.DUMMYFUNCTION("""COMPUTED_VALUE"""),3394.0)</f>
        <v>3394</v>
      </c>
      <c r="H24" s="172">
        <f>IFERROR(__xludf.DUMMYFUNCTION("""COMPUTED_VALUE"""),90216.0)</f>
        <v>90216</v>
      </c>
      <c r="I24" s="172">
        <f>IFERROR(__xludf.DUMMYFUNCTION("""COMPUTED_VALUE"""),270.0)</f>
        <v>270</v>
      </c>
      <c r="J24" s="172">
        <f>IFERROR(__xludf.DUMMYFUNCTION("""COMPUTED_VALUE"""),304.0)</f>
        <v>304</v>
      </c>
      <c r="K24" s="172">
        <f>IFERROR(__xludf.DUMMYFUNCTION("""COMPUTED_VALUE"""),10873.0)</f>
        <v>10873</v>
      </c>
      <c r="L24" s="172">
        <f>IFERROR(__xludf.DUMMYFUNCTION("""COMPUTED_VALUE"""),1946.0)</f>
        <v>1946</v>
      </c>
      <c r="M24" s="172">
        <f>IFERROR(__xludf.DUMMYFUNCTION("""COMPUTED_VALUE"""),61289.0)</f>
        <v>61289</v>
      </c>
      <c r="N24" s="172">
        <f>IFERROR(__xludf.DUMMYFUNCTION("""COMPUTED_VALUE"""),72162.0)</f>
        <v>72162</v>
      </c>
      <c r="O24" s="172">
        <f>IFERROR(__xludf.DUMMYFUNCTION("""COMPUTED_VALUE"""),36.0)</f>
        <v>36</v>
      </c>
      <c r="P24" s="172">
        <f>IFERROR(__xludf.DUMMYFUNCTION("""COMPUTED_VALUE"""),1285.0)</f>
        <v>1285</v>
      </c>
      <c r="Q24" s="172">
        <f>IFERROR(__xludf.DUMMYFUNCTION("""COMPUTED_VALUE"""),43.0)</f>
        <v>43</v>
      </c>
      <c r="R24" s="172">
        <f>IFERROR(__xludf.DUMMYFUNCTION("""COMPUTED_VALUE"""),827.0)</f>
        <v>827</v>
      </c>
      <c r="S24" s="172">
        <f>IFERROR(__xludf.DUMMYFUNCTION("""COMPUTED_VALUE"""),5.0)</f>
        <v>5</v>
      </c>
      <c r="T24" s="172">
        <f>IFERROR(__xludf.DUMMYFUNCTION("""COMPUTED_VALUE"""),160.0)</f>
        <v>160</v>
      </c>
      <c r="U24" s="172">
        <f>IFERROR(__xludf.DUMMYFUNCTION("""COMPUTED_VALUE"""),298.0)</f>
        <v>298</v>
      </c>
      <c r="V24" s="172">
        <f>IFERROR(__xludf.DUMMYFUNCTION("""COMPUTED_VALUE"""),314.0)</f>
        <v>314</v>
      </c>
      <c r="W24" s="172">
        <f>IFERROR(__xludf.DUMMYFUNCTION("""COMPUTED_VALUE"""),71.0)</f>
        <v>71</v>
      </c>
      <c r="X24" s="172">
        <f>IFERROR(__xludf.DUMMYFUNCTION("""COMPUTED_VALUE"""),52.0)</f>
        <v>52</v>
      </c>
      <c r="Y24" s="172">
        <f>IFERROR(__xludf.DUMMYFUNCTION("""COMPUTED_VALUE"""),21.0)</f>
        <v>21</v>
      </c>
      <c r="Z24" s="172">
        <f>IFERROR(__xludf.DUMMYFUNCTION("""COMPUTED_VALUE"""),499.0)</f>
        <v>499</v>
      </c>
    </row>
    <row r="25">
      <c r="A25" s="234">
        <f>IFERROR(__xludf.DUMMYFUNCTION("""COMPUTED_VALUE"""),43959.0)</f>
        <v>43959</v>
      </c>
      <c r="B25" s="172">
        <f>IFERROR(__xludf.DUMMYFUNCTION("""COMPUTED_VALUE"""),359.0)</f>
        <v>359</v>
      </c>
      <c r="C25" s="172">
        <f>IFERROR(__xludf.DUMMYFUNCTION("""COMPUTED_VALUE"""),424.0)</f>
        <v>424</v>
      </c>
      <c r="D25" s="172">
        <f>IFERROR(__xludf.DUMMYFUNCTION("""COMPUTED_VALUE"""),13062.0)</f>
        <v>13062</v>
      </c>
      <c r="E25" s="172">
        <f>IFERROR(__xludf.DUMMYFUNCTION("""COMPUTED_VALUE"""),2598.0)</f>
        <v>2598</v>
      </c>
      <c r="F25" s="172">
        <f>IFERROR(__xludf.DUMMYFUNCTION("""COMPUTED_VALUE"""),80111.0)</f>
        <v>80111</v>
      </c>
      <c r="G25" s="172">
        <f>IFERROR(__xludf.DUMMYFUNCTION("""COMPUTED_VALUE"""),2957.0)</f>
        <v>2957</v>
      </c>
      <c r="H25" s="172">
        <f>IFERROR(__xludf.DUMMYFUNCTION("""COMPUTED_VALUE"""),93173.0)</f>
        <v>93173</v>
      </c>
      <c r="I25" s="172">
        <f>IFERROR(__xludf.DUMMYFUNCTION("""COMPUTED_VALUE"""),229.0)</f>
        <v>229</v>
      </c>
      <c r="J25" s="172">
        <f>IFERROR(__xludf.DUMMYFUNCTION("""COMPUTED_VALUE"""),280.0)</f>
        <v>280</v>
      </c>
      <c r="K25" s="172">
        <f>IFERROR(__xludf.DUMMYFUNCTION("""COMPUTED_VALUE"""),11102.0)</f>
        <v>11102</v>
      </c>
      <c r="L25" s="172">
        <f>IFERROR(__xludf.DUMMYFUNCTION("""COMPUTED_VALUE"""),1725.0)</f>
        <v>1725</v>
      </c>
      <c r="M25" s="172">
        <f>IFERROR(__xludf.DUMMYFUNCTION("""COMPUTED_VALUE"""),63014.0)</f>
        <v>63014</v>
      </c>
      <c r="N25" s="172">
        <f>IFERROR(__xludf.DUMMYFUNCTION("""COMPUTED_VALUE"""),74116.0)</f>
        <v>74116</v>
      </c>
      <c r="O25" s="172">
        <f>IFERROR(__xludf.DUMMYFUNCTION("""COMPUTED_VALUE"""),30.0)</f>
        <v>30</v>
      </c>
      <c r="P25" s="172">
        <f>IFERROR(__xludf.DUMMYFUNCTION("""COMPUTED_VALUE"""),1315.0)</f>
        <v>1315</v>
      </c>
      <c r="Q25" s="172">
        <f>IFERROR(__xludf.DUMMYFUNCTION("""COMPUTED_VALUE"""),29.0)</f>
        <v>29</v>
      </c>
      <c r="R25" s="172">
        <f>IFERROR(__xludf.DUMMYFUNCTION("""COMPUTED_VALUE"""),856.0)</f>
        <v>856</v>
      </c>
      <c r="S25" s="172">
        <f>IFERROR(__xludf.DUMMYFUNCTION("""COMPUTED_VALUE"""),5.0)</f>
        <v>5</v>
      </c>
      <c r="T25" s="172">
        <f>IFERROR(__xludf.DUMMYFUNCTION("""COMPUTED_VALUE"""),165.0)</f>
        <v>165</v>
      </c>
      <c r="U25" s="172">
        <f>IFERROR(__xludf.DUMMYFUNCTION("""COMPUTED_VALUE"""),294.0)</f>
        <v>294</v>
      </c>
      <c r="V25" s="172">
        <f>IFERROR(__xludf.DUMMYFUNCTION("""COMPUTED_VALUE"""),301.0)</f>
        <v>301</v>
      </c>
      <c r="W25" s="172">
        <f>IFERROR(__xludf.DUMMYFUNCTION("""COMPUTED_VALUE"""),71.0)</f>
        <v>71</v>
      </c>
      <c r="X25" s="172">
        <f>IFERROR(__xludf.DUMMYFUNCTION("""COMPUTED_VALUE"""),53.0)</f>
        <v>53</v>
      </c>
      <c r="Y25" s="172">
        <f>IFERROR(__xludf.DUMMYFUNCTION("""COMPUTED_VALUE"""),22.0)</f>
        <v>22</v>
      </c>
      <c r="Z25" s="172">
        <f>IFERROR(__xludf.DUMMYFUNCTION("""COMPUTED_VALUE"""),521.0)</f>
        <v>521</v>
      </c>
    </row>
    <row r="26">
      <c r="A26" s="234">
        <f>IFERROR(__xludf.DUMMYFUNCTION("""COMPUTED_VALUE"""),43960.0)</f>
        <v>43960</v>
      </c>
      <c r="B26" s="172">
        <f>IFERROR(__xludf.DUMMYFUNCTION("""COMPUTED_VALUE"""),467.0)</f>
        <v>467</v>
      </c>
      <c r="C26" s="172">
        <f>IFERROR(__xludf.DUMMYFUNCTION("""COMPUTED_VALUE"""),417.0)</f>
        <v>417</v>
      </c>
      <c r="D26" s="172">
        <f>IFERROR(__xludf.DUMMYFUNCTION("""COMPUTED_VALUE"""),13529.0)</f>
        <v>13529</v>
      </c>
      <c r="E26" s="172">
        <f>IFERROR(__xludf.DUMMYFUNCTION("""COMPUTED_VALUE"""),3346.0)</f>
        <v>3346</v>
      </c>
      <c r="F26" s="172">
        <f>IFERROR(__xludf.DUMMYFUNCTION("""COMPUTED_VALUE"""),83457.0)</f>
        <v>83457</v>
      </c>
      <c r="G26" s="172">
        <f>IFERROR(__xludf.DUMMYFUNCTION("""COMPUTED_VALUE"""),3813.0)</f>
        <v>3813</v>
      </c>
      <c r="H26" s="172">
        <f>IFERROR(__xludf.DUMMYFUNCTION("""COMPUTED_VALUE"""),96986.0)</f>
        <v>96986</v>
      </c>
      <c r="I26" s="172">
        <f>IFERROR(__xludf.DUMMYFUNCTION("""COMPUTED_VALUE"""),290.0)</f>
        <v>290</v>
      </c>
      <c r="J26" s="172">
        <f>IFERROR(__xludf.DUMMYFUNCTION("""COMPUTED_VALUE"""),263.0)</f>
        <v>263</v>
      </c>
      <c r="K26" s="172">
        <f>IFERROR(__xludf.DUMMYFUNCTION("""COMPUTED_VALUE"""),11392.0)</f>
        <v>11392</v>
      </c>
      <c r="L26" s="172">
        <f>IFERROR(__xludf.DUMMYFUNCTION("""COMPUTED_VALUE"""),2229.0)</f>
        <v>2229</v>
      </c>
      <c r="M26" s="172">
        <f>IFERROR(__xludf.DUMMYFUNCTION("""COMPUTED_VALUE"""),65243.0)</f>
        <v>65243</v>
      </c>
      <c r="N26" s="172">
        <f>IFERROR(__xludf.DUMMYFUNCTION("""COMPUTED_VALUE"""),76635.0)</f>
        <v>76635</v>
      </c>
      <c r="O26" s="172">
        <f>IFERROR(__xludf.DUMMYFUNCTION("""COMPUTED_VALUE"""),22.0)</f>
        <v>22</v>
      </c>
      <c r="P26" s="172">
        <f>IFERROR(__xludf.DUMMYFUNCTION("""COMPUTED_VALUE"""),1337.0)</f>
        <v>1337</v>
      </c>
      <c r="Q26" s="172">
        <f>IFERROR(__xludf.DUMMYFUNCTION("""COMPUTED_VALUE"""),21.0)</f>
        <v>21</v>
      </c>
      <c r="R26" s="172">
        <f>IFERROR(__xludf.DUMMYFUNCTION("""COMPUTED_VALUE"""),877.0)</f>
        <v>877</v>
      </c>
      <c r="S26" s="172">
        <f>IFERROR(__xludf.DUMMYFUNCTION("""COMPUTED_VALUE"""),4.0)</f>
        <v>4</v>
      </c>
      <c r="T26" s="172">
        <f>IFERROR(__xludf.DUMMYFUNCTION("""COMPUTED_VALUE"""),169.0)</f>
        <v>169</v>
      </c>
      <c r="U26" s="172">
        <f>IFERROR(__xludf.DUMMYFUNCTION("""COMPUTED_VALUE"""),291.0)</f>
        <v>291</v>
      </c>
      <c r="V26" s="172">
        <f>IFERROR(__xludf.DUMMYFUNCTION("""COMPUTED_VALUE"""),294.0)</f>
        <v>294</v>
      </c>
      <c r="W26" s="172">
        <f>IFERROR(__xludf.DUMMYFUNCTION("""COMPUTED_VALUE"""),69.0)</f>
        <v>69</v>
      </c>
      <c r="X26" s="172">
        <f>IFERROR(__xludf.DUMMYFUNCTION("""COMPUTED_VALUE"""),51.0)</f>
        <v>51</v>
      </c>
      <c r="Y26" s="172">
        <f>IFERROR(__xludf.DUMMYFUNCTION("""COMPUTED_VALUE"""),15.0)</f>
        <v>15</v>
      </c>
      <c r="Z26" s="172">
        <f>IFERROR(__xludf.DUMMYFUNCTION("""COMPUTED_VALUE"""),536.0)</f>
        <v>536</v>
      </c>
    </row>
    <row r="27">
      <c r="A27" s="234">
        <f>IFERROR(__xludf.DUMMYFUNCTION("""COMPUTED_VALUE"""),43961.0)</f>
        <v>43961</v>
      </c>
      <c r="B27" s="172">
        <f>IFERROR(__xludf.DUMMYFUNCTION("""COMPUTED_VALUE"""),285.0)</f>
        <v>285</v>
      </c>
      <c r="C27" s="172">
        <f>IFERROR(__xludf.DUMMYFUNCTION("""COMPUTED_VALUE"""),370.0)</f>
        <v>370</v>
      </c>
      <c r="D27" s="172">
        <f>IFERROR(__xludf.DUMMYFUNCTION("""COMPUTED_VALUE"""),13814.0)</f>
        <v>13814</v>
      </c>
      <c r="E27" s="172">
        <f>IFERROR(__xludf.DUMMYFUNCTION("""COMPUTED_VALUE"""),2117.0)</f>
        <v>2117</v>
      </c>
      <c r="F27" s="172">
        <f>IFERROR(__xludf.DUMMYFUNCTION("""COMPUTED_VALUE"""),85574.0)</f>
        <v>85574</v>
      </c>
      <c r="G27" s="172">
        <f>IFERROR(__xludf.DUMMYFUNCTION("""COMPUTED_VALUE"""),2402.0)</f>
        <v>2402</v>
      </c>
      <c r="H27" s="172">
        <f>IFERROR(__xludf.DUMMYFUNCTION("""COMPUTED_VALUE"""),99388.0)</f>
        <v>99388</v>
      </c>
      <c r="I27" s="172">
        <f>IFERROR(__xludf.DUMMYFUNCTION("""COMPUTED_VALUE"""),189.0)</f>
        <v>189</v>
      </c>
      <c r="J27" s="172">
        <f>IFERROR(__xludf.DUMMYFUNCTION("""COMPUTED_VALUE"""),236.0)</f>
        <v>236</v>
      </c>
      <c r="K27" s="172">
        <f>IFERROR(__xludf.DUMMYFUNCTION("""COMPUTED_VALUE"""),11581.0)</f>
        <v>11581</v>
      </c>
      <c r="L27" s="172">
        <f>IFERROR(__xludf.DUMMYFUNCTION("""COMPUTED_VALUE"""),1507.0)</f>
        <v>1507</v>
      </c>
      <c r="M27" s="172">
        <f>IFERROR(__xludf.DUMMYFUNCTION("""COMPUTED_VALUE"""),66750.0)</f>
        <v>66750</v>
      </c>
      <c r="N27" s="172">
        <f>IFERROR(__xludf.DUMMYFUNCTION("""COMPUTED_VALUE"""),78331.0)</f>
        <v>78331</v>
      </c>
      <c r="O27" s="172">
        <f>IFERROR(__xludf.DUMMYFUNCTION("""COMPUTED_VALUE"""),20.0)</f>
        <v>20</v>
      </c>
      <c r="P27" s="172">
        <f>IFERROR(__xludf.DUMMYFUNCTION("""COMPUTED_VALUE"""),1357.0)</f>
        <v>1357</v>
      </c>
      <c r="Q27" s="172">
        <f>IFERROR(__xludf.DUMMYFUNCTION("""COMPUTED_VALUE"""),23.0)</f>
        <v>23</v>
      </c>
      <c r="R27" s="172">
        <f>IFERROR(__xludf.DUMMYFUNCTION("""COMPUTED_VALUE"""),900.0)</f>
        <v>900</v>
      </c>
      <c r="S27" s="172">
        <f>IFERROR(__xludf.DUMMYFUNCTION("""COMPUTED_VALUE"""),6.0)</f>
        <v>6</v>
      </c>
      <c r="T27" s="172">
        <f>IFERROR(__xludf.DUMMYFUNCTION("""COMPUTED_VALUE"""),175.0)</f>
        <v>175</v>
      </c>
      <c r="U27" s="172">
        <f>IFERROR(__xludf.DUMMYFUNCTION("""COMPUTED_VALUE"""),282.0)</f>
        <v>282</v>
      </c>
      <c r="V27" s="172">
        <f>IFERROR(__xludf.DUMMYFUNCTION("""COMPUTED_VALUE"""),289.0)</f>
        <v>289</v>
      </c>
      <c r="W27" s="172">
        <f>IFERROR(__xludf.DUMMYFUNCTION("""COMPUTED_VALUE"""),70.0)</f>
        <v>70</v>
      </c>
      <c r="X27" s="172">
        <f>IFERROR(__xludf.DUMMYFUNCTION("""COMPUTED_VALUE"""),49.0)</f>
        <v>49</v>
      </c>
      <c r="Y27" s="172">
        <f>IFERROR(__xludf.DUMMYFUNCTION("""COMPUTED_VALUE"""),14.0)</f>
        <v>14</v>
      </c>
      <c r="Z27" s="172">
        <f>IFERROR(__xludf.DUMMYFUNCTION("""COMPUTED_VALUE"""),550.0)</f>
        <v>550</v>
      </c>
    </row>
    <row r="28">
      <c r="A28" s="234">
        <f>IFERROR(__xludf.DUMMYFUNCTION("""COMPUTED_VALUE"""),43962.0)</f>
        <v>43962</v>
      </c>
      <c r="B28" s="172">
        <f>IFERROR(__xludf.DUMMYFUNCTION("""COMPUTED_VALUE"""),257.0)</f>
        <v>257</v>
      </c>
      <c r="C28" s="172">
        <f>IFERROR(__xludf.DUMMYFUNCTION("""COMPUTED_VALUE"""),336.0)</f>
        <v>336</v>
      </c>
      <c r="D28" s="172">
        <f>IFERROR(__xludf.DUMMYFUNCTION("""COMPUTED_VALUE"""),14071.0)</f>
        <v>14071</v>
      </c>
      <c r="E28" s="172">
        <f>IFERROR(__xludf.DUMMYFUNCTION("""COMPUTED_VALUE"""),1857.0)</f>
        <v>1857</v>
      </c>
      <c r="F28" s="172">
        <f>IFERROR(__xludf.DUMMYFUNCTION("""COMPUTED_VALUE"""),87431.0)</f>
        <v>87431</v>
      </c>
      <c r="G28" s="172">
        <f>IFERROR(__xludf.DUMMYFUNCTION("""COMPUTED_VALUE"""),2114.0)</f>
        <v>2114</v>
      </c>
      <c r="H28" s="172">
        <f>IFERROR(__xludf.DUMMYFUNCTION("""COMPUTED_VALUE"""),101502.0)</f>
        <v>101502</v>
      </c>
      <c r="I28" s="172">
        <f>IFERROR(__xludf.DUMMYFUNCTION("""COMPUTED_VALUE"""),174.0)</f>
        <v>174</v>
      </c>
      <c r="J28" s="172">
        <f>IFERROR(__xludf.DUMMYFUNCTION("""COMPUTED_VALUE"""),218.0)</f>
        <v>218</v>
      </c>
      <c r="K28" s="172">
        <f>IFERROR(__xludf.DUMMYFUNCTION("""COMPUTED_VALUE"""),11755.0)</f>
        <v>11755</v>
      </c>
      <c r="L28" s="172">
        <f>IFERROR(__xludf.DUMMYFUNCTION("""COMPUTED_VALUE"""),1285.0)</f>
        <v>1285</v>
      </c>
      <c r="M28" s="172">
        <f>IFERROR(__xludf.DUMMYFUNCTION("""COMPUTED_VALUE"""),68035.0)</f>
        <v>68035</v>
      </c>
      <c r="N28" s="172">
        <f>IFERROR(__xludf.DUMMYFUNCTION("""COMPUTED_VALUE"""),79790.0)</f>
        <v>79790</v>
      </c>
      <c r="O28" s="172">
        <f>IFERROR(__xludf.DUMMYFUNCTION("""COMPUTED_VALUE"""),31.0)</f>
        <v>31</v>
      </c>
      <c r="P28" s="172">
        <f>IFERROR(__xludf.DUMMYFUNCTION("""COMPUTED_VALUE"""),1388.0)</f>
        <v>1388</v>
      </c>
      <c r="Q28" s="172">
        <f>IFERROR(__xludf.DUMMYFUNCTION("""COMPUTED_VALUE"""),16.0)</f>
        <v>16</v>
      </c>
      <c r="R28" s="172">
        <f>IFERROR(__xludf.DUMMYFUNCTION("""COMPUTED_VALUE"""),916.0)</f>
        <v>916</v>
      </c>
      <c r="S28" s="172">
        <f>IFERROR(__xludf.DUMMYFUNCTION("""COMPUTED_VALUE"""),6.0)</f>
        <v>6</v>
      </c>
      <c r="T28" s="172">
        <f>IFERROR(__xludf.DUMMYFUNCTION("""COMPUTED_VALUE"""),181.0)</f>
        <v>181</v>
      </c>
      <c r="U28" s="172">
        <f>IFERROR(__xludf.DUMMYFUNCTION("""COMPUTED_VALUE"""),291.0)</f>
        <v>291</v>
      </c>
      <c r="V28" s="172">
        <f>IFERROR(__xludf.DUMMYFUNCTION("""COMPUTED_VALUE"""),288.0)</f>
        <v>288</v>
      </c>
      <c r="W28" s="172">
        <f>IFERROR(__xludf.DUMMYFUNCTION("""COMPUTED_VALUE"""),71.0)</f>
        <v>71</v>
      </c>
      <c r="X28" s="172">
        <f>IFERROR(__xludf.DUMMYFUNCTION("""COMPUTED_VALUE"""),49.0)</f>
        <v>49</v>
      </c>
      <c r="Y28" s="172">
        <f>IFERROR(__xludf.DUMMYFUNCTION("""COMPUTED_VALUE"""),15.0)</f>
        <v>15</v>
      </c>
      <c r="Z28" s="172">
        <f>IFERROR(__xludf.DUMMYFUNCTION("""COMPUTED_VALUE"""),565.0)</f>
        <v>565</v>
      </c>
    </row>
    <row r="29">
      <c r="A29" s="234">
        <f>IFERROR(__xludf.DUMMYFUNCTION("""COMPUTED_VALUE"""),43963.0)</f>
        <v>43963</v>
      </c>
      <c r="B29" s="172">
        <f>IFERROR(__xludf.DUMMYFUNCTION("""COMPUTED_VALUE"""),387.0)</f>
        <v>387</v>
      </c>
      <c r="C29" s="172">
        <f>IFERROR(__xludf.DUMMYFUNCTION("""COMPUTED_VALUE"""),310.0)</f>
        <v>310</v>
      </c>
      <c r="D29" s="172">
        <f>IFERROR(__xludf.DUMMYFUNCTION("""COMPUTED_VALUE"""),14458.0)</f>
        <v>14458</v>
      </c>
      <c r="E29" s="172">
        <f>IFERROR(__xludf.DUMMYFUNCTION("""COMPUTED_VALUE"""),2611.0)</f>
        <v>2611</v>
      </c>
      <c r="F29" s="172">
        <f>IFERROR(__xludf.DUMMYFUNCTION("""COMPUTED_VALUE"""),90042.0)</f>
        <v>90042</v>
      </c>
      <c r="G29" s="172">
        <f>IFERROR(__xludf.DUMMYFUNCTION("""COMPUTED_VALUE"""),2998.0)</f>
        <v>2998</v>
      </c>
      <c r="H29" s="172">
        <f>IFERROR(__xludf.DUMMYFUNCTION("""COMPUTED_VALUE"""),104500.0)</f>
        <v>104500</v>
      </c>
      <c r="I29" s="172">
        <f>IFERROR(__xludf.DUMMYFUNCTION("""COMPUTED_VALUE"""),224.0)</f>
        <v>224</v>
      </c>
      <c r="J29" s="172">
        <f>IFERROR(__xludf.DUMMYFUNCTION("""COMPUTED_VALUE"""),196.0)</f>
        <v>196</v>
      </c>
      <c r="K29" s="172">
        <f>IFERROR(__xludf.DUMMYFUNCTION("""COMPUTED_VALUE"""),11979.0)</f>
        <v>11979</v>
      </c>
      <c r="L29" s="172">
        <f>IFERROR(__xludf.DUMMYFUNCTION("""COMPUTED_VALUE"""),1691.0)</f>
        <v>1691</v>
      </c>
      <c r="M29" s="172">
        <f>IFERROR(__xludf.DUMMYFUNCTION("""COMPUTED_VALUE"""),69726.0)</f>
        <v>69726</v>
      </c>
      <c r="N29" s="172">
        <f>IFERROR(__xludf.DUMMYFUNCTION("""COMPUTED_VALUE"""),81705.0)</f>
        <v>81705</v>
      </c>
      <c r="O29" s="172">
        <f>IFERROR(__xludf.DUMMYFUNCTION("""COMPUTED_VALUE"""),23.0)</f>
        <v>23</v>
      </c>
      <c r="P29" s="172">
        <f>IFERROR(__xludf.DUMMYFUNCTION("""COMPUTED_VALUE"""),1411.0)</f>
        <v>1411</v>
      </c>
      <c r="Q29" s="172">
        <f>IFERROR(__xludf.DUMMYFUNCTION("""COMPUTED_VALUE"""),18.0)</f>
        <v>18</v>
      </c>
      <c r="R29" s="172">
        <f>IFERROR(__xludf.DUMMYFUNCTION("""COMPUTED_VALUE"""),934.0)</f>
        <v>934</v>
      </c>
      <c r="S29" s="172">
        <f>IFERROR(__xludf.DUMMYFUNCTION("""COMPUTED_VALUE"""),4.0)</f>
        <v>4</v>
      </c>
      <c r="T29" s="172">
        <f>IFERROR(__xludf.DUMMYFUNCTION("""COMPUTED_VALUE"""),185.0)</f>
        <v>185</v>
      </c>
      <c r="U29" s="172">
        <f>IFERROR(__xludf.DUMMYFUNCTION("""COMPUTED_VALUE"""),292.0)</f>
        <v>292</v>
      </c>
      <c r="V29" s="172">
        <f>IFERROR(__xludf.DUMMYFUNCTION("""COMPUTED_VALUE"""),288.0)</f>
        <v>288</v>
      </c>
      <c r="W29" s="172">
        <f>IFERROR(__xludf.DUMMYFUNCTION("""COMPUTED_VALUE"""),69.0)</f>
        <v>69</v>
      </c>
      <c r="X29" s="172">
        <f>IFERROR(__xludf.DUMMYFUNCTION("""COMPUTED_VALUE"""),48.0)</f>
        <v>48</v>
      </c>
      <c r="Y29" s="172">
        <f>IFERROR(__xludf.DUMMYFUNCTION("""COMPUTED_VALUE"""),22.0)</f>
        <v>22</v>
      </c>
      <c r="Z29" s="172">
        <f>IFERROR(__xludf.DUMMYFUNCTION("""COMPUTED_VALUE"""),587.0)</f>
        <v>587</v>
      </c>
    </row>
    <row r="30">
      <c r="A30" s="234">
        <f>IFERROR(__xludf.DUMMYFUNCTION("""COMPUTED_VALUE"""),43964.0)</f>
        <v>43964</v>
      </c>
      <c r="B30" s="172">
        <f>IFERROR(__xludf.DUMMYFUNCTION("""COMPUTED_VALUE"""),351.0)</f>
        <v>351</v>
      </c>
      <c r="C30" s="172">
        <f>IFERROR(__xludf.DUMMYFUNCTION("""COMPUTED_VALUE"""),332.0)</f>
        <v>332</v>
      </c>
      <c r="D30" s="172">
        <f>IFERROR(__xludf.DUMMYFUNCTION("""COMPUTED_VALUE"""),14809.0)</f>
        <v>14809</v>
      </c>
      <c r="E30" s="172">
        <f>IFERROR(__xludf.DUMMYFUNCTION("""COMPUTED_VALUE"""),3630.0)</f>
        <v>3630</v>
      </c>
      <c r="F30" s="172">
        <f>IFERROR(__xludf.DUMMYFUNCTION("""COMPUTED_VALUE"""),93672.0)</f>
        <v>93672</v>
      </c>
      <c r="G30" s="172">
        <f>IFERROR(__xludf.DUMMYFUNCTION("""COMPUTED_VALUE"""),3981.0)</f>
        <v>3981</v>
      </c>
      <c r="H30" s="172">
        <f>IFERROR(__xludf.DUMMYFUNCTION("""COMPUTED_VALUE"""),108481.0)</f>
        <v>108481</v>
      </c>
      <c r="I30" s="172">
        <f>IFERROR(__xludf.DUMMYFUNCTION("""COMPUTED_VALUE"""),199.0)</f>
        <v>199</v>
      </c>
      <c r="J30" s="172">
        <f>IFERROR(__xludf.DUMMYFUNCTION("""COMPUTED_VALUE"""),199.0)</f>
        <v>199</v>
      </c>
      <c r="K30" s="172">
        <f>IFERROR(__xludf.DUMMYFUNCTION("""COMPUTED_VALUE"""),12178.0)</f>
        <v>12178</v>
      </c>
      <c r="L30" s="172">
        <f>IFERROR(__xludf.DUMMYFUNCTION("""COMPUTED_VALUE"""),1945.0)</f>
        <v>1945</v>
      </c>
      <c r="M30" s="172">
        <f>IFERROR(__xludf.DUMMYFUNCTION("""COMPUTED_VALUE"""),71671.0)</f>
        <v>71671</v>
      </c>
      <c r="N30" s="172">
        <f>IFERROR(__xludf.DUMMYFUNCTION("""COMPUTED_VALUE"""),83849.0)</f>
        <v>83849</v>
      </c>
      <c r="O30" s="172">
        <f>IFERROR(__xludf.DUMMYFUNCTION("""COMPUTED_VALUE"""),23.0)</f>
        <v>23</v>
      </c>
      <c r="P30" s="172">
        <f>IFERROR(__xludf.DUMMYFUNCTION("""COMPUTED_VALUE"""),1434.0)</f>
        <v>1434</v>
      </c>
      <c r="Q30" s="172">
        <f>IFERROR(__xludf.DUMMYFUNCTION("""COMPUTED_VALUE"""),25.0)</f>
        <v>25</v>
      </c>
      <c r="R30" s="172">
        <f>IFERROR(__xludf.DUMMYFUNCTION("""COMPUTED_VALUE"""),959.0)</f>
        <v>959</v>
      </c>
      <c r="S30" s="172">
        <f>IFERROR(__xludf.DUMMYFUNCTION("""COMPUTED_VALUE"""),1.0)</f>
        <v>1</v>
      </c>
      <c r="T30" s="172">
        <f>IFERROR(__xludf.DUMMYFUNCTION("""COMPUTED_VALUE"""),186.0)</f>
        <v>186</v>
      </c>
      <c r="U30" s="172">
        <f>IFERROR(__xludf.DUMMYFUNCTION("""COMPUTED_VALUE"""),289.0)</f>
        <v>289</v>
      </c>
      <c r="V30" s="172">
        <f>IFERROR(__xludf.DUMMYFUNCTION("""COMPUTED_VALUE"""),291.0)</f>
        <v>291</v>
      </c>
      <c r="W30" s="172">
        <f>IFERROR(__xludf.DUMMYFUNCTION("""COMPUTED_VALUE"""),69.0)</f>
        <v>69</v>
      </c>
      <c r="X30" s="172">
        <f>IFERROR(__xludf.DUMMYFUNCTION("""COMPUTED_VALUE"""),49.0)</f>
        <v>49</v>
      </c>
      <c r="Y30" s="172">
        <f>IFERROR(__xludf.DUMMYFUNCTION("""COMPUTED_VALUE"""),13.0)</f>
        <v>13</v>
      </c>
      <c r="Z30" s="172">
        <f>IFERROR(__xludf.DUMMYFUNCTION("""COMPUTED_VALUE"""),600.0)</f>
        <v>600</v>
      </c>
    </row>
    <row r="31">
      <c r="A31" s="234">
        <f>IFERROR(__xludf.DUMMYFUNCTION("""COMPUTED_VALUE"""),43965.0)</f>
        <v>43965</v>
      </c>
      <c r="B31" s="172">
        <f>IFERROR(__xludf.DUMMYFUNCTION("""COMPUTED_VALUE"""),329.0)</f>
        <v>329</v>
      </c>
      <c r="C31" s="172">
        <f>IFERROR(__xludf.DUMMYFUNCTION("""COMPUTED_VALUE"""),356.0)</f>
        <v>356</v>
      </c>
      <c r="D31" s="172">
        <f>IFERROR(__xludf.DUMMYFUNCTION("""COMPUTED_VALUE"""),15138.0)</f>
        <v>15138</v>
      </c>
      <c r="E31" s="172">
        <f>IFERROR(__xludf.DUMMYFUNCTION("""COMPUTED_VALUE"""),3408.0)</f>
        <v>3408</v>
      </c>
      <c r="F31" s="172">
        <f>IFERROR(__xludf.DUMMYFUNCTION("""COMPUTED_VALUE"""),97080.0)</f>
        <v>97080</v>
      </c>
      <c r="G31" s="172">
        <f>IFERROR(__xludf.DUMMYFUNCTION("""COMPUTED_VALUE"""),3737.0)</f>
        <v>3737</v>
      </c>
      <c r="H31" s="172">
        <f>IFERROR(__xludf.DUMMYFUNCTION("""COMPUTED_VALUE"""),112218.0)</f>
        <v>112218</v>
      </c>
      <c r="I31" s="172">
        <f>IFERROR(__xludf.DUMMYFUNCTION("""COMPUTED_VALUE"""),232.0)</f>
        <v>232</v>
      </c>
      <c r="J31" s="172">
        <f>IFERROR(__xludf.DUMMYFUNCTION("""COMPUTED_VALUE"""),218.0)</f>
        <v>218</v>
      </c>
      <c r="K31" s="172">
        <f>IFERROR(__xludf.DUMMYFUNCTION("""COMPUTED_VALUE"""),12410.0)</f>
        <v>12410</v>
      </c>
      <c r="L31" s="172">
        <f>IFERROR(__xludf.DUMMYFUNCTION("""COMPUTED_VALUE"""),1997.0)</f>
        <v>1997</v>
      </c>
      <c r="M31" s="172">
        <f>IFERROR(__xludf.DUMMYFUNCTION("""COMPUTED_VALUE"""),73668.0)</f>
        <v>73668</v>
      </c>
      <c r="N31" s="172">
        <f>IFERROR(__xludf.DUMMYFUNCTION("""COMPUTED_VALUE"""),86078.0)</f>
        <v>86078</v>
      </c>
      <c r="O31" s="172">
        <f>IFERROR(__xludf.DUMMYFUNCTION("""COMPUTED_VALUE"""),19.0)</f>
        <v>19</v>
      </c>
      <c r="P31" s="172">
        <f>IFERROR(__xludf.DUMMYFUNCTION("""COMPUTED_VALUE"""),1453.0)</f>
        <v>1453</v>
      </c>
      <c r="Q31" s="172">
        <f>IFERROR(__xludf.DUMMYFUNCTION("""COMPUTED_VALUE"""),27.0)</f>
        <v>27</v>
      </c>
      <c r="R31" s="172">
        <f>IFERROR(__xludf.DUMMYFUNCTION("""COMPUTED_VALUE"""),986.0)</f>
        <v>986</v>
      </c>
      <c r="S31" s="172">
        <f>IFERROR(__xludf.DUMMYFUNCTION("""COMPUTED_VALUE"""),3.0)</f>
        <v>3</v>
      </c>
      <c r="T31" s="172">
        <f>IFERROR(__xludf.DUMMYFUNCTION("""COMPUTED_VALUE"""),189.0)</f>
        <v>189</v>
      </c>
      <c r="U31" s="172">
        <f>IFERROR(__xludf.DUMMYFUNCTION("""COMPUTED_VALUE"""),278.0)</f>
        <v>278</v>
      </c>
      <c r="V31" s="172">
        <f>IFERROR(__xludf.DUMMYFUNCTION("""COMPUTED_VALUE"""),286.0)</f>
        <v>286</v>
      </c>
      <c r="W31" s="172">
        <f>IFERROR(__xludf.DUMMYFUNCTION("""COMPUTED_VALUE"""),64.0)</f>
        <v>64</v>
      </c>
      <c r="X31" s="172">
        <f>IFERROR(__xludf.DUMMYFUNCTION("""COMPUTED_VALUE"""),45.0)</f>
        <v>45</v>
      </c>
      <c r="Y31" s="172">
        <f>IFERROR(__xludf.DUMMYFUNCTION("""COMPUTED_VALUE"""),15.0)</f>
        <v>15</v>
      </c>
      <c r="Z31" s="172">
        <f>IFERROR(__xludf.DUMMYFUNCTION("""COMPUTED_VALUE"""),615.0)</f>
        <v>615</v>
      </c>
    </row>
    <row r="32">
      <c r="A32" s="234">
        <f>IFERROR(__xludf.DUMMYFUNCTION("""COMPUTED_VALUE"""),43966.0)</f>
        <v>43966</v>
      </c>
      <c r="B32" s="172">
        <f>IFERROR(__xludf.DUMMYFUNCTION("""COMPUTED_VALUE"""),381.0)</f>
        <v>381</v>
      </c>
      <c r="C32" s="172">
        <f>IFERROR(__xludf.DUMMYFUNCTION("""COMPUTED_VALUE"""),354.0)</f>
        <v>354</v>
      </c>
      <c r="D32" s="172">
        <f>IFERROR(__xludf.DUMMYFUNCTION("""COMPUTED_VALUE"""),15519.0)</f>
        <v>15519</v>
      </c>
      <c r="E32" s="172">
        <f>IFERROR(__xludf.DUMMYFUNCTION("""COMPUTED_VALUE"""),3458.0)</f>
        <v>3458</v>
      </c>
      <c r="F32" s="172">
        <f>IFERROR(__xludf.DUMMYFUNCTION("""COMPUTED_VALUE"""),100538.0)</f>
        <v>100538</v>
      </c>
      <c r="G32" s="172">
        <f>IFERROR(__xludf.DUMMYFUNCTION("""COMPUTED_VALUE"""),3839.0)</f>
        <v>3839</v>
      </c>
      <c r="H32" s="172">
        <f>IFERROR(__xludf.DUMMYFUNCTION("""COMPUTED_VALUE"""),116057.0)</f>
        <v>116057</v>
      </c>
      <c r="I32" s="172">
        <f>IFERROR(__xludf.DUMMYFUNCTION("""COMPUTED_VALUE"""),232.0)</f>
        <v>232</v>
      </c>
      <c r="J32" s="172">
        <f>IFERROR(__xludf.DUMMYFUNCTION("""COMPUTED_VALUE"""),221.0)</f>
        <v>221</v>
      </c>
      <c r="K32" s="172">
        <f>IFERROR(__xludf.DUMMYFUNCTION("""COMPUTED_VALUE"""),12642.0)</f>
        <v>12642</v>
      </c>
      <c r="L32" s="172">
        <f>IFERROR(__xludf.DUMMYFUNCTION("""COMPUTED_VALUE"""),1789.0)</f>
        <v>1789</v>
      </c>
      <c r="M32" s="172">
        <f>IFERROR(__xludf.DUMMYFUNCTION("""COMPUTED_VALUE"""),75457.0)</f>
        <v>75457</v>
      </c>
      <c r="N32" s="172">
        <f>IFERROR(__xludf.DUMMYFUNCTION("""COMPUTED_VALUE"""),88099.0)</f>
        <v>88099</v>
      </c>
      <c r="O32" s="172">
        <f>IFERROR(__xludf.DUMMYFUNCTION("""COMPUTED_VALUE"""),24.0)</f>
        <v>24</v>
      </c>
      <c r="P32" s="172">
        <f>IFERROR(__xludf.DUMMYFUNCTION("""COMPUTED_VALUE"""),1477.0)</f>
        <v>1477</v>
      </c>
      <c r="Q32" s="172">
        <f>IFERROR(__xludf.DUMMYFUNCTION("""COMPUTED_VALUE"""),41.0)</f>
        <v>41</v>
      </c>
      <c r="R32" s="172">
        <f>IFERROR(__xludf.DUMMYFUNCTION("""COMPUTED_VALUE"""),1027.0)</f>
        <v>1027</v>
      </c>
      <c r="S32" s="172">
        <f>IFERROR(__xludf.DUMMYFUNCTION("""COMPUTED_VALUE"""),5.0)</f>
        <v>5</v>
      </c>
      <c r="T32" s="172">
        <f>IFERROR(__xludf.DUMMYFUNCTION("""COMPUTED_VALUE"""),194.0)</f>
        <v>194</v>
      </c>
      <c r="U32" s="172">
        <f>IFERROR(__xludf.DUMMYFUNCTION("""COMPUTED_VALUE"""),256.0)</f>
        <v>256</v>
      </c>
      <c r="V32" s="172">
        <f>IFERROR(__xludf.DUMMYFUNCTION("""COMPUTED_VALUE"""),274.0)</f>
        <v>274</v>
      </c>
      <c r="W32" s="172">
        <f>IFERROR(__xludf.DUMMYFUNCTION("""COMPUTED_VALUE"""),62.0)</f>
        <v>62</v>
      </c>
      <c r="X32" s="172">
        <f>IFERROR(__xludf.DUMMYFUNCTION("""COMPUTED_VALUE"""),45.0)</f>
        <v>45</v>
      </c>
      <c r="Y32" s="172">
        <f>IFERROR(__xludf.DUMMYFUNCTION("""COMPUTED_VALUE"""),14.0)</f>
        <v>14</v>
      </c>
      <c r="Z32" s="172">
        <f>IFERROR(__xludf.DUMMYFUNCTION("""COMPUTED_VALUE"""),629.0)</f>
        <v>629</v>
      </c>
    </row>
    <row r="33">
      <c r="A33" s="234">
        <f>IFERROR(__xludf.DUMMYFUNCTION("""COMPUTED_VALUE"""),43967.0)</f>
        <v>43967</v>
      </c>
      <c r="B33" s="172">
        <f>IFERROR(__xludf.DUMMYFUNCTION("""COMPUTED_VALUE"""),449.0)</f>
        <v>449</v>
      </c>
      <c r="C33" s="172">
        <f>IFERROR(__xludf.DUMMYFUNCTION("""COMPUTED_VALUE"""),386.0)</f>
        <v>386</v>
      </c>
      <c r="D33" s="172">
        <f>IFERROR(__xludf.DUMMYFUNCTION("""COMPUTED_VALUE"""),15968.0)</f>
        <v>15968</v>
      </c>
      <c r="E33" s="172">
        <f>IFERROR(__xludf.DUMMYFUNCTION("""COMPUTED_VALUE"""),4156.0)</f>
        <v>4156</v>
      </c>
      <c r="F33" s="172">
        <f>IFERROR(__xludf.DUMMYFUNCTION("""COMPUTED_VALUE"""),104694.0)</f>
        <v>104694</v>
      </c>
      <c r="G33" s="172">
        <f>IFERROR(__xludf.DUMMYFUNCTION("""COMPUTED_VALUE"""),4605.0)</f>
        <v>4605</v>
      </c>
      <c r="H33" s="172">
        <f>IFERROR(__xludf.DUMMYFUNCTION("""COMPUTED_VALUE"""),120662.0)</f>
        <v>120662</v>
      </c>
      <c r="I33" s="172">
        <f>IFERROR(__xludf.DUMMYFUNCTION("""COMPUTED_VALUE"""),247.0)</f>
        <v>247</v>
      </c>
      <c r="J33" s="172">
        <f>IFERROR(__xludf.DUMMYFUNCTION("""COMPUTED_VALUE"""),237.0)</f>
        <v>237</v>
      </c>
      <c r="K33" s="172">
        <f>IFERROR(__xludf.DUMMYFUNCTION("""COMPUTED_VALUE"""),12889.0)</f>
        <v>12889</v>
      </c>
      <c r="L33" s="172">
        <f>IFERROR(__xludf.DUMMYFUNCTION("""COMPUTED_VALUE"""),1935.0)</f>
        <v>1935</v>
      </c>
      <c r="M33" s="172">
        <f>IFERROR(__xludf.DUMMYFUNCTION("""COMPUTED_VALUE"""),77392.0)</f>
        <v>77392</v>
      </c>
      <c r="N33" s="172">
        <f>IFERROR(__xludf.DUMMYFUNCTION("""COMPUTED_VALUE"""),90281.0)</f>
        <v>90281</v>
      </c>
      <c r="O33" s="172">
        <f>IFERROR(__xludf.DUMMYFUNCTION("""COMPUTED_VALUE"""),25.0)</f>
        <v>25</v>
      </c>
      <c r="P33" s="172">
        <f>IFERROR(__xludf.DUMMYFUNCTION("""COMPUTED_VALUE"""),1502.0)</f>
        <v>1502</v>
      </c>
      <c r="Q33" s="172">
        <f>IFERROR(__xludf.DUMMYFUNCTION("""COMPUTED_VALUE"""),15.0)</f>
        <v>15</v>
      </c>
      <c r="R33" s="172">
        <f>IFERROR(__xludf.DUMMYFUNCTION("""COMPUTED_VALUE"""),1042.0)</f>
        <v>1042</v>
      </c>
      <c r="S33" s="172">
        <f>IFERROR(__xludf.DUMMYFUNCTION("""COMPUTED_VALUE"""),5.0)</f>
        <v>5</v>
      </c>
      <c r="T33" s="172">
        <f>IFERROR(__xludf.DUMMYFUNCTION("""COMPUTED_VALUE"""),199.0)</f>
        <v>199</v>
      </c>
      <c r="U33" s="172">
        <f>IFERROR(__xludf.DUMMYFUNCTION("""COMPUTED_VALUE"""),261.0)</f>
        <v>261</v>
      </c>
      <c r="V33" s="172">
        <f>IFERROR(__xludf.DUMMYFUNCTION("""COMPUTED_VALUE"""),265.0)</f>
        <v>265</v>
      </c>
      <c r="W33" s="172">
        <f>IFERROR(__xludf.DUMMYFUNCTION("""COMPUTED_VALUE"""),61.0)</f>
        <v>61</v>
      </c>
      <c r="X33" s="172">
        <f>IFERROR(__xludf.DUMMYFUNCTION("""COMPUTED_VALUE"""),46.0)</f>
        <v>46</v>
      </c>
      <c r="Y33" s="172">
        <f>IFERROR(__xludf.DUMMYFUNCTION("""COMPUTED_VALUE"""),15.0)</f>
        <v>15</v>
      </c>
      <c r="Z33" s="172">
        <f>IFERROR(__xludf.DUMMYFUNCTION("""COMPUTED_VALUE"""),644.0)</f>
        <v>644</v>
      </c>
    </row>
    <row r="34">
      <c r="A34" s="234">
        <f>IFERROR(__xludf.DUMMYFUNCTION("""COMPUTED_VALUE"""),43968.0)</f>
        <v>43968</v>
      </c>
      <c r="B34" s="172">
        <f>IFERROR(__xludf.DUMMYFUNCTION("""COMPUTED_VALUE"""),240.0)</f>
        <v>240</v>
      </c>
      <c r="C34" s="172">
        <f>IFERROR(__xludf.DUMMYFUNCTION("""COMPUTED_VALUE"""),357.0)</f>
        <v>357</v>
      </c>
      <c r="D34" s="172">
        <f>IFERROR(__xludf.DUMMYFUNCTION("""COMPUTED_VALUE"""),16208.0)</f>
        <v>16208</v>
      </c>
      <c r="E34" s="172">
        <f>IFERROR(__xludf.DUMMYFUNCTION("""COMPUTED_VALUE"""),2768.0)</f>
        <v>2768</v>
      </c>
      <c r="F34" s="172">
        <f>IFERROR(__xludf.DUMMYFUNCTION("""COMPUTED_VALUE"""),107462.0)</f>
        <v>107462</v>
      </c>
      <c r="G34" s="172">
        <f>IFERROR(__xludf.DUMMYFUNCTION("""COMPUTED_VALUE"""),3008.0)</f>
        <v>3008</v>
      </c>
      <c r="H34" s="172">
        <f>IFERROR(__xludf.DUMMYFUNCTION("""COMPUTED_VALUE"""),123670.0)</f>
        <v>123670</v>
      </c>
      <c r="I34" s="172">
        <f>IFERROR(__xludf.DUMMYFUNCTION("""COMPUTED_VALUE"""),126.0)</f>
        <v>126</v>
      </c>
      <c r="J34" s="172">
        <f>IFERROR(__xludf.DUMMYFUNCTION("""COMPUTED_VALUE"""),202.0)</f>
        <v>202</v>
      </c>
      <c r="K34" s="172">
        <f>IFERROR(__xludf.DUMMYFUNCTION("""COMPUTED_VALUE"""),13015.0)</f>
        <v>13015</v>
      </c>
      <c r="L34" s="172">
        <f>IFERROR(__xludf.DUMMYFUNCTION("""COMPUTED_VALUE"""),1527.0)</f>
        <v>1527</v>
      </c>
      <c r="M34" s="172">
        <f>IFERROR(__xludf.DUMMYFUNCTION("""COMPUTED_VALUE"""),78919.0)</f>
        <v>78919</v>
      </c>
      <c r="N34" s="172">
        <f>IFERROR(__xludf.DUMMYFUNCTION("""COMPUTED_VALUE"""),91934.0)</f>
        <v>91934</v>
      </c>
      <c r="O34" s="172">
        <f>IFERROR(__xludf.DUMMYFUNCTION("""COMPUTED_VALUE"""),17.0)</f>
        <v>17</v>
      </c>
      <c r="P34" s="172">
        <f>IFERROR(__xludf.DUMMYFUNCTION("""COMPUTED_VALUE"""),1519.0)</f>
        <v>1519</v>
      </c>
      <c r="Q34" s="172">
        <f>IFERROR(__xludf.DUMMYFUNCTION("""COMPUTED_VALUE"""),9.0)</f>
        <v>9</v>
      </c>
      <c r="R34" s="172">
        <f>IFERROR(__xludf.DUMMYFUNCTION("""COMPUTED_VALUE"""),1051.0)</f>
        <v>1051</v>
      </c>
      <c r="S34" s="172">
        <f>IFERROR(__xludf.DUMMYFUNCTION("""COMPUTED_VALUE"""),5.0)</f>
        <v>5</v>
      </c>
      <c r="T34" s="172">
        <f>IFERROR(__xludf.DUMMYFUNCTION("""COMPUTED_VALUE"""),204.0)</f>
        <v>204</v>
      </c>
      <c r="U34" s="172">
        <f>IFERROR(__xludf.DUMMYFUNCTION("""COMPUTED_VALUE"""),264.0)</f>
        <v>264</v>
      </c>
      <c r="V34" s="172">
        <f>IFERROR(__xludf.DUMMYFUNCTION("""COMPUTED_VALUE"""),260.0)</f>
        <v>260</v>
      </c>
      <c r="W34" s="172">
        <f>IFERROR(__xludf.DUMMYFUNCTION("""COMPUTED_VALUE"""),59.0)</f>
        <v>59</v>
      </c>
      <c r="X34" s="172">
        <f>IFERROR(__xludf.DUMMYFUNCTION("""COMPUTED_VALUE"""),45.0)</f>
        <v>45</v>
      </c>
      <c r="Y34" s="172">
        <f>IFERROR(__xludf.DUMMYFUNCTION("""COMPUTED_VALUE"""),10.0)</f>
        <v>10</v>
      </c>
      <c r="Z34" s="172">
        <f>IFERROR(__xludf.DUMMYFUNCTION("""COMPUTED_VALUE"""),654.0)</f>
        <v>654</v>
      </c>
    </row>
    <row r="35">
      <c r="A35" s="234">
        <f>IFERROR(__xludf.DUMMYFUNCTION("""COMPUTED_VALUE"""),43969.0)</f>
        <v>43969</v>
      </c>
      <c r="B35" s="172">
        <f>IFERROR(__xludf.DUMMYFUNCTION("""COMPUTED_VALUE"""),250.0)</f>
        <v>250</v>
      </c>
      <c r="C35" s="172">
        <f>IFERROR(__xludf.DUMMYFUNCTION("""COMPUTED_VALUE"""),313.0)</f>
        <v>313</v>
      </c>
      <c r="D35" s="172">
        <f>IFERROR(__xludf.DUMMYFUNCTION("""COMPUTED_VALUE"""),16458.0)</f>
        <v>16458</v>
      </c>
      <c r="E35" s="172">
        <f>IFERROR(__xludf.DUMMYFUNCTION("""COMPUTED_VALUE"""),2001.0)</f>
        <v>2001</v>
      </c>
      <c r="F35" s="172">
        <f>IFERROR(__xludf.DUMMYFUNCTION("""COMPUTED_VALUE"""),109463.0)</f>
        <v>109463</v>
      </c>
      <c r="G35" s="172">
        <f>IFERROR(__xludf.DUMMYFUNCTION("""COMPUTED_VALUE"""),2251.0)</f>
        <v>2251</v>
      </c>
      <c r="H35" s="172">
        <f>IFERROR(__xludf.DUMMYFUNCTION("""COMPUTED_VALUE"""),125921.0)</f>
        <v>125921</v>
      </c>
      <c r="I35" s="172">
        <f>IFERROR(__xludf.DUMMYFUNCTION("""COMPUTED_VALUE"""),135.0)</f>
        <v>135</v>
      </c>
      <c r="J35" s="172">
        <f>IFERROR(__xludf.DUMMYFUNCTION("""COMPUTED_VALUE"""),169.0)</f>
        <v>169</v>
      </c>
      <c r="K35" s="172">
        <f>IFERROR(__xludf.DUMMYFUNCTION("""COMPUTED_VALUE"""),13150.0)</f>
        <v>13150</v>
      </c>
      <c r="L35" s="172">
        <f>IFERROR(__xludf.DUMMYFUNCTION("""COMPUTED_VALUE"""),1360.0)</f>
        <v>1360</v>
      </c>
      <c r="M35" s="172">
        <f>IFERROR(__xludf.DUMMYFUNCTION("""COMPUTED_VALUE"""),80279.0)</f>
        <v>80279</v>
      </c>
      <c r="N35" s="172">
        <f>IFERROR(__xludf.DUMMYFUNCTION("""COMPUTED_VALUE"""),93429.0)</f>
        <v>93429</v>
      </c>
      <c r="O35" s="172">
        <f>IFERROR(__xludf.DUMMYFUNCTION("""COMPUTED_VALUE"""),19.0)</f>
        <v>19</v>
      </c>
      <c r="P35" s="172">
        <f>IFERROR(__xludf.DUMMYFUNCTION("""COMPUTED_VALUE"""),1538.0)</f>
        <v>1538</v>
      </c>
      <c r="Q35" s="172">
        <f>IFERROR(__xludf.DUMMYFUNCTION("""COMPUTED_VALUE"""),16.0)</f>
        <v>16</v>
      </c>
      <c r="R35" s="172">
        <f>IFERROR(__xludf.DUMMYFUNCTION("""COMPUTED_VALUE"""),1067.0)</f>
        <v>1067</v>
      </c>
      <c r="S35" s="172">
        <f>IFERROR(__xludf.DUMMYFUNCTION("""COMPUTED_VALUE"""),5.0)</f>
        <v>5</v>
      </c>
      <c r="T35" s="172">
        <f>IFERROR(__xludf.DUMMYFUNCTION("""COMPUTED_VALUE"""),209.0)</f>
        <v>209</v>
      </c>
      <c r="U35" s="172">
        <f>IFERROR(__xludf.DUMMYFUNCTION("""COMPUTED_VALUE"""),262.0)</f>
        <v>262</v>
      </c>
      <c r="V35" s="172">
        <f>IFERROR(__xludf.DUMMYFUNCTION("""COMPUTED_VALUE"""),262.0)</f>
        <v>262</v>
      </c>
      <c r="W35" s="172">
        <f>IFERROR(__xludf.DUMMYFUNCTION("""COMPUTED_VALUE"""),57.0)</f>
        <v>57</v>
      </c>
      <c r="X35" s="172">
        <f>IFERROR(__xludf.DUMMYFUNCTION("""COMPUTED_VALUE"""),40.0)</f>
        <v>40</v>
      </c>
      <c r="Y35" s="172">
        <f>IFERROR(__xludf.DUMMYFUNCTION("""COMPUTED_VALUE"""),18.0)</f>
        <v>18</v>
      </c>
      <c r="Z35" s="172">
        <f>IFERROR(__xludf.DUMMYFUNCTION("""COMPUTED_VALUE"""),672.0)</f>
        <v>672</v>
      </c>
    </row>
    <row r="36">
      <c r="A36" s="234">
        <f>IFERROR(__xludf.DUMMYFUNCTION("""COMPUTED_VALUE"""),43970.0)</f>
        <v>43970</v>
      </c>
      <c r="B36" s="172">
        <f>IFERROR(__xludf.DUMMYFUNCTION("""COMPUTED_VALUE"""),415.0)</f>
        <v>415</v>
      </c>
      <c r="C36" s="172">
        <f>IFERROR(__xludf.DUMMYFUNCTION("""COMPUTED_VALUE"""),302.0)</f>
        <v>302</v>
      </c>
      <c r="D36" s="172">
        <f>IFERROR(__xludf.DUMMYFUNCTION("""COMPUTED_VALUE"""),16873.0)</f>
        <v>16873</v>
      </c>
      <c r="E36" s="172">
        <f>IFERROR(__xludf.DUMMYFUNCTION("""COMPUTED_VALUE"""),3168.0)</f>
        <v>3168</v>
      </c>
      <c r="F36" s="172">
        <f>IFERROR(__xludf.DUMMYFUNCTION("""COMPUTED_VALUE"""),112631.0)</f>
        <v>112631</v>
      </c>
      <c r="G36" s="172">
        <f>IFERROR(__xludf.DUMMYFUNCTION("""COMPUTED_VALUE"""),3583.0)</f>
        <v>3583</v>
      </c>
      <c r="H36" s="172">
        <f>IFERROR(__xludf.DUMMYFUNCTION("""COMPUTED_VALUE"""),129504.0)</f>
        <v>129504</v>
      </c>
      <c r="I36" s="172">
        <f>IFERROR(__xludf.DUMMYFUNCTION("""COMPUTED_VALUE"""),215.0)</f>
        <v>215</v>
      </c>
      <c r="J36" s="172">
        <f>IFERROR(__xludf.DUMMYFUNCTION("""COMPUTED_VALUE"""),159.0)</f>
        <v>159</v>
      </c>
      <c r="K36" s="172">
        <f>IFERROR(__xludf.DUMMYFUNCTION("""COMPUTED_VALUE"""),13365.0)</f>
        <v>13365</v>
      </c>
      <c r="L36" s="172">
        <f>IFERROR(__xludf.DUMMYFUNCTION("""COMPUTED_VALUE"""),1911.0)</f>
        <v>1911</v>
      </c>
      <c r="M36" s="172">
        <f>IFERROR(__xludf.DUMMYFUNCTION("""COMPUTED_VALUE"""),82190.0)</f>
        <v>82190</v>
      </c>
      <c r="N36" s="172">
        <f>IFERROR(__xludf.DUMMYFUNCTION("""COMPUTED_VALUE"""),95555.0)</f>
        <v>95555</v>
      </c>
      <c r="O36" s="172">
        <f>IFERROR(__xludf.DUMMYFUNCTION("""COMPUTED_VALUE"""),23.0)</f>
        <v>23</v>
      </c>
      <c r="P36" s="172">
        <f>IFERROR(__xludf.DUMMYFUNCTION("""COMPUTED_VALUE"""),1561.0)</f>
        <v>1561</v>
      </c>
      <c r="Q36" s="172">
        <f>IFERROR(__xludf.DUMMYFUNCTION("""COMPUTED_VALUE"""),33.0)</f>
        <v>33</v>
      </c>
      <c r="R36" s="172">
        <f>IFERROR(__xludf.DUMMYFUNCTION("""COMPUTED_VALUE"""),1100.0)</f>
        <v>1100</v>
      </c>
      <c r="S36" s="172">
        <f>IFERROR(__xludf.DUMMYFUNCTION("""COMPUTED_VALUE"""),5.0)</f>
        <v>5</v>
      </c>
      <c r="T36" s="172">
        <f>IFERROR(__xludf.DUMMYFUNCTION("""COMPUTED_VALUE"""),214.0)</f>
        <v>214</v>
      </c>
      <c r="U36" s="172">
        <f>IFERROR(__xludf.DUMMYFUNCTION("""COMPUTED_VALUE"""),247.0)</f>
        <v>247</v>
      </c>
      <c r="V36" s="172">
        <f>IFERROR(__xludf.DUMMYFUNCTION("""COMPUTED_VALUE"""),258.0)</f>
        <v>258</v>
      </c>
      <c r="W36" s="172">
        <f>IFERROR(__xludf.DUMMYFUNCTION("""COMPUTED_VALUE"""),56.0)</f>
        <v>56</v>
      </c>
      <c r="X36" s="172">
        <f>IFERROR(__xludf.DUMMYFUNCTION("""COMPUTED_VALUE"""),38.0)</f>
        <v>38</v>
      </c>
      <c r="Y36" s="172">
        <f>IFERROR(__xludf.DUMMYFUNCTION("""COMPUTED_VALUE"""),11.0)</f>
        <v>11</v>
      </c>
      <c r="Z36" s="172">
        <f>IFERROR(__xludf.DUMMYFUNCTION("""COMPUTED_VALUE"""),683.0)</f>
        <v>683</v>
      </c>
    </row>
    <row r="37">
      <c r="A37" s="234">
        <f>IFERROR(__xludf.DUMMYFUNCTION("""COMPUTED_VALUE"""),43971.0)</f>
        <v>43971</v>
      </c>
      <c r="B37" s="172">
        <f>IFERROR(__xludf.DUMMYFUNCTION("""COMPUTED_VALUE"""),326.0)</f>
        <v>326</v>
      </c>
      <c r="C37" s="172">
        <f>IFERROR(__xludf.DUMMYFUNCTION("""COMPUTED_VALUE"""),330.0)</f>
        <v>330</v>
      </c>
      <c r="D37" s="172">
        <f>IFERROR(__xludf.DUMMYFUNCTION("""COMPUTED_VALUE"""),17199.0)</f>
        <v>17199</v>
      </c>
      <c r="E37" s="172">
        <f>IFERROR(__xludf.DUMMYFUNCTION("""COMPUTED_VALUE"""),2771.0)</f>
        <v>2771</v>
      </c>
      <c r="F37" s="172">
        <f>IFERROR(__xludf.DUMMYFUNCTION("""COMPUTED_VALUE"""),115402.0)</f>
        <v>115402</v>
      </c>
      <c r="G37" s="172">
        <f>IFERROR(__xludf.DUMMYFUNCTION("""COMPUTED_VALUE"""),3097.0)</f>
        <v>3097</v>
      </c>
      <c r="H37" s="172">
        <f>IFERROR(__xludf.DUMMYFUNCTION("""COMPUTED_VALUE"""),132601.0)</f>
        <v>132601</v>
      </c>
      <c r="I37" s="172">
        <f>IFERROR(__xludf.DUMMYFUNCTION("""COMPUTED_VALUE"""),183.0)</f>
        <v>183</v>
      </c>
      <c r="J37" s="172">
        <f>IFERROR(__xludf.DUMMYFUNCTION("""COMPUTED_VALUE"""),178.0)</f>
        <v>178</v>
      </c>
      <c r="K37" s="172">
        <f>IFERROR(__xludf.DUMMYFUNCTION("""COMPUTED_VALUE"""),13548.0)</f>
        <v>13548</v>
      </c>
      <c r="L37" s="172">
        <f>IFERROR(__xludf.DUMMYFUNCTION("""COMPUTED_VALUE"""),1507.0)</f>
        <v>1507</v>
      </c>
      <c r="M37" s="172">
        <f>IFERROR(__xludf.DUMMYFUNCTION("""COMPUTED_VALUE"""),83697.0)</f>
        <v>83697</v>
      </c>
      <c r="N37" s="172">
        <f>IFERROR(__xludf.DUMMYFUNCTION("""COMPUTED_VALUE"""),97245.0)</f>
        <v>97245</v>
      </c>
      <c r="O37" s="172">
        <f>IFERROR(__xludf.DUMMYFUNCTION("""COMPUTED_VALUE"""),19.0)</f>
        <v>19</v>
      </c>
      <c r="P37" s="172">
        <f>IFERROR(__xludf.DUMMYFUNCTION("""COMPUTED_VALUE"""),1580.0)</f>
        <v>1580</v>
      </c>
      <c r="Q37" s="172">
        <f>IFERROR(__xludf.DUMMYFUNCTION("""COMPUTED_VALUE"""),23.0)</f>
        <v>23</v>
      </c>
      <c r="R37" s="172">
        <f>IFERROR(__xludf.DUMMYFUNCTION("""COMPUTED_VALUE"""),1123.0)</f>
        <v>1123</v>
      </c>
      <c r="S37" s="172">
        <f>IFERROR(__xludf.DUMMYFUNCTION("""COMPUTED_VALUE"""),7.0)</f>
        <v>7</v>
      </c>
      <c r="T37" s="172">
        <f>IFERROR(__xludf.DUMMYFUNCTION("""COMPUTED_VALUE"""),221.0)</f>
        <v>221</v>
      </c>
      <c r="U37" s="172">
        <f>IFERROR(__xludf.DUMMYFUNCTION("""COMPUTED_VALUE"""),236.0)</f>
        <v>236</v>
      </c>
      <c r="V37" s="172">
        <f>IFERROR(__xludf.DUMMYFUNCTION("""COMPUTED_VALUE"""),248.0)</f>
        <v>248</v>
      </c>
      <c r="W37" s="172">
        <f>IFERROR(__xludf.DUMMYFUNCTION("""COMPUTED_VALUE"""),52.0)</f>
        <v>52</v>
      </c>
      <c r="X37" s="172">
        <f>IFERROR(__xludf.DUMMYFUNCTION("""COMPUTED_VALUE"""),33.0)</f>
        <v>33</v>
      </c>
      <c r="Y37" s="172">
        <f>IFERROR(__xludf.DUMMYFUNCTION("""COMPUTED_VALUE"""),22.0)</f>
        <v>22</v>
      </c>
      <c r="Z37" s="172">
        <f>IFERROR(__xludf.DUMMYFUNCTION("""COMPUTED_VALUE"""),705.0)</f>
        <v>705</v>
      </c>
    </row>
    <row r="38">
      <c r="A38" s="234">
        <f>IFERROR(__xludf.DUMMYFUNCTION("""COMPUTED_VALUE"""),43972.0)</f>
        <v>43972</v>
      </c>
      <c r="B38" s="172">
        <f>IFERROR(__xludf.DUMMYFUNCTION("""COMPUTED_VALUE"""),374.0)</f>
        <v>374</v>
      </c>
      <c r="C38" s="172">
        <f>IFERROR(__xludf.DUMMYFUNCTION("""COMPUTED_VALUE"""),372.0)</f>
        <v>372</v>
      </c>
      <c r="D38" s="172">
        <f>IFERROR(__xludf.DUMMYFUNCTION("""COMPUTED_VALUE"""),17573.0)</f>
        <v>17573</v>
      </c>
      <c r="E38" s="172">
        <f>IFERROR(__xludf.DUMMYFUNCTION("""COMPUTED_VALUE"""),3757.0)</f>
        <v>3757</v>
      </c>
      <c r="F38" s="172">
        <f>IFERROR(__xludf.DUMMYFUNCTION("""COMPUTED_VALUE"""),119159.0)</f>
        <v>119159</v>
      </c>
      <c r="G38" s="172">
        <f>IFERROR(__xludf.DUMMYFUNCTION("""COMPUTED_VALUE"""),4131.0)</f>
        <v>4131</v>
      </c>
      <c r="H38" s="172">
        <f>IFERROR(__xludf.DUMMYFUNCTION("""COMPUTED_VALUE"""),136732.0)</f>
        <v>136732</v>
      </c>
      <c r="I38" s="172">
        <f>IFERROR(__xludf.DUMMYFUNCTION("""COMPUTED_VALUE"""),168.0)</f>
        <v>168</v>
      </c>
      <c r="J38" s="172">
        <f>IFERROR(__xludf.DUMMYFUNCTION("""COMPUTED_VALUE"""),189.0)</f>
        <v>189</v>
      </c>
      <c r="K38" s="172">
        <f>IFERROR(__xludf.DUMMYFUNCTION("""COMPUTED_VALUE"""),13716.0)</f>
        <v>13716</v>
      </c>
      <c r="L38" s="172">
        <f>IFERROR(__xludf.DUMMYFUNCTION("""COMPUTED_VALUE"""),1921.0)</f>
        <v>1921</v>
      </c>
      <c r="M38" s="172">
        <f>IFERROR(__xludf.DUMMYFUNCTION("""COMPUTED_VALUE"""),85618.0)</f>
        <v>85618</v>
      </c>
      <c r="N38" s="172">
        <f>IFERROR(__xludf.DUMMYFUNCTION("""COMPUTED_VALUE"""),99334.0)</f>
        <v>99334</v>
      </c>
      <c r="O38" s="172">
        <f>IFERROR(__xludf.DUMMYFUNCTION("""COMPUTED_VALUE"""),26.0)</f>
        <v>26</v>
      </c>
      <c r="P38" s="172">
        <f>IFERROR(__xludf.DUMMYFUNCTION("""COMPUTED_VALUE"""),1606.0)</f>
        <v>1606</v>
      </c>
      <c r="Q38" s="172">
        <f>IFERROR(__xludf.DUMMYFUNCTION("""COMPUTED_VALUE"""),15.0)</f>
        <v>15</v>
      </c>
      <c r="R38" s="172">
        <f>IFERROR(__xludf.DUMMYFUNCTION("""COMPUTED_VALUE"""),1138.0)</f>
        <v>1138</v>
      </c>
      <c r="S38" s="172">
        <f>IFERROR(__xludf.DUMMYFUNCTION("""COMPUTED_VALUE"""),3.0)</f>
        <v>3</v>
      </c>
      <c r="T38" s="172">
        <f>IFERROR(__xludf.DUMMYFUNCTION("""COMPUTED_VALUE"""),224.0)</f>
        <v>224</v>
      </c>
      <c r="U38" s="172">
        <f>IFERROR(__xludf.DUMMYFUNCTION("""COMPUTED_VALUE"""),244.0)</f>
        <v>244</v>
      </c>
      <c r="V38" s="172">
        <f>IFERROR(__xludf.DUMMYFUNCTION("""COMPUTED_VALUE"""),242.0)</f>
        <v>242</v>
      </c>
      <c r="W38" s="172">
        <f>IFERROR(__xludf.DUMMYFUNCTION("""COMPUTED_VALUE"""),53.0)</f>
        <v>53</v>
      </c>
      <c r="X38" s="172">
        <f>IFERROR(__xludf.DUMMYFUNCTION("""COMPUTED_VALUE"""),29.0)</f>
        <v>29</v>
      </c>
      <c r="Y38" s="172">
        <f>IFERROR(__xludf.DUMMYFUNCTION("""COMPUTED_VALUE"""),20.0)</f>
        <v>20</v>
      </c>
      <c r="Z38" s="172">
        <f>IFERROR(__xludf.DUMMYFUNCTION("""COMPUTED_VALUE"""),725.0)</f>
        <v>725</v>
      </c>
    </row>
    <row r="39">
      <c r="A39" s="234">
        <f>IFERROR(__xludf.DUMMYFUNCTION("""COMPUTED_VALUE"""),43973.0)</f>
        <v>43973</v>
      </c>
      <c r="B39" s="172">
        <f>IFERROR(__xludf.DUMMYFUNCTION("""COMPUTED_VALUE"""),351.0)</f>
        <v>351</v>
      </c>
      <c r="C39" s="172">
        <f>IFERROR(__xludf.DUMMYFUNCTION("""COMPUTED_VALUE"""),350.0)</f>
        <v>350</v>
      </c>
      <c r="D39" s="172">
        <f>IFERROR(__xludf.DUMMYFUNCTION("""COMPUTED_VALUE"""),17924.0)</f>
        <v>17924</v>
      </c>
      <c r="E39" s="172">
        <f>IFERROR(__xludf.DUMMYFUNCTION("""COMPUTED_VALUE"""),3161.0)</f>
        <v>3161</v>
      </c>
      <c r="F39" s="172">
        <f>IFERROR(__xludf.DUMMYFUNCTION("""COMPUTED_VALUE"""),122320.0)</f>
        <v>122320</v>
      </c>
      <c r="G39" s="172">
        <f>IFERROR(__xludf.DUMMYFUNCTION("""COMPUTED_VALUE"""),3512.0)</f>
        <v>3512</v>
      </c>
      <c r="H39" s="172">
        <f>IFERROR(__xludf.DUMMYFUNCTION("""COMPUTED_VALUE"""),140244.0)</f>
        <v>140244</v>
      </c>
      <c r="I39" s="172">
        <f>IFERROR(__xludf.DUMMYFUNCTION("""COMPUTED_VALUE"""),206.0)</f>
        <v>206</v>
      </c>
      <c r="J39" s="172">
        <f>IFERROR(__xludf.DUMMYFUNCTION("""COMPUTED_VALUE"""),186.0)</f>
        <v>186</v>
      </c>
      <c r="K39" s="172">
        <f>IFERROR(__xludf.DUMMYFUNCTION("""COMPUTED_VALUE"""),13922.0)</f>
        <v>13922</v>
      </c>
      <c r="L39" s="172">
        <f>IFERROR(__xludf.DUMMYFUNCTION("""COMPUTED_VALUE"""),1600.0)</f>
        <v>1600</v>
      </c>
      <c r="M39" s="172">
        <f>IFERROR(__xludf.DUMMYFUNCTION("""COMPUTED_VALUE"""),87218.0)</f>
        <v>87218</v>
      </c>
      <c r="N39" s="172">
        <f>IFERROR(__xludf.DUMMYFUNCTION("""COMPUTED_VALUE"""),101140.0)</f>
        <v>101140</v>
      </c>
      <c r="O39" s="172">
        <f>IFERROR(__xludf.DUMMYFUNCTION("""COMPUTED_VALUE"""),20.0)</f>
        <v>20</v>
      </c>
      <c r="P39" s="172">
        <f>IFERROR(__xludf.DUMMYFUNCTION("""COMPUTED_VALUE"""),1626.0)</f>
        <v>1626</v>
      </c>
      <c r="Q39" s="172">
        <f>IFERROR(__xludf.DUMMYFUNCTION("""COMPUTED_VALUE"""),29.0)</f>
        <v>29</v>
      </c>
      <c r="R39" s="172">
        <f>IFERROR(__xludf.DUMMYFUNCTION("""COMPUTED_VALUE"""),1167.0)</f>
        <v>1167</v>
      </c>
      <c r="S39" s="172">
        <f>IFERROR(__xludf.DUMMYFUNCTION("""COMPUTED_VALUE"""),5.0)</f>
        <v>5</v>
      </c>
      <c r="T39" s="172">
        <f>IFERROR(__xludf.DUMMYFUNCTION("""COMPUTED_VALUE"""),229.0)</f>
        <v>229</v>
      </c>
      <c r="U39" s="172">
        <f>IFERROR(__xludf.DUMMYFUNCTION("""COMPUTED_VALUE"""),230.0)</f>
        <v>230</v>
      </c>
      <c r="V39" s="172">
        <f>IFERROR(__xludf.DUMMYFUNCTION("""COMPUTED_VALUE"""),237.0)</f>
        <v>237</v>
      </c>
      <c r="W39" s="172">
        <f>IFERROR(__xludf.DUMMYFUNCTION("""COMPUTED_VALUE"""),52.0)</f>
        <v>52</v>
      </c>
      <c r="X39" s="172">
        <f>IFERROR(__xludf.DUMMYFUNCTION("""COMPUTED_VALUE"""),29.0)</f>
        <v>29</v>
      </c>
      <c r="Y39" s="172">
        <f>IFERROR(__xludf.DUMMYFUNCTION("""COMPUTED_VALUE"""),11.0)</f>
        <v>11</v>
      </c>
      <c r="Z39" s="172">
        <f>IFERROR(__xludf.DUMMYFUNCTION("""COMPUTED_VALUE"""),736.0)</f>
        <v>736</v>
      </c>
    </row>
    <row r="40">
      <c r="A40" s="234">
        <f>IFERROR(__xludf.DUMMYFUNCTION("""COMPUTED_VALUE"""),43974.0)</f>
        <v>43974</v>
      </c>
      <c r="B40" s="172">
        <f>IFERROR(__xludf.DUMMYFUNCTION("""COMPUTED_VALUE"""),253.0)</f>
        <v>253</v>
      </c>
      <c r="C40" s="172">
        <f>IFERROR(__xludf.DUMMYFUNCTION("""COMPUTED_VALUE"""),326.0)</f>
        <v>326</v>
      </c>
      <c r="D40" s="172">
        <f>IFERROR(__xludf.DUMMYFUNCTION("""COMPUTED_VALUE"""),18177.0)</f>
        <v>18177</v>
      </c>
      <c r="E40" s="172">
        <f>IFERROR(__xludf.DUMMYFUNCTION("""COMPUTED_VALUE"""),2742.0)</f>
        <v>2742</v>
      </c>
      <c r="F40" s="172">
        <f>IFERROR(__xludf.DUMMYFUNCTION("""COMPUTED_VALUE"""),125062.0)</f>
        <v>125062</v>
      </c>
      <c r="G40" s="172">
        <f>IFERROR(__xludf.DUMMYFUNCTION("""COMPUTED_VALUE"""),2995.0)</f>
        <v>2995</v>
      </c>
      <c r="H40" s="172">
        <f>IFERROR(__xludf.DUMMYFUNCTION("""COMPUTED_VALUE"""),143239.0)</f>
        <v>143239</v>
      </c>
      <c r="I40" s="172">
        <f>IFERROR(__xludf.DUMMYFUNCTION("""COMPUTED_VALUE"""),109.0)</f>
        <v>109</v>
      </c>
      <c r="J40" s="172">
        <f>IFERROR(__xludf.DUMMYFUNCTION("""COMPUTED_VALUE"""),161.0)</f>
        <v>161</v>
      </c>
      <c r="K40" s="172">
        <f>IFERROR(__xludf.DUMMYFUNCTION("""COMPUTED_VALUE"""),14031.0)</f>
        <v>14031</v>
      </c>
      <c r="L40" s="172">
        <f>IFERROR(__xludf.DUMMYFUNCTION("""COMPUTED_VALUE"""),1262.0)</f>
        <v>1262</v>
      </c>
      <c r="M40" s="172">
        <f>IFERROR(__xludf.DUMMYFUNCTION("""COMPUTED_VALUE"""),88480.0)</f>
        <v>88480</v>
      </c>
      <c r="N40" s="172">
        <f>IFERROR(__xludf.DUMMYFUNCTION("""COMPUTED_VALUE"""),102511.0)</f>
        <v>102511</v>
      </c>
      <c r="O40" s="172">
        <f>IFERROR(__xludf.DUMMYFUNCTION("""COMPUTED_VALUE"""),19.0)</f>
        <v>19</v>
      </c>
      <c r="P40" s="172">
        <f>IFERROR(__xludf.DUMMYFUNCTION("""COMPUTED_VALUE"""),1645.0)</f>
        <v>1645</v>
      </c>
      <c r="Q40" s="172">
        <f>IFERROR(__xludf.DUMMYFUNCTION("""COMPUTED_VALUE"""),11.0)</f>
        <v>11</v>
      </c>
      <c r="R40" s="172">
        <f>IFERROR(__xludf.DUMMYFUNCTION("""COMPUTED_VALUE"""),1178.0)</f>
        <v>1178</v>
      </c>
      <c r="S40" s="172">
        <f>IFERROR(__xludf.DUMMYFUNCTION("""COMPUTED_VALUE"""),3.0)</f>
        <v>3</v>
      </c>
      <c r="T40" s="172">
        <f>IFERROR(__xludf.DUMMYFUNCTION("""COMPUTED_VALUE"""),232.0)</f>
        <v>232</v>
      </c>
      <c r="U40" s="172">
        <f>IFERROR(__xludf.DUMMYFUNCTION("""COMPUTED_VALUE"""),235.0)</f>
        <v>235</v>
      </c>
      <c r="V40" s="172">
        <f>IFERROR(__xludf.DUMMYFUNCTION("""COMPUTED_VALUE"""),236.0)</f>
        <v>236</v>
      </c>
      <c r="W40" s="172">
        <f>IFERROR(__xludf.DUMMYFUNCTION("""COMPUTED_VALUE"""),52.0)</f>
        <v>52</v>
      </c>
      <c r="X40" s="172">
        <f>IFERROR(__xludf.DUMMYFUNCTION("""COMPUTED_VALUE"""),32.0)</f>
        <v>32</v>
      </c>
      <c r="Y40" s="172">
        <f>IFERROR(__xludf.DUMMYFUNCTION("""COMPUTED_VALUE"""),13.0)</f>
        <v>13</v>
      </c>
      <c r="Z40" s="172">
        <f>IFERROR(__xludf.DUMMYFUNCTION("""COMPUTED_VALUE"""),749.0)</f>
        <v>749</v>
      </c>
    </row>
    <row r="41">
      <c r="A41" s="234">
        <f>IFERROR(__xludf.DUMMYFUNCTION("""COMPUTED_VALUE"""),43975.0)</f>
        <v>43975</v>
      </c>
      <c r="B41" s="172">
        <f>IFERROR(__xludf.DUMMYFUNCTION("""COMPUTED_VALUE"""),163.0)</f>
        <v>163</v>
      </c>
      <c r="C41" s="172">
        <f>IFERROR(__xludf.DUMMYFUNCTION("""COMPUTED_VALUE"""),256.0)</f>
        <v>256</v>
      </c>
      <c r="D41" s="172">
        <f>IFERROR(__xludf.DUMMYFUNCTION("""COMPUTED_VALUE"""),18340.0)</f>
        <v>18340</v>
      </c>
      <c r="E41" s="172">
        <f>IFERROR(__xludf.DUMMYFUNCTION("""COMPUTED_VALUE"""),1370.0)</f>
        <v>1370</v>
      </c>
      <c r="F41" s="172">
        <f>IFERROR(__xludf.DUMMYFUNCTION("""COMPUTED_VALUE"""),126432.0)</f>
        <v>126432</v>
      </c>
      <c r="G41" s="172">
        <f>IFERROR(__xludf.DUMMYFUNCTION("""COMPUTED_VALUE"""),1533.0)</f>
        <v>1533</v>
      </c>
      <c r="H41" s="172">
        <f>IFERROR(__xludf.DUMMYFUNCTION("""COMPUTED_VALUE"""),144772.0)</f>
        <v>144772</v>
      </c>
      <c r="I41" s="172">
        <f>IFERROR(__xludf.DUMMYFUNCTION("""COMPUTED_VALUE"""),83.0)</f>
        <v>83</v>
      </c>
      <c r="J41" s="172">
        <f>IFERROR(__xludf.DUMMYFUNCTION("""COMPUTED_VALUE"""),133.0)</f>
        <v>133</v>
      </c>
      <c r="K41" s="172">
        <f>IFERROR(__xludf.DUMMYFUNCTION("""COMPUTED_VALUE"""),14114.0)</f>
        <v>14114</v>
      </c>
      <c r="L41" s="172">
        <f>IFERROR(__xludf.DUMMYFUNCTION("""COMPUTED_VALUE"""),770.0)</f>
        <v>770</v>
      </c>
      <c r="M41" s="172">
        <f>IFERROR(__xludf.DUMMYFUNCTION("""COMPUTED_VALUE"""),89250.0)</f>
        <v>89250</v>
      </c>
      <c r="N41" s="172">
        <f>IFERROR(__xludf.DUMMYFUNCTION("""COMPUTED_VALUE"""),103364.0)</f>
        <v>103364</v>
      </c>
      <c r="O41" s="172">
        <f>IFERROR(__xludf.DUMMYFUNCTION("""COMPUTED_VALUE"""),13.0)</f>
        <v>13</v>
      </c>
      <c r="P41" s="172">
        <f>IFERROR(__xludf.DUMMYFUNCTION("""COMPUTED_VALUE"""),1658.0)</f>
        <v>1658</v>
      </c>
      <c r="Q41" s="172">
        <f>IFERROR(__xludf.DUMMYFUNCTION("""COMPUTED_VALUE"""),14.0)</f>
        <v>14</v>
      </c>
      <c r="R41" s="172">
        <f>IFERROR(__xludf.DUMMYFUNCTION("""COMPUTED_VALUE"""),1192.0)</f>
        <v>1192</v>
      </c>
      <c r="S41" s="172">
        <f>IFERROR(__xludf.DUMMYFUNCTION("""COMPUTED_VALUE"""),2.0)</f>
        <v>2</v>
      </c>
      <c r="T41" s="172">
        <f>IFERROR(__xludf.DUMMYFUNCTION("""COMPUTED_VALUE"""),234.0)</f>
        <v>234</v>
      </c>
      <c r="U41" s="172">
        <f>IFERROR(__xludf.DUMMYFUNCTION("""COMPUTED_VALUE"""),232.0)</f>
        <v>232</v>
      </c>
      <c r="V41" s="172">
        <f>IFERROR(__xludf.DUMMYFUNCTION("""COMPUTED_VALUE"""),232.0)</f>
        <v>232</v>
      </c>
      <c r="W41" s="172">
        <f>IFERROR(__xludf.DUMMYFUNCTION("""COMPUTED_VALUE"""),53.0)</f>
        <v>53</v>
      </c>
      <c r="X41" s="172">
        <f>IFERROR(__xludf.DUMMYFUNCTION("""COMPUTED_VALUE"""),36.0)</f>
        <v>36</v>
      </c>
      <c r="Y41" s="172">
        <f>IFERROR(__xludf.DUMMYFUNCTION("""COMPUTED_VALUE"""),8.0)</f>
        <v>8</v>
      </c>
      <c r="Z41" s="172">
        <f>IFERROR(__xludf.DUMMYFUNCTION("""COMPUTED_VALUE"""),757.0)</f>
        <v>757</v>
      </c>
    </row>
    <row r="42">
      <c r="A42" s="234">
        <f>IFERROR(__xludf.DUMMYFUNCTION("""COMPUTED_VALUE"""),43976.0)</f>
        <v>43976</v>
      </c>
      <c r="B42" s="172">
        <f>IFERROR(__xludf.DUMMYFUNCTION("""COMPUTED_VALUE"""),147.0)</f>
        <v>147</v>
      </c>
      <c r="C42" s="172">
        <f>IFERROR(__xludf.DUMMYFUNCTION("""COMPUTED_VALUE"""),188.0)</f>
        <v>188</v>
      </c>
      <c r="D42" s="172">
        <f>IFERROR(__xludf.DUMMYFUNCTION("""COMPUTED_VALUE"""),18487.0)</f>
        <v>18487</v>
      </c>
      <c r="E42" s="172">
        <f>IFERROR(__xludf.DUMMYFUNCTION("""COMPUTED_VALUE"""),1385.0)</f>
        <v>1385</v>
      </c>
      <c r="F42" s="172">
        <f>IFERROR(__xludf.DUMMYFUNCTION("""COMPUTED_VALUE"""),127817.0)</f>
        <v>127817</v>
      </c>
      <c r="G42" s="172">
        <f>IFERROR(__xludf.DUMMYFUNCTION("""COMPUTED_VALUE"""),1532.0)</f>
        <v>1532</v>
      </c>
      <c r="H42" s="172">
        <f>IFERROR(__xludf.DUMMYFUNCTION("""COMPUTED_VALUE"""),146304.0)</f>
        <v>146304</v>
      </c>
      <c r="I42" s="172">
        <f>IFERROR(__xludf.DUMMYFUNCTION("""COMPUTED_VALUE"""),76.0)</f>
        <v>76</v>
      </c>
      <c r="J42" s="172">
        <f>IFERROR(__xludf.DUMMYFUNCTION("""COMPUTED_VALUE"""),89.0)</f>
        <v>89</v>
      </c>
      <c r="K42" s="172">
        <f>IFERROR(__xludf.DUMMYFUNCTION("""COMPUTED_VALUE"""),14190.0)</f>
        <v>14190</v>
      </c>
      <c r="L42" s="172">
        <f>IFERROR(__xludf.DUMMYFUNCTION("""COMPUTED_VALUE"""),759.0)</f>
        <v>759</v>
      </c>
      <c r="M42" s="172">
        <f>IFERROR(__xludf.DUMMYFUNCTION("""COMPUTED_VALUE"""),90009.0)</f>
        <v>90009</v>
      </c>
      <c r="N42" s="172">
        <f>IFERROR(__xludf.DUMMYFUNCTION("""COMPUTED_VALUE"""),104199.0)</f>
        <v>104199</v>
      </c>
      <c r="O42" s="172">
        <f>IFERROR(__xludf.DUMMYFUNCTION("""COMPUTED_VALUE"""),14.0)</f>
        <v>14</v>
      </c>
      <c r="P42" s="172">
        <f>IFERROR(__xludf.DUMMYFUNCTION("""COMPUTED_VALUE"""),1672.0)</f>
        <v>1672</v>
      </c>
      <c r="Q42" s="172">
        <f>IFERROR(__xludf.DUMMYFUNCTION("""COMPUTED_VALUE"""),14.0)</f>
        <v>14</v>
      </c>
      <c r="R42" s="172">
        <f>IFERROR(__xludf.DUMMYFUNCTION("""COMPUTED_VALUE"""),1206.0)</f>
        <v>1206</v>
      </c>
      <c r="S42" s="172">
        <f>IFERROR(__xludf.DUMMYFUNCTION("""COMPUTED_VALUE"""),0.0)</f>
        <v>0</v>
      </c>
      <c r="T42" s="172">
        <f>IFERROR(__xludf.DUMMYFUNCTION("""COMPUTED_VALUE"""),234.0)</f>
        <v>234</v>
      </c>
      <c r="U42" s="172">
        <f>IFERROR(__xludf.DUMMYFUNCTION("""COMPUTED_VALUE"""),232.0)</f>
        <v>232</v>
      </c>
      <c r="V42" s="172">
        <f>IFERROR(__xludf.DUMMYFUNCTION("""COMPUTED_VALUE"""),233.0)</f>
        <v>233</v>
      </c>
      <c r="W42" s="172">
        <f>IFERROR(__xludf.DUMMYFUNCTION("""COMPUTED_VALUE"""),53.0)</f>
        <v>53</v>
      </c>
      <c r="X42" s="172">
        <f>IFERROR(__xludf.DUMMYFUNCTION("""COMPUTED_VALUE"""),34.0)</f>
        <v>34</v>
      </c>
      <c r="Y42" s="172">
        <f>IFERROR(__xludf.DUMMYFUNCTION("""COMPUTED_VALUE"""),10.0)</f>
        <v>10</v>
      </c>
      <c r="Z42" s="172">
        <f>IFERROR(__xludf.DUMMYFUNCTION("""COMPUTED_VALUE"""),767.0)</f>
        <v>767</v>
      </c>
    </row>
    <row r="43">
      <c r="A43" s="234">
        <f>IFERROR(__xludf.DUMMYFUNCTION("""COMPUTED_VALUE"""),43977.0)</f>
        <v>43977</v>
      </c>
      <c r="B43" s="172">
        <f>IFERROR(__xludf.DUMMYFUNCTION("""COMPUTED_VALUE"""),285.0)</f>
        <v>285</v>
      </c>
      <c r="C43" s="172">
        <f>IFERROR(__xludf.DUMMYFUNCTION("""COMPUTED_VALUE"""),198.0)</f>
        <v>198</v>
      </c>
      <c r="D43" s="172">
        <f>IFERROR(__xludf.DUMMYFUNCTION("""COMPUTED_VALUE"""),18772.0)</f>
        <v>18772</v>
      </c>
      <c r="E43" s="172">
        <f>IFERROR(__xludf.DUMMYFUNCTION("""COMPUTED_VALUE"""),2620.0)</f>
        <v>2620</v>
      </c>
      <c r="F43" s="172">
        <f>IFERROR(__xludf.DUMMYFUNCTION("""COMPUTED_VALUE"""),130437.0)</f>
        <v>130437</v>
      </c>
      <c r="G43" s="172">
        <f>IFERROR(__xludf.DUMMYFUNCTION("""COMPUTED_VALUE"""),2905.0)</f>
        <v>2905</v>
      </c>
      <c r="H43" s="172">
        <f>IFERROR(__xludf.DUMMYFUNCTION("""COMPUTED_VALUE"""),149209.0)</f>
        <v>149209</v>
      </c>
      <c r="I43" s="172">
        <f>IFERROR(__xludf.DUMMYFUNCTION("""COMPUTED_VALUE"""),158.0)</f>
        <v>158</v>
      </c>
      <c r="J43" s="172">
        <f>IFERROR(__xludf.DUMMYFUNCTION("""COMPUTED_VALUE"""),106.0)</f>
        <v>106</v>
      </c>
      <c r="K43" s="172">
        <f>IFERROR(__xludf.DUMMYFUNCTION("""COMPUTED_VALUE"""),14348.0)</f>
        <v>14348</v>
      </c>
      <c r="L43" s="172">
        <f>IFERROR(__xludf.DUMMYFUNCTION("""COMPUTED_VALUE"""),1772.0)</f>
        <v>1772</v>
      </c>
      <c r="M43" s="172">
        <f>IFERROR(__xludf.DUMMYFUNCTION("""COMPUTED_VALUE"""),91781.0)</f>
        <v>91781</v>
      </c>
      <c r="N43" s="172">
        <f>IFERROR(__xludf.DUMMYFUNCTION("""COMPUTED_VALUE"""),106129.0)</f>
        <v>106129</v>
      </c>
      <c r="O43" s="172">
        <f>IFERROR(__xludf.DUMMYFUNCTION("""COMPUTED_VALUE"""),24.0)</f>
        <v>24</v>
      </c>
      <c r="P43" s="172">
        <f>IFERROR(__xludf.DUMMYFUNCTION("""COMPUTED_VALUE"""),1696.0)</f>
        <v>1696</v>
      </c>
      <c r="Q43" s="172">
        <f>IFERROR(__xludf.DUMMYFUNCTION("""COMPUTED_VALUE"""),22.0)</f>
        <v>22</v>
      </c>
      <c r="R43" s="172">
        <f>IFERROR(__xludf.DUMMYFUNCTION("""COMPUTED_VALUE"""),1228.0)</f>
        <v>1228</v>
      </c>
      <c r="S43" s="172">
        <f>IFERROR(__xludf.DUMMYFUNCTION("""COMPUTED_VALUE"""),5.0)</f>
        <v>5</v>
      </c>
      <c r="T43" s="172">
        <f>IFERROR(__xludf.DUMMYFUNCTION("""COMPUTED_VALUE"""),239.0)</f>
        <v>239</v>
      </c>
      <c r="U43" s="172">
        <f>IFERROR(__xludf.DUMMYFUNCTION("""COMPUTED_VALUE"""),229.0)</f>
        <v>229</v>
      </c>
      <c r="V43" s="172">
        <f>IFERROR(__xludf.DUMMYFUNCTION("""COMPUTED_VALUE"""),231.0)</f>
        <v>231</v>
      </c>
      <c r="W43" s="172">
        <f>IFERROR(__xludf.DUMMYFUNCTION("""COMPUTED_VALUE"""),48.0)</f>
        <v>48</v>
      </c>
      <c r="X43" s="172">
        <f>IFERROR(__xludf.DUMMYFUNCTION("""COMPUTED_VALUE"""),33.0)</f>
        <v>33</v>
      </c>
      <c r="Y43" s="172">
        <f>IFERROR(__xludf.DUMMYFUNCTION("""COMPUTED_VALUE"""),15.0)</f>
        <v>15</v>
      </c>
      <c r="Z43" s="172">
        <f>IFERROR(__xludf.DUMMYFUNCTION("""COMPUTED_VALUE"""),782.0)</f>
        <v>782</v>
      </c>
    </row>
    <row r="44">
      <c r="A44" s="234">
        <f>IFERROR(__xludf.DUMMYFUNCTION("""COMPUTED_VALUE"""),43978.0)</f>
        <v>43978</v>
      </c>
      <c r="B44" s="172">
        <f>IFERROR(__xludf.DUMMYFUNCTION("""COMPUTED_VALUE"""),276.0)</f>
        <v>276</v>
      </c>
      <c r="C44" s="172">
        <f>IFERROR(__xludf.DUMMYFUNCTION("""COMPUTED_VALUE"""),236.0)</f>
        <v>236</v>
      </c>
      <c r="D44" s="172">
        <f>IFERROR(__xludf.DUMMYFUNCTION("""COMPUTED_VALUE"""),19048.0)</f>
        <v>19048</v>
      </c>
      <c r="E44" s="172">
        <f>IFERROR(__xludf.DUMMYFUNCTION("""COMPUTED_VALUE"""),2057.0)</f>
        <v>2057</v>
      </c>
      <c r="F44" s="172">
        <f>IFERROR(__xludf.DUMMYFUNCTION("""COMPUTED_VALUE"""),132494.0)</f>
        <v>132494</v>
      </c>
      <c r="G44" s="172">
        <f>IFERROR(__xludf.DUMMYFUNCTION("""COMPUTED_VALUE"""),2333.0)</f>
        <v>2333</v>
      </c>
      <c r="H44" s="172">
        <f>IFERROR(__xludf.DUMMYFUNCTION("""COMPUTED_VALUE"""),151542.0)</f>
        <v>151542</v>
      </c>
      <c r="I44" s="172">
        <f>IFERROR(__xludf.DUMMYFUNCTION("""COMPUTED_VALUE"""),132.0)</f>
        <v>132</v>
      </c>
      <c r="J44" s="172">
        <f>IFERROR(__xludf.DUMMYFUNCTION("""COMPUTED_VALUE"""),122.0)</f>
        <v>122</v>
      </c>
      <c r="K44" s="172">
        <f>IFERROR(__xludf.DUMMYFUNCTION("""COMPUTED_VALUE"""),14480.0)</f>
        <v>14480</v>
      </c>
      <c r="L44" s="172">
        <f>IFERROR(__xludf.DUMMYFUNCTION("""COMPUTED_VALUE"""),1126.0)</f>
        <v>1126</v>
      </c>
      <c r="M44" s="172">
        <f>IFERROR(__xludf.DUMMYFUNCTION("""COMPUTED_VALUE"""),92907.0)</f>
        <v>92907</v>
      </c>
      <c r="N44" s="172">
        <f>IFERROR(__xludf.DUMMYFUNCTION("""COMPUTED_VALUE"""),107387.0)</f>
        <v>107387</v>
      </c>
      <c r="O44" s="172">
        <f>IFERROR(__xludf.DUMMYFUNCTION("""COMPUTED_VALUE"""),20.0)</f>
        <v>20</v>
      </c>
      <c r="P44" s="172">
        <f>IFERROR(__xludf.DUMMYFUNCTION("""COMPUTED_VALUE"""),1716.0)</f>
        <v>1716</v>
      </c>
      <c r="Q44" s="172">
        <f>IFERROR(__xludf.DUMMYFUNCTION("""COMPUTED_VALUE"""),18.0)</f>
        <v>18</v>
      </c>
      <c r="R44" s="172">
        <f>IFERROR(__xludf.DUMMYFUNCTION("""COMPUTED_VALUE"""),1246.0)</f>
        <v>1246</v>
      </c>
      <c r="S44" s="172">
        <f>IFERROR(__xludf.DUMMYFUNCTION("""COMPUTED_VALUE"""),3.0)</f>
        <v>3</v>
      </c>
      <c r="T44" s="172">
        <f>IFERROR(__xludf.DUMMYFUNCTION("""COMPUTED_VALUE"""),242.0)</f>
        <v>242</v>
      </c>
      <c r="U44" s="172">
        <f>IFERROR(__xludf.DUMMYFUNCTION("""COMPUTED_VALUE"""),228.0)</f>
        <v>228</v>
      </c>
      <c r="V44" s="172">
        <f>IFERROR(__xludf.DUMMYFUNCTION("""COMPUTED_VALUE"""),230.0)</f>
        <v>230</v>
      </c>
      <c r="W44" s="172">
        <f>IFERROR(__xludf.DUMMYFUNCTION("""COMPUTED_VALUE"""),50.0)</f>
        <v>50</v>
      </c>
      <c r="X44" s="172">
        <f>IFERROR(__xludf.DUMMYFUNCTION("""COMPUTED_VALUE"""),33.0)</f>
        <v>33</v>
      </c>
      <c r="Y44" s="172">
        <f>IFERROR(__xludf.DUMMYFUNCTION("""COMPUTED_VALUE"""),10.0)</f>
        <v>10</v>
      </c>
      <c r="Z44" s="172">
        <f>IFERROR(__xludf.DUMMYFUNCTION("""COMPUTED_VALUE"""),792.0)</f>
        <v>792</v>
      </c>
    </row>
    <row r="45">
      <c r="A45" s="234">
        <f>IFERROR(__xludf.DUMMYFUNCTION("""COMPUTED_VALUE"""),43979.0)</f>
        <v>43979</v>
      </c>
      <c r="B45" s="172">
        <f>IFERROR(__xludf.DUMMYFUNCTION("""COMPUTED_VALUE"""),348.0)</f>
        <v>348</v>
      </c>
      <c r="C45" s="172">
        <f>IFERROR(__xludf.DUMMYFUNCTION("""COMPUTED_VALUE"""),303.0)</f>
        <v>303</v>
      </c>
      <c r="D45" s="172">
        <f>IFERROR(__xludf.DUMMYFUNCTION("""COMPUTED_VALUE"""),19396.0)</f>
        <v>19396</v>
      </c>
      <c r="E45" s="172">
        <f>IFERROR(__xludf.DUMMYFUNCTION("""COMPUTED_VALUE"""),3359.0)</f>
        <v>3359</v>
      </c>
      <c r="F45" s="172">
        <f>IFERROR(__xludf.DUMMYFUNCTION("""COMPUTED_VALUE"""),135853.0)</f>
        <v>135853</v>
      </c>
      <c r="G45" s="172">
        <f>IFERROR(__xludf.DUMMYFUNCTION("""COMPUTED_VALUE"""),3707.0)</f>
        <v>3707</v>
      </c>
      <c r="H45" s="172">
        <f>IFERROR(__xludf.DUMMYFUNCTION("""COMPUTED_VALUE"""),155249.0)</f>
        <v>155249</v>
      </c>
      <c r="I45" s="172">
        <f>IFERROR(__xludf.DUMMYFUNCTION("""COMPUTED_VALUE"""),130.0)</f>
        <v>130</v>
      </c>
      <c r="J45" s="172">
        <f>IFERROR(__xludf.DUMMYFUNCTION("""COMPUTED_VALUE"""),140.0)</f>
        <v>140</v>
      </c>
      <c r="K45" s="172">
        <f>IFERROR(__xludf.DUMMYFUNCTION("""COMPUTED_VALUE"""),14610.0)</f>
        <v>14610</v>
      </c>
      <c r="L45" s="172">
        <f>IFERROR(__xludf.DUMMYFUNCTION("""COMPUTED_VALUE"""),1111.0)</f>
        <v>1111</v>
      </c>
      <c r="M45" s="172">
        <f>IFERROR(__xludf.DUMMYFUNCTION("""COMPUTED_VALUE"""),94018.0)</f>
        <v>94018</v>
      </c>
      <c r="N45" s="172">
        <f>IFERROR(__xludf.DUMMYFUNCTION("""COMPUTED_VALUE"""),108628.0)</f>
        <v>108628</v>
      </c>
      <c r="O45" s="172">
        <f>IFERROR(__xludf.DUMMYFUNCTION("""COMPUTED_VALUE"""),17.0)</f>
        <v>17</v>
      </c>
      <c r="P45" s="172">
        <f>IFERROR(__xludf.DUMMYFUNCTION("""COMPUTED_VALUE"""),1733.0)</f>
        <v>1733</v>
      </c>
      <c r="Q45" s="172">
        <f>IFERROR(__xludf.DUMMYFUNCTION("""COMPUTED_VALUE"""),29.0)</f>
        <v>29</v>
      </c>
      <c r="R45" s="172">
        <f>IFERROR(__xludf.DUMMYFUNCTION("""COMPUTED_VALUE"""),1275.0)</f>
        <v>1275</v>
      </c>
      <c r="S45" s="172">
        <f>IFERROR(__xludf.DUMMYFUNCTION("""COMPUTED_VALUE"""),4.0)</f>
        <v>4</v>
      </c>
      <c r="T45" s="172">
        <f>IFERROR(__xludf.DUMMYFUNCTION("""COMPUTED_VALUE"""),246.0)</f>
        <v>246</v>
      </c>
      <c r="U45" s="172">
        <f>IFERROR(__xludf.DUMMYFUNCTION("""COMPUTED_VALUE"""),212.0)</f>
        <v>212</v>
      </c>
      <c r="V45" s="172">
        <f>IFERROR(__xludf.DUMMYFUNCTION("""COMPUTED_VALUE"""),223.0)</f>
        <v>223</v>
      </c>
      <c r="W45" s="172">
        <f>IFERROR(__xludf.DUMMYFUNCTION("""COMPUTED_VALUE"""),47.0)</f>
        <v>47</v>
      </c>
      <c r="X45" s="172">
        <f>IFERROR(__xludf.DUMMYFUNCTION("""COMPUTED_VALUE"""),32.0)</f>
        <v>32</v>
      </c>
      <c r="Y45" s="172">
        <f>IFERROR(__xludf.DUMMYFUNCTION("""COMPUTED_VALUE"""),8.0)</f>
        <v>8</v>
      </c>
      <c r="Z45" s="172">
        <f>IFERROR(__xludf.DUMMYFUNCTION("""COMPUTED_VALUE"""),800.0)</f>
        <v>800</v>
      </c>
    </row>
    <row r="46">
      <c r="A46" s="234">
        <f>IFERROR(__xludf.DUMMYFUNCTION("""COMPUTED_VALUE"""),43980.0)</f>
        <v>43980</v>
      </c>
      <c r="B46" s="172">
        <f>IFERROR(__xludf.DUMMYFUNCTION("""COMPUTED_VALUE"""),410.0)</f>
        <v>410</v>
      </c>
      <c r="C46" s="172">
        <f>IFERROR(__xludf.DUMMYFUNCTION("""COMPUTED_VALUE"""),345.0)</f>
        <v>345</v>
      </c>
      <c r="D46" s="172">
        <f>IFERROR(__xludf.DUMMYFUNCTION("""COMPUTED_VALUE"""),19806.0)</f>
        <v>19806</v>
      </c>
      <c r="E46" s="172">
        <f>IFERROR(__xludf.DUMMYFUNCTION("""COMPUTED_VALUE"""),3915.0)</f>
        <v>3915</v>
      </c>
      <c r="F46" s="172">
        <f>IFERROR(__xludf.DUMMYFUNCTION("""COMPUTED_VALUE"""),139768.0)</f>
        <v>139768</v>
      </c>
      <c r="G46" s="172">
        <f>IFERROR(__xludf.DUMMYFUNCTION("""COMPUTED_VALUE"""),4325.0)</f>
        <v>4325</v>
      </c>
      <c r="H46" s="172">
        <f>IFERROR(__xludf.DUMMYFUNCTION("""COMPUTED_VALUE"""),159574.0)</f>
        <v>159574</v>
      </c>
      <c r="I46" s="172">
        <f>IFERROR(__xludf.DUMMYFUNCTION("""COMPUTED_VALUE"""),174.0)</f>
        <v>174</v>
      </c>
      <c r="J46" s="172">
        <f>IFERROR(__xludf.DUMMYFUNCTION("""COMPUTED_VALUE"""),145.0)</f>
        <v>145</v>
      </c>
      <c r="K46" s="172">
        <f>IFERROR(__xludf.DUMMYFUNCTION("""COMPUTED_VALUE"""),14784.0)</f>
        <v>14784</v>
      </c>
      <c r="L46" s="172">
        <f>IFERROR(__xludf.DUMMYFUNCTION("""COMPUTED_VALUE"""),1565.0)</f>
        <v>1565</v>
      </c>
      <c r="M46" s="172">
        <f>IFERROR(__xludf.DUMMYFUNCTION("""COMPUTED_VALUE"""),95583.0)</f>
        <v>95583</v>
      </c>
      <c r="N46" s="172">
        <f>IFERROR(__xludf.DUMMYFUNCTION("""COMPUTED_VALUE"""),110367.0)</f>
        <v>110367</v>
      </c>
      <c r="O46" s="172">
        <f>IFERROR(__xludf.DUMMYFUNCTION("""COMPUTED_VALUE"""),19.0)</f>
        <v>19</v>
      </c>
      <c r="P46" s="172">
        <f>IFERROR(__xludf.DUMMYFUNCTION("""COMPUTED_VALUE"""),1752.0)</f>
        <v>1752</v>
      </c>
      <c r="Q46" s="172">
        <f>IFERROR(__xludf.DUMMYFUNCTION("""COMPUTED_VALUE"""),27.0)</f>
        <v>27</v>
      </c>
      <c r="R46" s="172">
        <f>IFERROR(__xludf.DUMMYFUNCTION("""COMPUTED_VALUE"""),1302.0)</f>
        <v>1302</v>
      </c>
      <c r="S46" s="172">
        <f>IFERROR(__xludf.DUMMYFUNCTION("""COMPUTED_VALUE"""),6.0)</f>
        <v>6</v>
      </c>
      <c r="T46" s="172">
        <f>IFERROR(__xludf.DUMMYFUNCTION("""COMPUTED_VALUE"""),252.0)</f>
        <v>252</v>
      </c>
      <c r="U46" s="172">
        <f>IFERROR(__xludf.DUMMYFUNCTION("""COMPUTED_VALUE"""),198.0)</f>
        <v>198</v>
      </c>
      <c r="V46" s="172">
        <f>IFERROR(__xludf.DUMMYFUNCTION("""COMPUTED_VALUE"""),213.0)</f>
        <v>213</v>
      </c>
      <c r="W46" s="172">
        <f>IFERROR(__xludf.DUMMYFUNCTION("""COMPUTED_VALUE"""),43.0)</f>
        <v>43</v>
      </c>
      <c r="X46" s="172">
        <f>IFERROR(__xludf.DUMMYFUNCTION("""COMPUTED_VALUE"""),31.0)</f>
        <v>31</v>
      </c>
      <c r="Y46" s="172">
        <f>IFERROR(__xludf.DUMMYFUNCTION("""COMPUTED_VALUE"""),12.0)</f>
        <v>12</v>
      </c>
      <c r="Z46" s="172">
        <f>IFERROR(__xludf.DUMMYFUNCTION("""COMPUTED_VALUE"""),812.0)</f>
        <v>812</v>
      </c>
    </row>
    <row r="47">
      <c r="A47" s="234">
        <f>IFERROR(__xludf.DUMMYFUNCTION("""COMPUTED_VALUE"""),43981.0)</f>
        <v>43981</v>
      </c>
      <c r="B47" s="172">
        <f>IFERROR(__xludf.DUMMYFUNCTION("""COMPUTED_VALUE"""),225.0)</f>
        <v>225</v>
      </c>
      <c r="C47" s="172">
        <f>IFERROR(__xludf.DUMMYFUNCTION("""COMPUTED_VALUE"""),328.0)</f>
        <v>328</v>
      </c>
      <c r="D47" s="172">
        <f>IFERROR(__xludf.DUMMYFUNCTION("""COMPUTED_VALUE"""),20031.0)</f>
        <v>20031</v>
      </c>
      <c r="E47" s="172">
        <f>IFERROR(__xludf.DUMMYFUNCTION("""COMPUTED_VALUE"""),3915.0)</f>
        <v>3915</v>
      </c>
      <c r="F47" s="172">
        <f>IFERROR(__xludf.DUMMYFUNCTION("""COMPUTED_VALUE"""),143683.0)</f>
        <v>143683</v>
      </c>
      <c r="G47" s="172">
        <f>IFERROR(__xludf.DUMMYFUNCTION("""COMPUTED_VALUE"""),4140.0)</f>
        <v>4140</v>
      </c>
      <c r="H47" s="172">
        <f>IFERROR(__xludf.DUMMYFUNCTION("""COMPUTED_VALUE"""),163714.0)</f>
        <v>163714</v>
      </c>
      <c r="I47" s="172">
        <f>IFERROR(__xludf.DUMMYFUNCTION("""COMPUTED_VALUE"""),109.0)</f>
        <v>109</v>
      </c>
      <c r="J47" s="172">
        <f>IFERROR(__xludf.DUMMYFUNCTION("""COMPUTED_VALUE"""),138.0)</f>
        <v>138</v>
      </c>
      <c r="K47" s="172">
        <f>IFERROR(__xludf.DUMMYFUNCTION("""COMPUTED_VALUE"""),14893.0)</f>
        <v>14893</v>
      </c>
      <c r="L47" s="172">
        <f>IFERROR(__xludf.DUMMYFUNCTION("""COMPUTED_VALUE"""),1809.0)</f>
        <v>1809</v>
      </c>
      <c r="M47" s="172">
        <f>IFERROR(__xludf.DUMMYFUNCTION("""COMPUTED_VALUE"""),97392.0)</f>
        <v>97392</v>
      </c>
      <c r="N47" s="172">
        <f>IFERROR(__xludf.DUMMYFUNCTION("""COMPUTED_VALUE"""),112285.0)</f>
        <v>112285</v>
      </c>
      <c r="O47" s="172">
        <f>IFERROR(__xludf.DUMMYFUNCTION("""COMPUTED_VALUE"""),16.0)</f>
        <v>16</v>
      </c>
      <c r="P47" s="172">
        <f>IFERROR(__xludf.DUMMYFUNCTION("""COMPUTED_VALUE"""),1768.0)</f>
        <v>1768</v>
      </c>
      <c r="Q47" s="172">
        <f>IFERROR(__xludf.DUMMYFUNCTION("""COMPUTED_VALUE"""),19.0)</f>
        <v>19</v>
      </c>
      <c r="R47" s="172">
        <f>IFERROR(__xludf.DUMMYFUNCTION("""COMPUTED_VALUE"""),1321.0)</f>
        <v>1321</v>
      </c>
      <c r="S47" s="172">
        <f>IFERROR(__xludf.DUMMYFUNCTION("""COMPUTED_VALUE"""),4.0)</f>
        <v>4</v>
      </c>
      <c r="T47" s="172">
        <f>IFERROR(__xludf.DUMMYFUNCTION("""COMPUTED_VALUE"""),256.0)</f>
        <v>256</v>
      </c>
      <c r="U47" s="172">
        <f>IFERROR(__xludf.DUMMYFUNCTION("""COMPUTED_VALUE"""),191.0)</f>
        <v>191</v>
      </c>
      <c r="V47" s="172">
        <f>IFERROR(__xludf.DUMMYFUNCTION("""COMPUTED_VALUE"""),200.0)</f>
        <v>200</v>
      </c>
      <c r="W47" s="172">
        <f>IFERROR(__xludf.DUMMYFUNCTION("""COMPUTED_VALUE"""),41.0)</f>
        <v>41</v>
      </c>
      <c r="X47" s="172">
        <f>IFERROR(__xludf.DUMMYFUNCTION("""COMPUTED_VALUE"""),29.0)</f>
        <v>29</v>
      </c>
      <c r="Y47" s="172">
        <f>IFERROR(__xludf.DUMMYFUNCTION("""COMPUTED_VALUE"""),12.0)</f>
        <v>12</v>
      </c>
      <c r="Z47" s="172">
        <f>IFERROR(__xludf.DUMMYFUNCTION("""COMPUTED_VALUE"""),824.0)</f>
        <v>824</v>
      </c>
    </row>
    <row r="48">
      <c r="A48" s="234">
        <f>IFERROR(__xludf.DUMMYFUNCTION("""COMPUTED_VALUE"""),43982.0)</f>
        <v>43982</v>
      </c>
      <c r="B48" s="172">
        <f>IFERROR(__xludf.DUMMYFUNCTION("""COMPUTED_VALUE"""),155.0)</f>
        <v>155</v>
      </c>
      <c r="C48" s="172">
        <f>IFERROR(__xludf.DUMMYFUNCTION("""COMPUTED_VALUE"""),263.0)</f>
        <v>263</v>
      </c>
      <c r="D48" s="172">
        <f>IFERROR(__xludf.DUMMYFUNCTION("""COMPUTED_VALUE"""),20186.0)</f>
        <v>20186</v>
      </c>
      <c r="E48" s="172">
        <f>IFERROR(__xludf.DUMMYFUNCTION("""COMPUTED_VALUE"""),1689.0)</f>
        <v>1689</v>
      </c>
      <c r="F48" s="172">
        <f>IFERROR(__xludf.DUMMYFUNCTION("""COMPUTED_VALUE"""),145372.0)</f>
        <v>145372</v>
      </c>
      <c r="G48" s="172">
        <f>IFERROR(__xludf.DUMMYFUNCTION("""COMPUTED_VALUE"""),1844.0)</f>
        <v>1844</v>
      </c>
      <c r="H48" s="172">
        <f>IFERROR(__xludf.DUMMYFUNCTION("""COMPUTED_VALUE"""),165558.0)</f>
        <v>165558</v>
      </c>
      <c r="I48" s="172">
        <f>IFERROR(__xludf.DUMMYFUNCTION("""COMPUTED_VALUE"""),78.0)</f>
        <v>78</v>
      </c>
      <c r="J48" s="172">
        <f>IFERROR(__xludf.DUMMYFUNCTION("""COMPUTED_VALUE"""),120.0)</f>
        <v>120</v>
      </c>
      <c r="K48" s="172">
        <f>IFERROR(__xludf.DUMMYFUNCTION("""COMPUTED_VALUE"""),14971.0)</f>
        <v>14971</v>
      </c>
      <c r="L48" s="172">
        <f>IFERROR(__xludf.DUMMYFUNCTION("""COMPUTED_VALUE"""),851.0)</f>
        <v>851</v>
      </c>
      <c r="M48" s="172">
        <f>IFERROR(__xludf.DUMMYFUNCTION("""COMPUTED_VALUE"""),98243.0)</f>
        <v>98243</v>
      </c>
      <c r="N48" s="172">
        <f>IFERROR(__xludf.DUMMYFUNCTION("""COMPUTED_VALUE"""),113214.0)</f>
        <v>113214</v>
      </c>
      <c r="O48" s="172">
        <f>IFERROR(__xludf.DUMMYFUNCTION("""COMPUTED_VALUE"""),11.0)</f>
        <v>11</v>
      </c>
      <c r="P48" s="172">
        <f>IFERROR(__xludf.DUMMYFUNCTION("""COMPUTED_VALUE"""),1779.0)</f>
        <v>1779</v>
      </c>
      <c r="Q48" s="172">
        <f>IFERROR(__xludf.DUMMYFUNCTION("""COMPUTED_VALUE"""),10.0)</f>
        <v>10</v>
      </c>
      <c r="R48" s="172">
        <f>IFERROR(__xludf.DUMMYFUNCTION("""COMPUTED_VALUE"""),1331.0)</f>
        <v>1331</v>
      </c>
      <c r="S48" s="172">
        <f>IFERROR(__xludf.DUMMYFUNCTION("""COMPUTED_VALUE"""),1.0)</f>
        <v>1</v>
      </c>
      <c r="T48" s="172">
        <f>IFERROR(__xludf.DUMMYFUNCTION("""COMPUTED_VALUE"""),257.0)</f>
        <v>257</v>
      </c>
      <c r="U48" s="172">
        <f>IFERROR(__xludf.DUMMYFUNCTION("""COMPUTED_VALUE"""),191.0)</f>
        <v>191</v>
      </c>
      <c r="V48" s="172">
        <f>IFERROR(__xludf.DUMMYFUNCTION("""COMPUTED_VALUE"""),193.0)</f>
        <v>193</v>
      </c>
      <c r="W48" s="172">
        <f>IFERROR(__xludf.DUMMYFUNCTION("""COMPUTED_VALUE"""),44.0)</f>
        <v>44</v>
      </c>
      <c r="X48" s="172">
        <f>IFERROR(__xludf.DUMMYFUNCTION("""COMPUTED_VALUE"""),26.0)</f>
        <v>26</v>
      </c>
      <c r="Y48" s="172">
        <f>IFERROR(__xludf.DUMMYFUNCTION("""COMPUTED_VALUE"""),3.0)</f>
        <v>3</v>
      </c>
      <c r="Z48" s="172">
        <f>IFERROR(__xludf.DUMMYFUNCTION("""COMPUTED_VALUE"""),827.0)</f>
        <v>827</v>
      </c>
    </row>
    <row r="49">
      <c r="A49" s="234">
        <f>IFERROR(__xludf.DUMMYFUNCTION("""COMPUTED_VALUE"""),43983.0)</f>
        <v>43983</v>
      </c>
      <c r="B49" s="172">
        <f>IFERROR(__xludf.DUMMYFUNCTION("""COMPUTED_VALUE"""),212.0)</f>
        <v>212</v>
      </c>
      <c r="C49" s="172">
        <f>IFERROR(__xludf.DUMMYFUNCTION("""COMPUTED_VALUE"""),197.0)</f>
        <v>197</v>
      </c>
      <c r="D49" s="172">
        <f>IFERROR(__xludf.DUMMYFUNCTION("""COMPUTED_VALUE"""),20398.0)</f>
        <v>20398</v>
      </c>
      <c r="E49" s="172">
        <f>IFERROR(__xludf.DUMMYFUNCTION("""COMPUTED_VALUE"""),2792.0)</f>
        <v>2792</v>
      </c>
      <c r="F49" s="172">
        <f>IFERROR(__xludf.DUMMYFUNCTION("""COMPUTED_VALUE"""),148164.0)</f>
        <v>148164</v>
      </c>
      <c r="G49" s="172">
        <f>IFERROR(__xludf.DUMMYFUNCTION("""COMPUTED_VALUE"""),3004.0)</f>
        <v>3004</v>
      </c>
      <c r="H49" s="172">
        <f>IFERROR(__xludf.DUMMYFUNCTION("""COMPUTED_VALUE"""),168562.0)</f>
        <v>168562</v>
      </c>
      <c r="I49" s="172">
        <f>IFERROR(__xludf.DUMMYFUNCTION("""COMPUTED_VALUE"""),93.0)</f>
        <v>93</v>
      </c>
      <c r="J49" s="172">
        <f>IFERROR(__xludf.DUMMYFUNCTION("""COMPUTED_VALUE"""),93.0)</f>
        <v>93</v>
      </c>
      <c r="K49" s="172">
        <f>IFERROR(__xludf.DUMMYFUNCTION("""COMPUTED_VALUE"""),15064.0)</f>
        <v>15064</v>
      </c>
      <c r="L49" s="172">
        <f>IFERROR(__xludf.DUMMYFUNCTION("""COMPUTED_VALUE"""),1375.0)</f>
        <v>1375</v>
      </c>
      <c r="M49" s="172">
        <f>IFERROR(__xludf.DUMMYFUNCTION("""COMPUTED_VALUE"""),99618.0)</f>
        <v>99618</v>
      </c>
      <c r="N49" s="172">
        <f>IFERROR(__xludf.DUMMYFUNCTION("""COMPUTED_VALUE"""),114682.0)</f>
        <v>114682</v>
      </c>
      <c r="O49" s="172">
        <f>IFERROR(__xludf.DUMMYFUNCTION("""COMPUTED_VALUE"""),8.0)</f>
        <v>8</v>
      </c>
      <c r="P49" s="172">
        <f>IFERROR(__xludf.DUMMYFUNCTION("""COMPUTED_VALUE"""),1787.0)</f>
        <v>1787</v>
      </c>
      <c r="Q49" s="172">
        <f>IFERROR(__xludf.DUMMYFUNCTION("""COMPUTED_VALUE"""),14.0)</f>
        <v>14</v>
      </c>
      <c r="R49" s="172">
        <f>IFERROR(__xludf.DUMMYFUNCTION("""COMPUTED_VALUE"""),1345.0)</f>
        <v>1345</v>
      </c>
      <c r="S49" s="172">
        <f>IFERROR(__xludf.DUMMYFUNCTION("""COMPUTED_VALUE"""),1.0)</f>
        <v>1</v>
      </c>
      <c r="T49" s="172">
        <f>IFERROR(__xludf.DUMMYFUNCTION("""COMPUTED_VALUE"""),258.0)</f>
        <v>258</v>
      </c>
      <c r="U49" s="172">
        <f>IFERROR(__xludf.DUMMYFUNCTION("""COMPUTED_VALUE"""),184.0)</f>
        <v>184</v>
      </c>
      <c r="V49" s="172">
        <f>IFERROR(__xludf.DUMMYFUNCTION("""COMPUTED_VALUE"""),189.0)</f>
        <v>189</v>
      </c>
      <c r="W49" s="172">
        <f>IFERROR(__xludf.DUMMYFUNCTION("""COMPUTED_VALUE"""),45.0)</f>
        <v>45</v>
      </c>
      <c r="X49" s="172">
        <f>IFERROR(__xludf.DUMMYFUNCTION("""COMPUTED_VALUE"""),29.0)</f>
        <v>29</v>
      </c>
      <c r="Y49" s="172">
        <f>IFERROR(__xludf.DUMMYFUNCTION("""COMPUTED_VALUE"""),5.0)</f>
        <v>5</v>
      </c>
      <c r="Z49" s="172">
        <f>IFERROR(__xludf.DUMMYFUNCTION("""COMPUTED_VALUE"""),832.0)</f>
        <v>832</v>
      </c>
    </row>
    <row r="50">
      <c r="A50" s="234">
        <f>IFERROR(__xludf.DUMMYFUNCTION("""COMPUTED_VALUE"""),43984.0)</f>
        <v>43984</v>
      </c>
      <c r="B50" s="172">
        <f>IFERROR(__xludf.DUMMYFUNCTION("""COMPUTED_VALUE"""),273.0)</f>
        <v>273</v>
      </c>
      <c r="C50" s="172">
        <f>IFERROR(__xludf.DUMMYFUNCTION("""COMPUTED_VALUE"""),213.0)</f>
        <v>213</v>
      </c>
      <c r="D50" s="172">
        <f>IFERROR(__xludf.DUMMYFUNCTION("""COMPUTED_VALUE"""),20671.0)</f>
        <v>20671</v>
      </c>
      <c r="E50" s="172">
        <f>IFERROR(__xludf.DUMMYFUNCTION("""COMPUTED_VALUE"""),3022.0)</f>
        <v>3022</v>
      </c>
      <c r="F50" s="172">
        <f>IFERROR(__xludf.DUMMYFUNCTION("""COMPUTED_VALUE"""),151186.0)</f>
        <v>151186</v>
      </c>
      <c r="G50" s="172">
        <f>IFERROR(__xludf.DUMMYFUNCTION("""COMPUTED_VALUE"""),3295.0)</f>
        <v>3295</v>
      </c>
      <c r="H50" s="172">
        <f>IFERROR(__xludf.DUMMYFUNCTION("""COMPUTED_VALUE"""),171857.0)</f>
        <v>171857</v>
      </c>
      <c r="I50" s="172">
        <f>IFERROR(__xludf.DUMMYFUNCTION("""COMPUTED_VALUE"""),98.0)</f>
        <v>98</v>
      </c>
      <c r="J50" s="172">
        <f>IFERROR(__xludf.DUMMYFUNCTION("""COMPUTED_VALUE"""),90.0)</f>
        <v>90</v>
      </c>
      <c r="K50" s="172">
        <f>IFERROR(__xludf.DUMMYFUNCTION("""COMPUTED_VALUE"""),15162.0)</f>
        <v>15162</v>
      </c>
      <c r="L50" s="172">
        <f>IFERROR(__xludf.DUMMYFUNCTION("""COMPUTED_VALUE"""),1431.0)</f>
        <v>1431</v>
      </c>
      <c r="M50" s="172">
        <f>IFERROR(__xludf.DUMMYFUNCTION("""COMPUTED_VALUE"""),101049.0)</f>
        <v>101049</v>
      </c>
      <c r="N50" s="172">
        <f>IFERROR(__xludf.DUMMYFUNCTION("""COMPUTED_VALUE"""),116211.0)</f>
        <v>116211</v>
      </c>
      <c r="O50" s="172">
        <f>IFERROR(__xludf.DUMMYFUNCTION("""COMPUTED_VALUE"""),8.0)</f>
        <v>8</v>
      </c>
      <c r="P50" s="172">
        <f>IFERROR(__xludf.DUMMYFUNCTION("""COMPUTED_VALUE"""),1795.0)</f>
        <v>1795</v>
      </c>
      <c r="Q50" s="172">
        <f>IFERROR(__xludf.DUMMYFUNCTION("""COMPUTED_VALUE"""),10.0)</f>
        <v>10</v>
      </c>
      <c r="R50" s="172">
        <f>IFERROR(__xludf.DUMMYFUNCTION("""COMPUTED_VALUE"""),1355.0)</f>
        <v>1355</v>
      </c>
      <c r="S50" s="172">
        <f>IFERROR(__xludf.DUMMYFUNCTION("""COMPUTED_VALUE"""),3.0)</f>
        <v>3</v>
      </c>
      <c r="T50" s="172">
        <f>IFERROR(__xludf.DUMMYFUNCTION("""COMPUTED_VALUE"""),261.0)</f>
        <v>261</v>
      </c>
      <c r="U50" s="172">
        <f>IFERROR(__xludf.DUMMYFUNCTION("""COMPUTED_VALUE"""),179.0)</f>
        <v>179</v>
      </c>
      <c r="V50" s="172">
        <f>IFERROR(__xludf.DUMMYFUNCTION("""COMPUTED_VALUE"""),185.0)</f>
        <v>185</v>
      </c>
      <c r="W50" s="172">
        <f>IFERROR(__xludf.DUMMYFUNCTION("""COMPUTED_VALUE"""),38.0)</f>
        <v>38</v>
      </c>
      <c r="X50" s="172">
        <f>IFERROR(__xludf.DUMMYFUNCTION("""COMPUTED_VALUE"""),25.0)</f>
        <v>25</v>
      </c>
      <c r="Y50" s="172">
        <f>IFERROR(__xludf.DUMMYFUNCTION("""COMPUTED_VALUE"""),10.0)</f>
        <v>10</v>
      </c>
      <c r="Z50" s="172">
        <f>IFERROR(__xludf.DUMMYFUNCTION("""COMPUTED_VALUE"""),842.0)</f>
        <v>842</v>
      </c>
    </row>
    <row r="51">
      <c r="A51" s="234">
        <f>IFERROR(__xludf.DUMMYFUNCTION("""COMPUTED_VALUE"""),43985.0)</f>
        <v>43985</v>
      </c>
      <c r="B51" s="172">
        <f>IFERROR(__xludf.DUMMYFUNCTION("""COMPUTED_VALUE"""),254.0)</f>
        <v>254</v>
      </c>
      <c r="C51" s="172">
        <f>IFERROR(__xludf.DUMMYFUNCTION("""COMPUTED_VALUE"""),246.0)</f>
        <v>246</v>
      </c>
      <c r="D51" s="172">
        <f>IFERROR(__xludf.DUMMYFUNCTION("""COMPUTED_VALUE"""),20925.0)</f>
        <v>20925</v>
      </c>
      <c r="E51" s="172">
        <f>IFERROR(__xludf.DUMMYFUNCTION("""COMPUTED_VALUE"""),3486.0)</f>
        <v>3486</v>
      </c>
      <c r="F51" s="172">
        <f>IFERROR(__xludf.DUMMYFUNCTION("""COMPUTED_VALUE"""),154672.0)</f>
        <v>154672</v>
      </c>
      <c r="G51" s="172">
        <f>IFERROR(__xludf.DUMMYFUNCTION("""COMPUTED_VALUE"""),3740.0)</f>
        <v>3740</v>
      </c>
      <c r="H51" s="172">
        <f>IFERROR(__xludf.DUMMYFUNCTION("""COMPUTED_VALUE"""),175597.0)</f>
        <v>175597</v>
      </c>
      <c r="I51" s="172">
        <f>IFERROR(__xludf.DUMMYFUNCTION("""COMPUTED_VALUE"""),99.0)</f>
        <v>99</v>
      </c>
      <c r="J51" s="172">
        <f>IFERROR(__xludf.DUMMYFUNCTION("""COMPUTED_VALUE"""),97.0)</f>
        <v>97</v>
      </c>
      <c r="K51" s="172">
        <f>IFERROR(__xludf.DUMMYFUNCTION("""COMPUTED_VALUE"""),15261.0)</f>
        <v>15261</v>
      </c>
      <c r="L51" s="172">
        <f>IFERROR(__xludf.DUMMYFUNCTION("""COMPUTED_VALUE"""),1648.0)</f>
        <v>1648</v>
      </c>
      <c r="M51" s="172">
        <f>IFERROR(__xludf.DUMMYFUNCTION("""COMPUTED_VALUE"""),102697.0)</f>
        <v>102697</v>
      </c>
      <c r="N51" s="172">
        <f>IFERROR(__xludf.DUMMYFUNCTION("""COMPUTED_VALUE"""),117958.0)</f>
        <v>117958</v>
      </c>
      <c r="O51" s="172">
        <f>IFERROR(__xludf.DUMMYFUNCTION("""COMPUTED_VALUE"""),14.0)</f>
        <v>14</v>
      </c>
      <c r="P51" s="172">
        <f>IFERROR(__xludf.DUMMYFUNCTION("""COMPUTED_VALUE"""),1809.0)</f>
        <v>1809</v>
      </c>
      <c r="Q51" s="172">
        <f>IFERROR(__xludf.DUMMYFUNCTION("""COMPUTED_VALUE"""),18.0)</f>
        <v>18</v>
      </c>
      <c r="R51" s="172">
        <f>IFERROR(__xludf.DUMMYFUNCTION("""COMPUTED_VALUE"""),1373.0)</f>
        <v>1373</v>
      </c>
      <c r="S51" s="172">
        <f>IFERROR(__xludf.DUMMYFUNCTION("""COMPUTED_VALUE"""),6.0)</f>
        <v>6</v>
      </c>
      <c r="T51" s="172">
        <f>IFERROR(__xludf.DUMMYFUNCTION("""COMPUTED_VALUE"""),267.0)</f>
        <v>267</v>
      </c>
      <c r="U51" s="172">
        <f>IFERROR(__xludf.DUMMYFUNCTION("""COMPUTED_VALUE"""),169.0)</f>
        <v>169</v>
      </c>
      <c r="V51" s="172">
        <f>IFERROR(__xludf.DUMMYFUNCTION("""COMPUTED_VALUE"""),177.0)</f>
        <v>177</v>
      </c>
      <c r="W51" s="172">
        <f>IFERROR(__xludf.DUMMYFUNCTION("""COMPUTED_VALUE"""),34.0)</f>
        <v>34</v>
      </c>
      <c r="X51" s="172">
        <f>IFERROR(__xludf.DUMMYFUNCTION("""COMPUTED_VALUE"""),25.0)</f>
        <v>25</v>
      </c>
      <c r="Y51" s="172">
        <f>IFERROR(__xludf.DUMMYFUNCTION("""COMPUTED_VALUE"""),11.0)</f>
        <v>11</v>
      </c>
      <c r="Z51" s="172">
        <f>IFERROR(__xludf.DUMMYFUNCTION("""COMPUTED_VALUE"""),853.0)</f>
        <v>853</v>
      </c>
    </row>
    <row r="52">
      <c r="A52" s="234">
        <f>IFERROR(__xludf.DUMMYFUNCTION("""COMPUTED_VALUE"""),43986.0)</f>
        <v>43986</v>
      </c>
      <c r="B52" s="172">
        <f>IFERROR(__xludf.DUMMYFUNCTION("""COMPUTED_VALUE"""),276.0)</f>
        <v>276</v>
      </c>
      <c r="C52" s="172">
        <f>IFERROR(__xludf.DUMMYFUNCTION("""COMPUTED_VALUE"""),268.0)</f>
        <v>268</v>
      </c>
      <c r="D52" s="172">
        <f>IFERROR(__xludf.DUMMYFUNCTION("""COMPUTED_VALUE"""),21201.0)</f>
        <v>21201</v>
      </c>
      <c r="E52" s="172">
        <f>IFERROR(__xludf.DUMMYFUNCTION("""COMPUTED_VALUE"""),4471.0)</f>
        <v>4471</v>
      </c>
      <c r="F52" s="172">
        <f>IFERROR(__xludf.DUMMYFUNCTION("""COMPUTED_VALUE"""),159143.0)</f>
        <v>159143</v>
      </c>
      <c r="G52" s="172">
        <f>IFERROR(__xludf.DUMMYFUNCTION("""COMPUTED_VALUE"""),4747.0)</f>
        <v>4747</v>
      </c>
      <c r="H52" s="172">
        <f>IFERROR(__xludf.DUMMYFUNCTION("""COMPUTED_VALUE"""),180344.0)</f>
        <v>180344</v>
      </c>
      <c r="I52" s="172">
        <f>IFERROR(__xludf.DUMMYFUNCTION("""COMPUTED_VALUE"""),107.0)</f>
        <v>107</v>
      </c>
      <c r="J52" s="172">
        <f>IFERROR(__xludf.DUMMYFUNCTION("""COMPUTED_VALUE"""),101.0)</f>
        <v>101</v>
      </c>
      <c r="K52" s="172">
        <f>IFERROR(__xludf.DUMMYFUNCTION("""COMPUTED_VALUE"""),15368.0)</f>
        <v>15368</v>
      </c>
      <c r="L52" s="172">
        <f>IFERROR(__xludf.DUMMYFUNCTION("""COMPUTED_VALUE"""),2027.0)</f>
        <v>2027</v>
      </c>
      <c r="M52" s="172">
        <f>IFERROR(__xludf.DUMMYFUNCTION("""COMPUTED_VALUE"""),104724.0)</f>
        <v>104724</v>
      </c>
      <c r="N52" s="172">
        <f>IFERROR(__xludf.DUMMYFUNCTION("""COMPUTED_VALUE"""),120092.0)</f>
        <v>120092</v>
      </c>
      <c r="O52" s="172">
        <f>IFERROR(__xludf.DUMMYFUNCTION("""COMPUTED_VALUE"""),7.0)</f>
        <v>7</v>
      </c>
      <c r="P52" s="172">
        <f>IFERROR(__xludf.DUMMYFUNCTION("""COMPUTED_VALUE"""),1816.0)</f>
        <v>1816</v>
      </c>
      <c r="Q52" s="172">
        <f>IFERROR(__xludf.DUMMYFUNCTION("""COMPUTED_VALUE"""),26.0)</f>
        <v>26</v>
      </c>
      <c r="R52" s="172">
        <f>IFERROR(__xludf.DUMMYFUNCTION("""COMPUTED_VALUE"""),1399.0)</f>
        <v>1399</v>
      </c>
      <c r="S52" s="172">
        <f>IFERROR(__xludf.DUMMYFUNCTION("""COMPUTED_VALUE"""),4.0)</f>
        <v>4</v>
      </c>
      <c r="T52" s="172">
        <f>IFERROR(__xludf.DUMMYFUNCTION("""COMPUTED_VALUE"""),271.0)</f>
        <v>271</v>
      </c>
      <c r="U52" s="172">
        <f>IFERROR(__xludf.DUMMYFUNCTION("""COMPUTED_VALUE"""),146.0)</f>
        <v>146</v>
      </c>
      <c r="V52" s="172">
        <f>IFERROR(__xludf.DUMMYFUNCTION("""COMPUTED_VALUE"""),165.0)</f>
        <v>165</v>
      </c>
      <c r="W52" s="172">
        <f>IFERROR(__xludf.DUMMYFUNCTION("""COMPUTED_VALUE"""),31.0)</f>
        <v>31</v>
      </c>
      <c r="X52" s="172">
        <f>IFERROR(__xludf.DUMMYFUNCTION("""COMPUTED_VALUE"""),24.0)</f>
        <v>24</v>
      </c>
      <c r="Y52" s="172">
        <f>IFERROR(__xludf.DUMMYFUNCTION("""COMPUTED_VALUE"""),12.0)</f>
        <v>12</v>
      </c>
      <c r="Z52" s="172">
        <f>IFERROR(__xludf.DUMMYFUNCTION("""COMPUTED_VALUE"""),865.0)</f>
        <v>865</v>
      </c>
    </row>
    <row r="53">
      <c r="A53" s="234">
        <f>IFERROR(__xludf.DUMMYFUNCTION("""COMPUTED_VALUE"""),43987.0)</f>
        <v>43987</v>
      </c>
      <c r="B53" s="172">
        <f>IFERROR(__xludf.DUMMYFUNCTION("""COMPUTED_VALUE"""),215.0)</f>
        <v>215</v>
      </c>
      <c r="C53" s="172">
        <f>IFERROR(__xludf.DUMMYFUNCTION("""COMPUTED_VALUE"""),248.0)</f>
        <v>248</v>
      </c>
      <c r="D53" s="172">
        <f>IFERROR(__xludf.DUMMYFUNCTION("""COMPUTED_VALUE"""),21416.0)</f>
        <v>21416</v>
      </c>
      <c r="E53" s="172">
        <f>IFERROR(__xludf.DUMMYFUNCTION("""COMPUTED_VALUE"""),3513.0)</f>
        <v>3513</v>
      </c>
      <c r="F53" s="172">
        <f>IFERROR(__xludf.DUMMYFUNCTION("""COMPUTED_VALUE"""),162656.0)</f>
        <v>162656</v>
      </c>
      <c r="G53" s="172">
        <f>IFERROR(__xludf.DUMMYFUNCTION("""COMPUTED_VALUE"""),3728.0)</f>
        <v>3728</v>
      </c>
      <c r="H53" s="172">
        <f>IFERROR(__xludf.DUMMYFUNCTION("""COMPUTED_VALUE"""),184072.0)</f>
        <v>184072</v>
      </c>
      <c r="I53" s="172">
        <f>IFERROR(__xludf.DUMMYFUNCTION("""COMPUTED_VALUE"""),99.0)</f>
        <v>99</v>
      </c>
      <c r="J53" s="172">
        <f>IFERROR(__xludf.DUMMYFUNCTION("""COMPUTED_VALUE"""),102.0)</f>
        <v>102</v>
      </c>
      <c r="K53" s="172">
        <f>IFERROR(__xludf.DUMMYFUNCTION("""COMPUTED_VALUE"""),15467.0)</f>
        <v>15467</v>
      </c>
      <c r="L53" s="172">
        <f>IFERROR(__xludf.DUMMYFUNCTION("""COMPUTED_VALUE"""),1565.0)</f>
        <v>1565</v>
      </c>
      <c r="M53" s="172">
        <f>IFERROR(__xludf.DUMMYFUNCTION("""COMPUTED_VALUE"""),106289.0)</f>
        <v>106289</v>
      </c>
      <c r="N53" s="172">
        <f>IFERROR(__xludf.DUMMYFUNCTION("""COMPUTED_VALUE"""),121756.0)</f>
        <v>121756</v>
      </c>
      <c r="O53" s="172">
        <f>IFERROR(__xludf.DUMMYFUNCTION("""COMPUTED_VALUE"""),15.0)</f>
        <v>15</v>
      </c>
      <c r="P53" s="172">
        <f>IFERROR(__xludf.DUMMYFUNCTION("""COMPUTED_VALUE"""),1831.0)</f>
        <v>1831</v>
      </c>
      <c r="Q53" s="172">
        <f>IFERROR(__xludf.DUMMYFUNCTION("""COMPUTED_VALUE"""),13.0)</f>
        <v>13</v>
      </c>
      <c r="R53" s="172">
        <f>IFERROR(__xludf.DUMMYFUNCTION("""COMPUTED_VALUE"""),1412.0)</f>
        <v>1412</v>
      </c>
      <c r="S53" s="172">
        <f>IFERROR(__xludf.DUMMYFUNCTION("""COMPUTED_VALUE"""),6.0)</f>
        <v>6</v>
      </c>
      <c r="T53" s="172">
        <f>IFERROR(__xludf.DUMMYFUNCTION("""COMPUTED_VALUE"""),277.0)</f>
        <v>277</v>
      </c>
      <c r="U53" s="172">
        <f>IFERROR(__xludf.DUMMYFUNCTION("""COMPUTED_VALUE"""),142.0)</f>
        <v>142</v>
      </c>
      <c r="V53" s="172">
        <f>IFERROR(__xludf.DUMMYFUNCTION("""COMPUTED_VALUE"""),152.0)</f>
        <v>152</v>
      </c>
      <c r="W53" s="172">
        <f>IFERROR(__xludf.DUMMYFUNCTION("""COMPUTED_VALUE"""),27.0)</f>
        <v>27</v>
      </c>
      <c r="X53" s="172">
        <f>IFERROR(__xludf.DUMMYFUNCTION("""COMPUTED_VALUE"""),21.0)</f>
        <v>21</v>
      </c>
      <c r="Y53" s="172">
        <f>IFERROR(__xludf.DUMMYFUNCTION("""COMPUTED_VALUE"""),11.0)</f>
        <v>11</v>
      </c>
      <c r="Z53" s="172">
        <f>IFERROR(__xludf.DUMMYFUNCTION("""COMPUTED_VALUE"""),876.0)</f>
        <v>876</v>
      </c>
    </row>
    <row r="54">
      <c r="A54" s="234">
        <f>IFERROR(__xludf.DUMMYFUNCTION("""COMPUTED_VALUE"""),43988.0)</f>
        <v>43988</v>
      </c>
      <c r="B54" s="172">
        <f>IFERROR(__xludf.DUMMYFUNCTION("""COMPUTED_VALUE"""),201.0)</f>
        <v>201</v>
      </c>
      <c r="C54" s="172">
        <f>IFERROR(__xludf.DUMMYFUNCTION("""COMPUTED_VALUE"""),231.0)</f>
        <v>231</v>
      </c>
      <c r="D54" s="172">
        <f>IFERROR(__xludf.DUMMYFUNCTION("""COMPUTED_VALUE"""),21617.0)</f>
        <v>21617</v>
      </c>
      <c r="E54" s="172">
        <f>IFERROR(__xludf.DUMMYFUNCTION("""COMPUTED_VALUE"""),2616.0)</f>
        <v>2616</v>
      </c>
      <c r="F54" s="172">
        <f>IFERROR(__xludf.DUMMYFUNCTION("""COMPUTED_VALUE"""),165272.0)</f>
        <v>165272</v>
      </c>
      <c r="G54" s="172">
        <f>IFERROR(__xludf.DUMMYFUNCTION("""COMPUTED_VALUE"""),2817.0)</f>
        <v>2817</v>
      </c>
      <c r="H54" s="172">
        <f>IFERROR(__xludf.DUMMYFUNCTION("""COMPUTED_VALUE"""),186889.0)</f>
        <v>186889</v>
      </c>
      <c r="I54" s="172">
        <f>IFERROR(__xludf.DUMMYFUNCTION("""COMPUTED_VALUE"""),67.0)</f>
        <v>67</v>
      </c>
      <c r="J54" s="172">
        <f>IFERROR(__xludf.DUMMYFUNCTION("""COMPUTED_VALUE"""),91.0)</f>
        <v>91</v>
      </c>
      <c r="K54" s="172">
        <f>IFERROR(__xludf.DUMMYFUNCTION("""COMPUTED_VALUE"""),15534.0)</f>
        <v>15534</v>
      </c>
      <c r="L54" s="172">
        <f>IFERROR(__xludf.DUMMYFUNCTION("""COMPUTED_VALUE"""),1117.0)</f>
        <v>1117</v>
      </c>
      <c r="M54" s="172">
        <f>IFERROR(__xludf.DUMMYFUNCTION("""COMPUTED_VALUE"""),107406.0)</f>
        <v>107406</v>
      </c>
      <c r="N54" s="172">
        <f>IFERROR(__xludf.DUMMYFUNCTION("""COMPUTED_VALUE"""),122940.0)</f>
        <v>122940</v>
      </c>
      <c r="O54" s="172">
        <f>IFERROR(__xludf.DUMMYFUNCTION("""COMPUTED_VALUE"""),10.0)</f>
        <v>10</v>
      </c>
      <c r="P54" s="172">
        <f>IFERROR(__xludf.DUMMYFUNCTION("""COMPUTED_VALUE"""),1841.0)</f>
        <v>1841</v>
      </c>
      <c r="Q54" s="172">
        <f>IFERROR(__xludf.DUMMYFUNCTION("""COMPUTED_VALUE"""),7.0)</f>
        <v>7</v>
      </c>
      <c r="R54" s="172">
        <f>IFERROR(__xludf.DUMMYFUNCTION("""COMPUTED_VALUE"""),1419.0)</f>
        <v>1419</v>
      </c>
      <c r="S54" s="172">
        <f>IFERROR(__xludf.DUMMYFUNCTION("""COMPUTED_VALUE"""),2.0)</f>
        <v>2</v>
      </c>
      <c r="T54" s="172">
        <f>IFERROR(__xludf.DUMMYFUNCTION("""COMPUTED_VALUE"""),279.0)</f>
        <v>279</v>
      </c>
      <c r="U54" s="172">
        <f>IFERROR(__xludf.DUMMYFUNCTION("""COMPUTED_VALUE"""),143.0)</f>
        <v>143</v>
      </c>
      <c r="V54" s="172">
        <f>IFERROR(__xludf.DUMMYFUNCTION("""COMPUTED_VALUE"""),144.0)</f>
        <v>144</v>
      </c>
      <c r="W54" s="172">
        <f>IFERROR(__xludf.DUMMYFUNCTION("""COMPUTED_VALUE"""),29.0)</f>
        <v>29</v>
      </c>
      <c r="X54" s="172">
        <f>IFERROR(__xludf.DUMMYFUNCTION("""COMPUTED_VALUE"""),19.0)</f>
        <v>19</v>
      </c>
      <c r="Y54" s="172">
        <f>IFERROR(__xludf.DUMMYFUNCTION("""COMPUTED_VALUE"""),6.0)</f>
        <v>6</v>
      </c>
      <c r="Z54" s="172">
        <f>IFERROR(__xludf.DUMMYFUNCTION("""COMPUTED_VALUE"""),882.0)</f>
        <v>882</v>
      </c>
    </row>
    <row r="55">
      <c r="A55" s="234">
        <f>IFERROR(__xludf.DUMMYFUNCTION("""COMPUTED_VALUE"""),43989.0)</f>
        <v>43989</v>
      </c>
      <c r="B55" s="172">
        <f>IFERROR(__xludf.DUMMYFUNCTION("""COMPUTED_VALUE"""),83.0)</f>
        <v>83</v>
      </c>
      <c r="C55" s="172">
        <f>IFERROR(__xludf.DUMMYFUNCTION("""COMPUTED_VALUE"""),166.0)</f>
        <v>166</v>
      </c>
      <c r="D55" s="172">
        <f>IFERROR(__xludf.DUMMYFUNCTION("""COMPUTED_VALUE"""),21700.0)</f>
        <v>21700</v>
      </c>
      <c r="E55" s="172">
        <f>IFERROR(__xludf.DUMMYFUNCTION("""COMPUTED_VALUE"""),1625.0)</f>
        <v>1625</v>
      </c>
      <c r="F55" s="172">
        <f>IFERROR(__xludf.DUMMYFUNCTION("""COMPUTED_VALUE"""),166897.0)</f>
        <v>166897</v>
      </c>
      <c r="G55" s="172">
        <f>IFERROR(__xludf.DUMMYFUNCTION("""COMPUTED_VALUE"""),1708.0)</f>
        <v>1708</v>
      </c>
      <c r="H55" s="172">
        <f>IFERROR(__xludf.DUMMYFUNCTION("""COMPUTED_VALUE"""),188597.0)</f>
        <v>188597</v>
      </c>
      <c r="I55" s="172">
        <f>IFERROR(__xludf.DUMMYFUNCTION("""COMPUTED_VALUE"""),51.0)</f>
        <v>51</v>
      </c>
      <c r="J55" s="172">
        <f>IFERROR(__xludf.DUMMYFUNCTION("""COMPUTED_VALUE"""),72.0)</f>
        <v>72</v>
      </c>
      <c r="K55" s="172">
        <f>IFERROR(__xludf.DUMMYFUNCTION("""COMPUTED_VALUE"""),15585.0)</f>
        <v>15585</v>
      </c>
      <c r="L55" s="172">
        <f>IFERROR(__xludf.DUMMYFUNCTION("""COMPUTED_VALUE"""),779.0)</f>
        <v>779</v>
      </c>
      <c r="M55" s="172">
        <f>IFERROR(__xludf.DUMMYFUNCTION("""COMPUTED_VALUE"""),108185.0)</f>
        <v>108185</v>
      </c>
      <c r="N55" s="172">
        <f>IFERROR(__xludf.DUMMYFUNCTION("""COMPUTED_VALUE"""),123770.0)</f>
        <v>123770</v>
      </c>
      <c r="O55" s="172">
        <f>IFERROR(__xludf.DUMMYFUNCTION("""COMPUTED_VALUE"""),11.0)</f>
        <v>11</v>
      </c>
      <c r="P55" s="172">
        <f>IFERROR(__xludf.DUMMYFUNCTION("""COMPUTED_VALUE"""),1852.0)</f>
        <v>1852</v>
      </c>
      <c r="Q55" s="172">
        <f>IFERROR(__xludf.DUMMYFUNCTION("""COMPUTED_VALUE"""),7.0)</f>
        <v>7</v>
      </c>
      <c r="R55" s="172">
        <f>IFERROR(__xludf.DUMMYFUNCTION("""COMPUTED_VALUE"""),1426.0)</f>
        <v>1426</v>
      </c>
      <c r="S55" s="172">
        <f>IFERROR(__xludf.DUMMYFUNCTION("""COMPUTED_VALUE"""),1.0)</f>
        <v>1</v>
      </c>
      <c r="T55" s="172">
        <f>IFERROR(__xludf.DUMMYFUNCTION("""COMPUTED_VALUE"""),280.0)</f>
        <v>280</v>
      </c>
      <c r="U55" s="172">
        <f>IFERROR(__xludf.DUMMYFUNCTION("""COMPUTED_VALUE"""),146.0)</f>
        <v>146</v>
      </c>
      <c r="V55" s="172">
        <f>IFERROR(__xludf.DUMMYFUNCTION("""COMPUTED_VALUE"""),144.0)</f>
        <v>144</v>
      </c>
      <c r="W55" s="172">
        <f>IFERROR(__xludf.DUMMYFUNCTION("""COMPUTED_VALUE"""),25.0)</f>
        <v>25</v>
      </c>
      <c r="X55" s="172">
        <f>IFERROR(__xludf.DUMMYFUNCTION("""COMPUTED_VALUE"""),17.0)</f>
        <v>17</v>
      </c>
      <c r="Y55" s="172">
        <f>IFERROR(__xludf.DUMMYFUNCTION("""COMPUTED_VALUE"""),4.0)</f>
        <v>4</v>
      </c>
      <c r="Z55" s="172">
        <f>IFERROR(__xludf.DUMMYFUNCTION("""COMPUTED_VALUE"""),886.0)</f>
        <v>886</v>
      </c>
    </row>
    <row r="56">
      <c r="A56" s="234">
        <f>IFERROR(__xludf.DUMMYFUNCTION("""COMPUTED_VALUE"""),43990.0)</f>
        <v>43990</v>
      </c>
      <c r="B56" s="235">
        <f>IFERROR(__xludf.DUMMYFUNCTION("""COMPUTED_VALUE"""),119.0)</f>
        <v>119</v>
      </c>
      <c r="C56" s="235">
        <f>IFERROR(__xludf.DUMMYFUNCTION("""COMPUTED_VALUE"""),134.0)</f>
        <v>134</v>
      </c>
      <c r="D56" s="235">
        <f>IFERROR(__xludf.DUMMYFUNCTION("""COMPUTED_VALUE"""),21819.0)</f>
        <v>21819</v>
      </c>
      <c r="E56" s="235">
        <f>IFERROR(__xludf.DUMMYFUNCTION("""COMPUTED_VALUE"""),1849.0)</f>
        <v>1849</v>
      </c>
      <c r="F56" s="172">
        <f>IFERROR(__xludf.DUMMYFUNCTION("""COMPUTED_VALUE"""),168746.0)</f>
        <v>168746</v>
      </c>
      <c r="G56" s="172">
        <f>IFERROR(__xludf.DUMMYFUNCTION("""COMPUTED_VALUE"""),1968.0)</f>
        <v>1968</v>
      </c>
      <c r="H56" s="172">
        <f>IFERROR(__xludf.DUMMYFUNCTION("""COMPUTED_VALUE"""),190565.0)</f>
        <v>190565</v>
      </c>
      <c r="I56" s="235">
        <f>IFERROR(__xludf.DUMMYFUNCTION("""COMPUTED_VALUE"""),45.0)</f>
        <v>45</v>
      </c>
      <c r="J56" s="235">
        <f>IFERROR(__xludf.DUMMYFUNCTION("""COMPUTED_VALUE"""),54.0)</f>
        <v>54</v>
      </c>
      <c r="K56" s="235">
        <f>IFERROR(__xludf.DUMMYFUNCTION("""COMPUTED_VALUE"""),15630.0)</f>
        <v>15630</v>
      </c>
      <c r="L56" s="235">
        <f>IFERROR(__xludf.DUMMYFUNCTION("""COMPUTED_VALUE"""),952.0)</f>
        <v>952</v>
      </c>
      <c r="M56" s="235">
        <f>IFERROR(__xludf.DUMMYFUNCTION("""COMPUTED_VALUE"""),109137.0)</f>
        <v>109137</v>
      </c>
      <c r="N56" s="235">
        <f>IFERROR(__xludf.DUMMYFUNCTION("""COMPUTED_VALUE"""),124767.0)</f>
        <v>124767</v>
      </c>
      <c r="O56" s="235">
        <f>IFERROR(__xludf.DUMMYFUNCTION("""COMPUTED_VALUE"""),15.0)</f>
        <v>15</v>
      </c>
      <c r="P56" s="235">
        <f>IFERROR(__xludf.DUMMYFUNCTION("""COMPUTED_VALUE"""),1867.0)</f>
        <v>1867</v>
      </c>
      <c r="Q56" s="235">
        <f>IFERROR(__xludf.DUMMYFUNCTION("""COMPUTED_VALUE"""),12.0)</f>
        <v>12</v>
      </c>
      <c r="R56" s="235">
        <f>IFERROR(__xludf.DUMMYFUNCTION("""COMPUTED_VALUE"""),1438.0)</f>
        <v>1438</v>
      </c>
      <c r="S56" s="235">
        <f>IFERROR(__xludf.DUMMYFUNCTION("""COMPUTED_VALUE"""),2.0)</f>
        <v>2</v>
      </c>
      <c r="T56" s="235">
        <f>IFERROR(__xludf.DUMMYFUNCTION("""COMPUTED_VALUE"""),282.0)</f>
        <v>282</v>
      </c>
      <c r="U56" s="235">
        <f>IFERROR(__xludf.DUMMYFUNCTION("""COMPUTED_VALUE"""),147.0)</f>
        <v>147</v>
      </c>
      <c r="V56" s="235">
        <f>IFERROR(__xludf.DUMMYFUNCTION("""COMPUTED_VALUE"""),145.0)</f>
        <v>145</v>
      </c>
      <c r="W56" s="235">
        <f>IFERROR(__xludf.DUMMYFUNCTION("""COMPUTED_VALUE"""),27.0)</f>
        <v>27</v>
      </c>
      <c r="X56" s="235">
        <f>IFERROR(__xludf.DUMMYFUNCTION("""COMPUTED_VALUE"""),18.0)</f>
        <v>18</v>
      </c>
      <c r="Y56" s="235">
        <f>IFERROR(__xludf.DUMMYFUNCTION("""COMPUTED_VALUE"""),4.0)</f>
        <v>4</v>
      </c>
      <c r="Z56" s="235">
        <f>IFERROR(__xludf.DUMMYFUNCTION("""COMPUTED_VALUE"""),890.0)</f>
        <v>890</v>
      </c>
    </row>
    <row r="57">
      <c r="A57" s="234">
        <f>IFERROR(__xludf.DUMMYFUNCTION("""COMPUTED_VALUE"""),43991.0)</f>
        <v>43991</v>
      </c>
      <c r="B57" s="235">
        <f>IFERROR(__xludf.DUMMYFUNCTION("""COMPUTED_VALUE"""),223.0)</f>
        <v>223</v>
      </c>
      <c r="C57" s="235">
        <f>IFERROR(__xludf.DUMMYFUNCTION("""COMPUTED_VALUE"""),142.0)</f>
        <v>142</v>
      </c>
      <c r="D57" s="235">
        <f>IFERROR(__xludf.DUMMYFUNCTION("""COMPUTED_VALUE"""),22042.0)</f>
        <v>22042</v>
      </c>
      <c r="E57" s="235">
        <f>IFERROR(__xludf.DUMMYFUNCTION("""COMPUTED_VALUE"""),2673.0)</f>
        <v>2673</v>
      </c>
      <c r="F57" s="172">
        <f>IFERROR(__xludf.DUMMYFUNCTION("""COMPUTED_VALUE"""),171419.0)</f>
        <v>171419</v>
      </c>
      <c r="G57" s="172">
        <f>IFERROR(__xludf.DUMMYFUNCTION("""COMPUTED_VALUE"""),2896.0)</f>
        <v>2896</v>
      </c>
      <c r="H57" s="172">
        <f>IFERROR(__xludf.DUMMYFUNCTION("""COMPUTED_VALUE"""),193461.0)</f>
        <v>193461</v>
      </c>
      <c r="I57" s="235">
        <f>IFERROR(__xludf.DUMMYFUNCTION("""COMPUTED_VALUE"""),64.0)</f>
        <v>64</v>
      </c>
      <c r="J57" s="235">
        <f>IFERROR(__xludf.DUMMYFUNCTION("""COMPUTED_VALUE"""),53.0)</f>
        <v>53</v>
      </c>
      <c r="K57" s="235">
        <f>IFERROR(__xludf.DUMMYFUNCTION("""COMPUTED_VALUE"""),15694.0)</f>
        <v>15694</v>
      </c>
      <c r="L57" s="235">
        <f>IFERROR(__xludf.DUMMYFUNCTION("""COMPUTED_VALUE"""),1249.0)</f>
        <v>1249</v>
      </c>
      <c r="M57" s="235">
        <f>IFERROR(__xludf.DUMMYFUNCTION("""COMPUTED_VALUE"""),110386.0)</f>
        <v>110386</v>
      </c>
      <c r="N57" s="235">
        <f>IFERROR(__xludf.DUMMYFUNCTION("""COMPUTED_VALUE"""),126080.0)</f>
        <v>126080</v>
      </c>
      <c r="O57" s="235">
        <f>IFERROR(__xludf.DUMMYFUNCTION("""COMPUTED_VALUE"""),10.0)</f>
        <v>10</v>
      </c>
      <c r="P57" s="235">
        <f>IFERROR(__xludf.DUMMYFUNCTION("""COMPUTED_VALUE"""),1877.0)</f>
        <v>1877</v>
      </c>
      <c r="Q57" s="235">
        <f>IFERROR(__xludf.DUMMYFUNCTION("""COMPUTED_VALUE"""),19.0)</f>
        <v>19</v>
      </c>
      <c r="R57" s="235">
        <f>IFERROR(__xludf.DUMMYFUNCTION("""COMPUTED_VALUE"""),1457.0)</f>
        <v>1457</v>
      </c>
      <c r="S57" s="235">
        <f>IFERROR(__xludf.DUMMYFUNCTION("""COMPUTED_VALUE"""),0.0)</f>
        <v>0</v>
      </c>
      <c r="T57" s="235">
        <f>IFERROR(__xludf.DUMMYFUNCTION("""COMPUTED_VALUE"""),282.0)</f>
        <v>282</v>
      </c>
      <c r="U57" s="235">
        <f>IFERROR(__xludf.DUMMYFUNCTION("""COMPUTED_VALUE"""),138.0)</f>
        <v>138</v>
      </c>
      <c r="V57" s="235">
        <f>IFERROR(__xludf.DUMMYFUNCTION("""COMPUTED_VALUE"""),144.0)</f>
        <v>144</v>
      </c>
      <c r="W57" s="235">
        <f>IFERROR(__xludf.DUMMYFUNCTION("""COMPUTED_VALUE"""),28.0)</f>
        <v>28</v>
      </c>
      <c r="X57" s="235">
        <f>IFERROR(__xludf.DUMMYFUNCTION("""COMPUTED_VALUE"""),21.0)</f>
        <v>21</v>
      </c>
      <c r="Y57" s="235">
        <f>IFERROR(__xludf.DUMMYFUNCTION("""COMPUTED_VALUE"""),1.0)</f>
        <v>1</v>
      </c>
      <c r="Z57" s="235">
        <f>IFERROR(__xludf.DUMMYFUNCTION("""COMPUTED_VALUE"""),891.0)</f>
        <v>891</v>
      </c>
    </row>
    <row r="58">
      <c r="A58" s="234">
        <f>IFERROR(__xludf.DUMMYFUNCTION("""COMPUTED_VALUE"""),43992.0)</f>
        <v>43992</v>
      </c>
      <c r="B58" s="235">
        <f>IFERROR(__xludf.DUMMYFUNCTION("""COMPUTED_VALUE"""),209.0)</f>
        <v>209</v>
      </c>
      <c r="C58" s="235">
        <f>IFERROR(__xludf.DUMMYFUNCTION("""COMPUTED_VALUE"""),184.0)</f>
        <v>184</v>
      </c>
      <c r="D58" s="235">
        <f>IFERROR(__xludf.DUMMYFUNCTION("""COMPUTED_VALUE"""),22251.0)</f>
        <v>22251</v>
      </c>
      <c r="E58" s="235">
        <f>IFERROR(__xludf.DUMMYFUNCTION("""COMPUTED_VALUE"""),2987.0)</f>
        <v>2987</v>
      </c>
      <c r="F58" s="172">
        <f>IFERROR(__xludf.DUMMYFUNCTION("""COMPUTED_VALUE"""),174406.0)</f>
        <v>174406</v>
      </c>
      <c r="G58" s="172">
        <f>IFERROR(__xludf.DUMMYFUNCTION("""COMPUTED_VALUE"""),3196.0)</f>
        <v>3196</v>
      </c>
      <c r="H58" s="172">
        <f>IFERROR(__xludf.DUMMYFUNCTION("""COMPUTED_VALUE"""),196657.0)</f>
        <v>196657</v>
      </c>
      <c r="I58" s="235">
        <f>IFERROR(__xludf.DUMMYFUNCTION("""COMPUTED_VALUE"""),101.0)</f>
        <v>101</v>
      </c>
      <c r="J58" s="235">
        <f>IFERROR(__xludf.DUMMYFUNCTION("""COMPUTED_VALUE"""),70.0)</f>
        <v>70</v>
      </c>
      <c r="K58" s="235">
        <f>IFERROR(__xludf.DUMMYFUNCTION("""COMPUTED_VALUE"""),15795.0)</f>
        <v>15795</v>
      </c>
      <c r="L58" s="235">
        <f>IFERROR(__xludf.DUMMYFUNCTION("""COMPUTED_VALUE"""),1456.0)</f>
        <v>1456</v>
      </c>
      <c r="M58" s="235">
        <f>IFERROR(__xludf.DUMMYFUNCTION("""COMPUTED_VALUE"""),111842.0)</f>
        <v>111842</v>
      </c>
      <c r="N58" s="235">
        <f>IFERROR(__xludf.DUMMYFUNCTION("""COMPUTED_VALUE"""),127637.0)</f>
        <v>127637</v>
      </c>
      <c r="O58" s="235">
        <f>IFERROR(__xludf.DUMMYFUNCTION("""COMPUTED_VALUE"""),13.0)</f>
        <v>13</v>
      </c>
      <c r="P58" s="235">
        <f>IFERROR(__xludf.DUMMYFUNCTION("""COMPUTED_VALUE"""),1890.0)</f>
        <v>1890</v>
      </c>
      <c r="Q58" s="235">
        <f>IFERROR(__xludf.DUMMYFUNCTION("""COMPUTED_VALUE"""),12.0)</f>
        <v>12</v>
      </c>
      <c r="R58" s="235">
        <f>IFERROR(__xludf.DUMMYFUNCTION("""COMPUTED_VALUE"""),1469.0)</f>
        <v>1469</v>
      </c>
      <c r="S58" s="235">
        <f>IFERROR(__xludf.DUMMYFUNCTION("""COMPUTED_VALUE"""),2.0)</f>
        <v>2</v>
      </c>
      <c r="T58" s="235">
        <f>IFERROR(__xludf.DUMMYFUNCTION("""COMPUTED_VALUE"""),284.0)</f>
        <v>284</v>
      </c>
      <c r="U58" s="235">
        <f>IFERROR(__xludf.DUMMYFUNCTION("""COMPUTED_VALUE"""),137.0)</f>
        <v>137</v>
      </c>
      <c r="V58" s="235">
        <f>IFERROR(__xludf.DUMMYFUNCTION("""COMPUTED_VALUE"""),141.0)</f>
        <v>141</v>
      </c>
      <c r="W58" s="235">
        <f>IFERROR(__xludf.DUMMYFUNCTION("""COMPUTED_VALUE"""),24.0)</f>
        <v>24</v>
      </c>
      <c r="X58" s="235">
        <f>IFERROR(__xludf.DUMMYFUNCTION("""COMPUTED_VALUE"""),17.0)</f>
        <v>17</v>
      </c>
      <c r="Y58" s="235">
        <f>IFERROR(__xludf.DUMMYFUNCTION("""COMPUTED_VALUE"""),4.0)</f>
        <v>4</v>
      </c>
      <c r="Z58" s="235">
        <f>IFERROR(__xludf.DUMMYFUNCTION("""COMPUTED_VALUE"""),895.0)</f>
        <v>895</v>
      </c>
    </row>
    <row r="59">
      <c r="A59" s="234">
        <f>IFERROR(__xludf.DUMMYFUNCTION("""COMPUTED_VALUE"""),43993.0)</f>
        <v>43993</v>
      </c>
      <c r="B59" s="235">
        <f>IFERROR(__xludf.DUMMYFUNCTION("""COMPUTED_VALUE"""),195.0)</f>
        <v>195</v>
      </c>
      <c r="C59" s="235">
        <f>IFERROR(__xludf.DUMMYFUNCTION("""COMPUTED_VALUE"""),209.0)</f>
        <v>209</v>
      </c>
      <c r="D59" s="235">
        <f>IFERROR(__xludf.DUMMYFUNCTION("""COMPUTED_VALUE"""),22446.0)</f>
        <v>22446</v>
      </c>
      <c r="E59" s="235">
        <f>IFERROR(__xludf.DUMMYFUNCTION("""COMPUTED_VALUE"""),3513.0)</f>
        <v>3513</v>
      </c>
      <c r="F59" s="172">
        <f>IFERROR(__xludf.DUMMYFUNCTION("""COMPUTED_VALUE"""),177919.0)</f>
        <v>177919</v>
      </c>
      <c r="G59" s="172">
        <f>IFERROR(__xludf.DUMMYFUNCTION("""COMPUTED_VALUE"""),3708.0)</f>
        <v>3708</v>
      </c>
      <c r="H59" s="172">
        <f>IFERROR(__xludf.DUMMYFUNCTION("""COMPUTED_VALUE"""),200365.0)</f>
        <v>200365</v>
      </c>
      <c r="I59" s="235">
        <f>IFERROR(__xludf.DUMMYFUNCTION("""COMPUTED_VALUE"""),88.0)</f>
        <v>88</v>
      </c>
      <c r="J59" s="235">
        <f>IFERROR(__xludf.DUMMYFUNCTION("""COMPUTED_VALUE"""),84.0)</f>
        <v>84</v>
      </c>
      <c r="K59" s="235">
        <f>IFERROR(__xludf.DUMMYFUNCTION("""COMPUTED_VALUE"""),15883.0)</f>
        <v>15883</v>
      </c>
      <c r="L59" s="235">
        <f>IFERROR(__xludf.DUMMYFUNCTION("""COMPUTED_VALUE"""),1522.0)</f>
        <v>1522</v>
      </c>
      <c r="M59" s="235">
        <f>IFERROR(__xludf.DUMMYFUNCTION("""COMPUTED_VALUE"""),113364.0)</f>
        <v>113364</v>
      </c>
      <c r="N59" s="235">
        <f>IFERROR(__xludf.DUMMYFUNCTION("""COMPUTED_VALUE"""),129247.0)</f>
        <v>129247</v>
      </c>
      <c r="O59" s="235">
        <f>IFERROR(__xludf.DUMMYFUNCTION("""COMPUTED_VALUE"""),7.0)</f>
        <v>7</v>
      </c>
      <c r="P59" s="235">
        <f>IFERROR(__xludf.DUMMYFUNCTION("""COMPUTED_VALUE"""),1897.0)</f>
        <v>1897</v>
      </c>
      <c r="Q59" s="235">
        <f>IFERROR(__xludf.DUMMYFUNCTION("""COMPUTED_VALUE"""),15.0)</f>
        <v>15</v>
      </c>
      <c r="R59" s="235">
        <f>IFERROR(__xludf.DUMMYFUNCTION("""COMPUTED_VALUE"""),1484.0)</f>
        <v>1484</v>
      </c>
      <c r="S59" s="235">
        <f>IFERROR(__xludf.DUMMYFUNCTION("""COMPUTED_VALUE"""),1.0)</f>
        <v>1</v>
      </c>
      <c r="T59" s="235">
        <f>IFERROR(__xludf.DUMMYFUNCTION("""COMPUTED_VALUE"""),285.0)</f>
        <v>285</v>
      </c>
      <c r="U59" s="235">
        <f>IFERROR(__xludf.DUMMYFUNCTION("""COMPUTED_VALUE"""),128.0)</f>
        <v>128</v>
      </c>
      <c r="V59" s="235">
        <f>IFERROR(__xludf.DUMMYFUNCTION("""COMPUTED_VALUE"""),134.0)</f>
        <v>134</v>
      </c>
      <c r="W59" s="235">
        <f>IFERROR(__xludf.DUMMYFUNCTION("""COMPUTED_VALUE"""),25.0)</f>
        <v>25</v>
      </c>
      <c r="X59" s="235">
        <f>IFERROR(__xludf.DUMMYFUNCTION("""COMPUTED_VALUE"""),16.0)</f>
        <v>16</v>
      </c>
      <c r="Y59" s="235">
        <f>IFERROR(__xludf.DUMMYFUNCTION("""COMPUTED_VALUE"""),6.0)</f>
        <v>6</v>
      </c>
      <c r="Z59" s="235">
        <f>IFERROR(__xludf.DUMMYFUNCTION("""COMPUTED_VALUE"""),901.0)</f>
        <v>901</v>
      </c>
    </row>
    <row r="60">
      <c r="A60" s="234">
        <f>IFERROR(__xludf.DUMMYFUNCTION("""COMPUTED_VALUE"""),43994.0)</f>
        <v>43994</v>
      </c>
      <c r="B60" s="235">
        <f>IFERROR(__xludf.DUMMYFUNCTION("""COMPUTED_VALUE"""),209.0)</f>
        <v>209</v>
      </c>
      <c r="C60" s="235">
        <f>IFERROR(__xludf.DUMMYFUNCTION("""COMPUTED_VALUE"""),204.0)</f>
        <v>204</v>
      </c>
      <c r="D60" s="235">
        <f>IFERROR(__xludf.DUMMYFUNCTION("""COMPUTED_VALUE"""),22655.0)</f>
        <v>22655</v>
      </c>
      <c r="E60" s="235">
        <f>IFERROR(__xludf.DUMMYFUNCTION("""COMPUTED_VALUE"""),4601.0)</f>
        <v>4601</v>
      </c>
      <c r="F60" s="172">
        <f>IFERROR(__xludf.DUMMYFUNCTION("""COMPUTED_VALUE"""),182520.0)</f>
        <v>182520</v>
      </c>
      <c r="G60" s="172">
        <f>IFERROR(__xludf.DUMMYFUNCTION("""COMPUTED_VALUE"""),4810.0)</f>
        <v>4810</v>
      </c>
      <c r="H60" s="172">
        <f>IFERROR(__xludf.DUMMYFUNCTION("""COMPUTED_VALUE"""),205175.0)</f>
        <v>205175</v>
      </c>
      <c r="I60" s="235">
        <f>IFERROR(__xludf.DUMMYFUNCTION("""COMPUTED_VALUE"""),78.0)</f>
        <v>78</v>
      </c>
      <c r="J60" s="235">
        <f>IFERROR(__xludf.DUMMYFUNCTION("""COMPUTED_VALUE"""),89.0)</f>
        <v>89</v>
      </c>
      <c r="K60" s="235">
        <f>IFERROR(__xludf.DUMMYFUNCTION("""COMPUTED_VALUE"""),15961.0)</f>
        <v>15961</v>
      </c>
      <c r="L60" s="235">
        <f>IFERROR(__xludf.DUMMYFUNCTION("""COMPUTED_VALUE"""),2164.0)</f>
        <v>2164</v>
      </c>
      <c r="M60" s="235">
        <f>IFERROR(__xludf.DUMMYFUNCTION("""COMPUTED_VALUE"""),115528.0)</f>
        <v>115528</v>
      </c>
      <c r="N60" s="235">
        <f>IFERROR(__xludf.DUMMYFUNCTION("""COMPUTED_VALUE"""),131489.0)</f>
        <v>131489</v>
      </c>
      <c r="O60" s="235">
        <f>IFERROR(__xludf.DUMMYFUNCTION("""COMPUTED_VALUE"""),9.0)</f>
        <v>9</v>
      </c>
      <c r="P60" s="235">
        <f>IFERROR(__xludf.DUMMYFUNCTION("""COMPUTED_VALUE"""),1906.0)</f>
        <v>1906</v>
      </c>
      <c r="Q60" s="235">
        <f>IFERROR(__xludf.DUMMYFUNCTION("""COMPUTED_VALUE"""),16.0)</f>
        <v>16</v>
      </c>
      <c r="R60" s="235">
        <f>IFERROR(__xludf.DUMMYFUNCTION("""COMPUTED_VALUE"""),1500.0)</f>
        <v>1500</v>
      </c>
      <c r="S60" s="235">
        <f>IFERROR(__xludf.DUMMYFUNCTION("""COMPUTED_VALUE"""),1.0)</f>
        <v>1</v>
      </c>
      <c r="T60" s="235">
        <f>IFERROR(__xludf.DUMMYFUNCTION("""COMPUTED_VALUE"""),286.0)</f>
        <v>286</v>
      </c>
      <c r="U60" s="235">
        <f>IFERROR(__xludf.DUMMYFUNCTION("""COMPUTED_VALUE"""),120.0)</f>
        <v>120</v>
      </c>
      <c r="V60" s="235">
        <f>IFERROR(__xludf.DUMMYFUNCTION("""COMPUTED_VALUE"""),128.0)</f>
        <v>128</v>
      </c>
      <c r="W60" s="235">
        <f>IFERROR(__xludf.DUMMYFUNCTION("""COMPUTED_VALUE"""),24.0)</f>
        <v>24</v>
      </c>
      <c r="X60" s="235">
        <f>IFERROR(__xludf.DUMMYFUNCTION("""COMPUTED_VALUE"""),16.0)</f>
        <v>16</v>
      </c>
      <c r="Y60" s="235">
        <f>IFERROR(__xludf.DUMMYFUNCTION("""COMPUTED_VALUE"""),2.0)</f>
        <v>2</v>
      </c>
      <c r="Z60" s="235">
        <f>IFERROR(__xludf.DUMMYFUNCTION("""COMPUTED_VALUE"""),903.0)</f>
        <v>903</v>
      </c>
    </row>
    <row r="61">
      <c r="A61" s="234">
        <f>IFERROR(__xludf.DUMMYFUNCTION("""COMPUTED_VALUE"""),43995.0)</f>
        <v>43995</v>
      </c>
      <c r="B61" s="235">
        <f>IFERROR(__xludf.DUMMYFUNCTION("""COMPUTED_VALUE"""),113.0)</f>
        <v>113</v>
      </c>
      <c r="C61" s="235">
        <f>IFERROR(__xludf.DUMMYFUNCTION("""COMPUTED_VALUE"""),172.0)</f>
        <v>172</v>
      </c>
      <c r="D61" s="235">
        <f>IFERROR(__xludf.DUMMYFUNCTION("""COMPUTED_VALUE"""),22768.0)</f>
        <v>22768</v>
      </c>
      <c r="E61" s="235">
        <f>IFERROR(__xludf.DUMMYFUNCTION("""COMPUTED_VALUE"""),3036.0)</f>
        <v>3036</v>
      </c>
      <c r="F61" s="172">
        <f>IFERROR(__xludf.DUMMYFUNCTION("""COMPUTED_VALUE"""),185556.0)</f>
        <v>185556</v>
      </c>
      <c r="G61" s="172">
        <f>IFERROR(__xludf.DUMMYFUNCTION("""COMPUTED_VALUE"""),3149.0)</f>
        <v>3149</v>
      </c>
      <c r="H61" s="172">
        <f>IFERROR(__xludf.DUMMYFUNCTION("""COMPUTED_VALUE"""),208324.0)</f>
        <v>208324</v>
      </c>
      <c r="I61" s="235">
        <f>IFERROR(__xludf.DUMMYFUNCTION("""COMPUTED_VALUE"""),49.0)</f>
        <v>49</v>
      </c>
      <c r="J61" s="235">
        <f>IFERROR(__xludf.DUMMYFUNCTION("""COMPUTED_VALUE"""),72.0)</f>
        <v>72</v>
      </c>
      <c r="K61" s="235">
        <f>IFERROR(__xludf.DUMMYFUNCTION("""COMPUTED_VALUE"""),16010.0)</f>
        <v>16010</v>
      </c>
      <c r="L61" s="235">
        <f>IFERROR(__xludf.DUMMYFUNCTION("""COMPUTED_VALUE"""),1362.0)</f>
        <v>1362</v>
      </c>
      <c r="M61" s="235">
        <f>IFERROR(__xludf.DUMMYFUNCTION("""COMPUTED_VALUE"""),116890.0)</f>
        <v>116890</v>
      </c>
      <c r="N61" s="235">
        <f>IFERROR(__xludf.DUMMYFUNCTION("""COMPUTED_VALUE"""),132900.0)</f>
        <v>132900</v>
      </c>
      <c r="O61" s="235">
        <f>IFERROR(__xludf.DUMMYFUNCTION("""COMPUTED_VALUE"""),6.0)</f>
        <v>6</v>
      </c>
      <c r="P61" s="235">
        <f>IFERROR(__xludf.DUMMYFUNCTION("""COMPUTED_VALUE"""),1912.0)</f>
        <v>1912</v>
      </c>
      <c r="Q61" s="235">
        <f>IFERROR(__xludf.DUMMYFUNCTION("""COMPUTED_VALUE"""),5.0)</f>
        <v>5</v>
      </c>
      <c r="R61" s="235">
        <f>IFERROR(__xludf.DUMMYFUNCTION("""COMPUTED_VALUE"""),1505.0)</f>
        <v>1505</v>
      </c>
      <c r="S61" s="235">
        <f>IFERROR(__xludf.DUMMYFUNCTION("""COMPUTED_VALUE"""),0.0)</f>
        <v>0</v>
      </c>
      <c r="T61" s="235">
        <f>IFERROR(__xludf.DUMMYFUNCTION("""COMPUTED_VALUE"""),286.0)</f>
        <v>286</v>
      </c>
      <c r="U61" s="235">
        <f>IFERROR(__xludf.DUMMYFUNCTION("""COMPUTED_VALUE"""),121.0)</f>
        <v>121</v>
      </c>
      <c r="V61" s="235">
        <f>IFERROR(__xludf.DUMMYFUNCTION("""COMPUTED_VALUE"""),123.0)</f>
        <v>123</v>
      </c>
      <c r="W61" s="235">
        <f>IFERROR(__xludf.DUMMYFUNCTION("""COMPUTED_VALUE"""),20.0)</f>
        <v>20</v>
      </c>
      <c r="X61" s="235">
        <f>IFERROR(__xludf.DUMMYFUNCTION("""COMPUTED_VALUE"""),15.0)</f>
        <v>15</v>
      </c>
      <c r="Y61" s="235">
        <f>IFERROR(__xludf.DUMMYFUNCTION("""COMPUTED_VALUE"""),3.0)</f>
        <v>3</v>
      </c>
      <c r="Z61" s="235">
        <f>IFERROR(__xludf.DUMMYFUNCTION("""COMPUTED_VALUE"""),906.0)</f>
        <v>906</v>
      </c>
    </row>
    <row r="62">
      <c r="A62" s="234">
        <f>IFERROR(__xludf.DUMMYFUNCTION("""COMPUTED_VALUE"""),43996.0)</f>
        <v>43996</v>
      </c>
      <c r="B62" s="235">
        <f>IFERROR(__xludf.DUMMYFUNCTION("""COMPUTED_VALUE"""),81.0)</f>
        <v>81</v>
      </c>
      <c r="C62" s="235">
        <f>IFERROR(__xludf.DUMMYFUNCTION("""COMPUTED_VALUE"""),134.0)</f>
        <v>134</v>
      </c>
      <c r="D62" s="235">
        <f>IFERROR(__xludf.DUMMYFUNCTION("""COMPUTED_VALUE"""),22849.0)</f>
        <v>22849</v>
      </c>
      <c r="E62" s="235">
        <f>IFERROR(__xludf.DUMMYFUNCTION("""COMPUTED_VALUE"""),2046.0)</f>
        <v>2046</v>
      </c>
      <c r="F62" s="172">
        <f>IFERROR(__xludf.DUMMYFUNCTION("""COMPUTED_VALUE"""),187602.0)</f>
        <v>187602</v>
      </c>
      <c r="G62" s="172">
        <f>IFERROR(__xludf.DUMMYFUNCTION("""COMPUTED_VALUE"""),2127.0)</f>
        <v>2127</v>
      </c>
      <c r="H62" s="172">
        <f>IFERROR(__xludf.DUMMYFUNCTION("""COMPUTED_VALUE"""),210451.0)</f>
        <v>210451</v>
      </c>
      <c r="I62" s="235">
        <f>IFERROR(__xludf.DUMMYFUNCTION("""COMPUTED_VALUE"""),33.0)</f>
        <v>33</v>
      </c>
      <c r="J62" s="235">
        <f>IFERROR(__xludf.DUMMYFUNCTION("""COMPUTED_VALUE"""),53.0)</f>
        <v>53</v>
      </c>
      <c r="K62" s="235">
        <f>IFERROR(__xludf.DUMMYFUNCTION("""COMPUTED_VALUE"""),16043.0)</f>
        <v>16043</v>
      </c>
      <c r="L62" s="235">
        <f>IFERROR(__xludf.DUMMYFUNCTION("""COMPUTED_VALUE"""),963.0)</f>
        <v>963</v>
      </c>
      <c r="M62" s="235">
        <f>IFERROR(__xludf.DUMMYFUNCTION("""COMPUTED_VALUE"""),117853.0)</f>
        <v>117853</v>
      </c>
      <c r="N62" s="235">
        <f>IFERROR(__xludf.DUMMYFUNCTION("""COMPUTED_VALUE"""),133896.0)</f>
        <v>133896</v>
      </c>
      <c r="O62" s="235">
        <f>IFERROR(__xludf.DUMMYFUNCTION("""COMPUTED_VALUE"""),7.0)</f>
        <v>7</v>
      </c>
      <c r="P62" s="235">
        <f>IFERROR(__xludf.DUMMYFUNCTION("""COMPUTED_VALUE"""),1919.0)</f>
        <v>1919</v>
      </c>
      <c r="Q62" s="235">
        <f>IFERROR(__xludf.DUMMYFUNCTION("""COMPUTED_VALUE"""),8.0)</f>
        <v>8</v>
      </c>
      <c r="R62" s="235">
        <f>IFERROR(__xludf.DUMMYFUNCTION("""COMPUTED_VALUE"""),1513.0)</f>
        <v>1513</v>
      </c>
      <c r="S62" s="235">
        <f>IFERROR(__xludf.DUMMYFUNCTION("""COMPUTED_VALUE"""),1.0)</f>
        <v>1</v>
      </c>
      <c r="T62" s="235">
        <f>IFERROR(__xludf.DUMMYFUNCTION("""COMPUTED_VALUE"""),287.0)</f>
        <v>287</v>
      </c>
      <c r="U62" s="235">
        <f>IFERROR(__xludf.DUMMYFUNCTION("""COMPUTED_VALUE"""),119.0)</f>
        <v>119</v>
      </c>
      <c r="V62" s="235">
        <f>IFERROR(__xludf.DUMMYFUNCTION("""COMPUTED_VALUE"""),120.0)</f>
        <v>120</v>
      </c>
      <c r="W62" s="235">
        <f>IFERROR(__xludf.DUMMYFUNCTION("""COMPUTED_VALUE"""),20.0)</f>
        <v>20</v>
      </c>
      <c r="X62" s="235">
        <f>IFERROR(__xludf.DUMMYFUNCTION("""COMPUTED_VALUE"""),14.0)</f>
        <v>14</v>
      </c>
      <c r="Y62" s="235">
        <f>IFERROR(__xludf.DUMMYFUNCTION("""COMPUTED_VALUE"""),3.0)</f>
        <v>3</v>
      </c>
      <c r="Z62" s="235">
        <f>IFERROR(__xludf.DUMMYFUNCTION("""COMPUTED_VALUE"""),909.0)</f>
        <v>909</v>
      </c>
    </row>
    <row r="63">
      <c r="A63" s="234">
        <f>IFERROR(__xludf.DUMMYFUNCTION("""COMPUTED_VALUE"""),43997.0)</f>
        <v>43997</v>
      </c>
      <c r="B63" s="235">
        <f>IFERROR(__xludf.DUMMYFUNCTION("""COMPUTED_VALUE"""),188.0)</f>
        <v>188</v>
      </c>
      <c r="C63" s="235">
        <f>IFERROR(__xludf.DUMMYFUNCTION("""COMPUTED_VALUE"""),127.0)</f>
        <v>127</v>
      </c>
      <c r="D63" s="235">
        <f>IFERROR(__xludf.DUMMYFUNCTION("""COMPUTED_VALUE"""),23037.0)</f>
        <v>23037</v>
      </c>
      <c r="E63" s="235">
        <f>IFERROR(__xludf.DUMMYFUNCTION("""COMPUTED_VALUE"""),3108.0)</f>
        <v>3108</v>
      </c>
      <c r="F63" s="172">
        <f>IFERROR(__xludf.DUMMYFUNCTION("""COMPUTED_VALUE"""),190710.0)</f>
        <v>190710</v>
      </c>
      <c r="G63" s="172">
        <f>IFERROR(__xludf.DUMMYFUNCTION("""COMPUTED_VALUE"""),3296.0)</f>
        <v>3296</v>
      </c>
      <c r="H63" s="172">
        <f>IFERROR(__xludf.DUMMYFUNCTION("""COMPUTED_VALUE"""),213747.0)</f>
        <v>213747</v>
      </c>
      <c r="I63" s="235">
        <f>IFERROR(__xludf.DUMMYFUNCTION("""COMPUTED_VALUE"""),75.0)</f>
        <v>75</v>
      </c>
      <c r="J63" s="235">
        <f>IFERROR(__xludf.DUMMYFUNCTION("""COMPUTED_VALUE"""),52.0)</f>
        <v>52</v>
      </c>
      <c r="K63" s="235">
        <f>IFERROR(__xludf.DUMMYFUNCTION("""COMPUTED_VALUE"""),16118.0)</f>
        <v>16118</v>
      </c>
      <c r="L63" s="235">
        <f>IFERROR(__xludf.DUMMYFUNCTION("""COMPUTED_VALUE"""),1777.0)</f>
        <v>1777</v>
      </c>
      <c r="M63" s="235">
        <f>IFERROR(__xludf.DUMMYFUNCTION("""COMPUTED_VALUE"""),119630.0)</f>
        <v>119630</v>
      </c>
      <c r="N63" s="235">
        <f>IFERROR(__xludf.DUMMYFUNCTION("""COMPUTED_VALUE"""),135748.0)</f>
        <v>135748</v>
      </c>
      <c r="O63" s="235">
        <f>IFERROR(__xludf.DUMMYFUNCTION("""COMPUTED_VALUE"""),14.0)</f>
        <v>14</v>
      </c>
      <c r="P63" s="235">
        <f>IFERROR(__xludf.DUMMYFUNCTION("""COMPUTED_VALUE"""),1933.0)</f>
        <v>1933</v>
      </c>
      <c r="Q63" s="235">
        <f>IFERROR(__xludf.DUMMYFUNCTION("""COMPUTED_VALUE"""),19.0)</f>
        <v>19</v>
      </c>
      <c r="R63" s="235">
        <f>IFERROR(__xludf.DUMMYFUNCTION("""COMPUTED_VALUE"""),1532.0)</f>
        <v>1532</v>
      </c>
      <c r="S63" s="235">
        <f>IFERROR(__xludf.DUMMYFUNCTION("""COMPUTED_VALUE"""),0.0)</f>
        <v>0</v>
      </c>
      <c r="T63" s="235">
        <f>IFERROR(__xludf.DUMMYFUNCTION("""COMPUTED_VALUE"""),287.0)</f>
        <v>287</v>
      </c>
      <c r="U63" s="235">
        <f>IFERROR(__xludf.DUMMYFUNCTION("""COMPUTED_VALUE"""),114.0)</f>
        <v>114</v>
      </c>
      <c r="V63" s="235">
        <f>IFERROR(__xludf.DUMMYFUNCTION("""COMPUTED_VALUE"""),118.0)</f>
        <v>118</v>
      </c>
      <c r="W63" s="235">
        <f>IFERROR(__xludf.DUMMYFUNCTION("""COMPUTED_VALUE"""),20.0)</f>
        <v>20</v>
      </c>
      <c r="X63" s="235">
        <f>IFERROR(__xludf.DUMMYFUNCTION("""COMPUTED_VALUE"""),16.0)</f>
        <v>16</v>
      </c>
      <c r="Y63" s="235">
        <f>IFERROR(__xludf.DUMMYFUNCTION("""COMPUTED_VALUE"""),5.0)</f>
        <v>5</v>
      </c>
      <c r="Z63" s="235">
        <f>IFERROR(__xludf.DUMMYFUNCTION("""COMPUTED_VALUE"""),914.0)</f>
        <v>914</v>
      </c>
    </row>
    <row r="64">
      <c r="A64" s="234">
        <f>IFERROR(__xludf.DUMMYFUNCTION("""COMPUTED_VALUE"""),43998.0)</f>
        <v>43998</v>
      </c>
      <c r="B64" s="235">
        <f>IFERROR(__xludf.DUMMYFUNCTION("""COMPUTED_VALUE"""),110.0)</f>
        <v>110</v>
      </c>
      <c r="C64" s="235">
        <f>IFERROR(__xludf.DUMMYFUNCTION("""COMPUTED_VALUE"""),126.0)</f>
        <v>126</v>
      </c>
      <c r="D64" s="235">
        <f>IFERROR(__xludf.DUMMYFUNCTION("""COMPUTED_VALUE"""),23147.0)</f>
        <v>23147</v>
      </c>
      <c r="E64" s="235">
        <f>IFERROR(__xludf.DUMMYFUNCTION("""COMPUTED_VALUE"""),3017.0)</f>
        <v>3017</v>
      </c>
      <c r="F64" s="172">
        <f>IFERROR(__xludf.DUMMYFUNCTION("""COMPUTED_VALUE"""),193727.0)</f>
        <v>193727</v>
      </c>
      <c r="G64" s="172">
        <f>IFERROR(__xludf.DUMMYFUNCTION("""COMPUTED_VALUE"""),3127.0)</f>
        <v>3127</v>
      </c>
      <c r="H64" s="172">
        <f>IFERROR(__xludf.DUMMYFUNCTION("""COMPUTED_VALUE"""),216874.0)</f>
        <v>216874</v>
      </c>
      <c r="I64" s="235">
        <f>IFERROR(__xludf.DUMMYFUNCTION("""COMPUTED_VALUE"""),50.0)</f>
        <v>50</v>
      </c>
      <c r="J64" s="235">
        <f>IFERROR(__xludf.DUMMYFUNCTION("""COMPUTED_VALUE"""),53.0)</f>
        <v>53</v>
      </c>
      <c r="K64" s="235">
        <f>IFERROR(__xludf.DUMMYFUNCTION("""COMPUTED_VALUE"""),16168.0)</f>
        <v>16168</v>
      </c>
      <c r="L64" s="235">
        <f>IFERROR(__xludf.DUMMYFUNCTION("""COMPUTED_VALUE"""),1527.0)</f>
        <v>1527</v>
      </c>
      <c r="M64" s="235">
        <f>IFERROR(__xludf.DUMMYFUNCTION("""COMPUTED_VALUE"""),121157.0)</f>
        <v>121157</v>
      </c>
      <c r="N64" s="235">
        <f>IFERROR(__xludf.DUMMYFUNCTION("""COMPUTED_VALUE"""),137325.0)</f>
        <v>137325</v>
      </c>
      <c r="O64" s="235">
        <f>IFERROR(__xludf.DUMMYFUNCTION("""COMPUTED_VALUE"""),11.0)</f>
        <v>11</v>
      </c>
      <c r="P64" s="235">
        <f>IFERROR(__xludf.DUMMYFUNCTION("""COMPUTED_VALUE"""),1944.0)</f>
        <v>1944</v>
      </c>
      <c r="Q64" s="235">
        <f>IFERROR(__xludf.DUMMYFUNCTION("""COMPUTED_VALUE"""),9.0)</f>
        <v>9</v>
      </c>
      <c r="R64" s="235">
        <f>IFERROR(__xludf.DUMMYFUNCTION("""COMPUTED_VALUE"""),1541.0)</f>
        <v>1541</v>
      </c>
      <c r="S64" s="235">
        <f>IFERROR(__xludf.DUMMYFUNCTION("""COMPUTED_VALUE"""),1.0)</f>
        <v>1</v>
      </c>
      <c r="T64" s="235">
        <f>IFERROR(__xludf.DUMMYFUNCTION("""COMPUTED_VALUE"""),288.0)</f>
        <v>288</v>
      </c>
      <c r="U64" s="235">
        <f>IFERROR(__xludf.DUMMYFUNCTION("""COMPUTED_VALUE"""),115.0)</f>
        <v>115</v>
      </c>
      <c r="V64" s="235">
        <f>IFERROR(__xludf.DUMMYFUNCTION("""COMPUTED_VALUE"""),116.0)</f>
        <v>116</v>
      </c>
      <c r="W64" s="235">
        <f>IFERROR(__xludf.DUMMYFUNCTION("""COMPUTED_VALUE"""),22.0)</f>
        <v>22</v>
      </c>
      <c r="X64" s="235">
        <f>IFERROR(__xludf.DUMMYFUNCTION("""COMPUTED_VALUE"""),16.0)</f>
        <v>16</v>
      </c>
      <c r="Y64" s="235">
        <f>IFERROR(__xludf.DUMMYFUNCTION("""COMPUTED_VALUE"""),8.0)</f>
        <v>8</v>
      </c>
      <c r="Z64" s="235">
        <f>IFERROR(__xludf.DUMMYFUNCTION("""COMPUTED_VALUE"""),922.0)</f>
        <v>922</v>
      </c>
    </row>
    <row r="65">
      <c r="A65" s="234">
        <f>IFERROR(__xludf.DUMMYFUNCTION("""COMPUTED_VALUE"""),43999.0)</f>
        <v>43999</v>
      </c>
      <c r="B65" s="235">
        <f>IFERROR(__xludf.DUMMYFUNCTION("""COMPUTED_VALUE"""),127.0)</f>
        <v>127</v>
      </c>
      <c r="C65" s="235">
        <f>IFERROR(__xludf.DUMMYFUNCTION("""COMPUTED_VALUE"""),142.0)</f>
        <v>142</v>
      </c>
      <c r="D65" s="235">
        <f>IFERROR(__xludf.DUMMYFUNCTION("""COMPUTED_VALUE"""),23274.0)</f>
        <v>23274</v>
      </c>
      <c r="E65" s="235">
        <f>IFERROR(__xludf.DUMMYFUNCTION("""COMPUTED_VALUE"""),2835.0)</f>
        <v>2835</v>
      </c>
      <c r="F65" s="172">
        <f>IFERROR(__xludf.DUMMYFUNCTION("""COMPUTED_VALUE"""),196562.0)</f>
        <v>196562</v>
      </c>
      <c r="G65" s="172">
        <f>IFERROR(__xludf.DUMMYFUNCTION("""COMPUTED_VALUE"""),2962.0)</f>
        <v>2962</v>
      </c>
      <c r="H65" s="172">
        <f>IFERROR(__xludf.DUMMYFUNCTION("""COMPUTED_VALUE"""),219836.0)</f>
        <v>219836</v>
      </c>
      <c r="I65" s="235">
        <f>IFERROR(__xludf.DUMMYFUNCTION("""COMPUTED_VALUE"""),50.0)</f>
        <v>50</v>
      </c>
      <c r="J65" s="235">
        <f>IFERROR(__xludf.DUMMYFUNCTION("""COMPUTED_VALUE"""),58.0)</f>
        <v>58</v>
      </c>
      <c r="K65" s="235">
        <f>IFERROR(__xludf.DUMMYFUNCTION("""COMPUTED_VALUE"""),16218.0)</f>
        <v>16218</v>
      </c>
      <c r="L65" s="235">
        <f>IFERROR(__xludf.DUMMYFUNCTION("""COMPUTED_VALUE"""),1310.0)</f>
        <v>1310</v>
      </c>
      <c r="M65" s="235">
        <f>IFERROR(__xludf.DUMMYFUNCTION("""COMPUTED_VALUE"""),122467.0)</f>
        <v>122467</v>
      </c>
      <c r="N65" s="235">
        <f>IFERROR(__xludf.DUMMYFUNCTION("""COMPUTED_VALUE"""),138685.0)</f>
        <v>138685</v>
      </c>
      <c r="O65" s="235">
        <f>IFERROR(__xludf.DUMMYFUNCTION("""COMPUTED_VALUE"""),15.0)</f>
        <v>15</v>
      </c>
      <c r="P65" s="235">
        <f>IFERROR(__xludf.DUMMYFUNCTION("""COMPUTED_VALUE"""),1959.0)</f>
        <v>1959</v>
      </c>
      <c r="Q65" s="235">
        <f>IFERROR(__xludf.DUMMYFUNCTION("""COMPUTED_VALUE"""),22.0)</f>
        <v>22</v>
      </c>
      <c r="R65" s="235">
        <f>IFERROR(__xludf.DUMMYFUNCTION("""COMPUTED_VALUE"""),1563.0)</f>
        <v>1563</v>
      </c>
      <c r="S65" s="235">
        <f>IFERROR(__xludf.DUMMYFUNCTION("""COMPUTED_VALUE"""),4.0)</f>
        <v>4</v>
      </c>
      <c r="T65" s="235">
        <f>IFERROR(__xludf.DUMMYFUNCTION("""COMPUTED_VALUE"""),292.0)</f>
        <v>292</v>
      </c>
      <c r="U65" s="235">
        <f>IFERROR(__xludf.DUMMYFUNCTION("""COMPUTED_VALUE"""),104.0)</f>
        <v>104</v>
      </c>
      <c r="V65" s="235">
        <f>IFERROR(__xludf.DUMMYFUNCTION("""COMPUTED_VALUE"""),111.0)</f>
        <v>111</v>
      </c>
      <c r="W65" s="235">
        <f>IFERROR(__xludf.DUMMYFUNCTION("""COMPUTED_VALUE"""),18.0)</f>
        <v>18</v>
      </c>
      <c r="X65" s="235">
        <f>IFERROR(__xludf.DUMMYFUNCTION("""COMPUTED_VALUE"""),14.0)</f>
        <v>14</v>
      </c>
      <c r="Y65" s="235">
        <f>IFERROR(__xludf.DUMMYFUNCTION("""COMPUTED_VALUE"""),6.0)</f>
        <v>6</v>
      </c>
      <c r="Z65" s="235">
        <f>IFERROR(__xludf.DUMMYFUNCTION("""COMPUTED_VALUE"""),928.0)</f>
        <v>928</v>
      </c>
    </row>
    <row r="66">
      <c r="A66" s="234">
        <f>IFERROR(__xludf.DUMMYFUNCTION("""COMPUTED_VALUE"""),44000.0)</f>
        <v>44000</v>
      </c>
      <c r="B66" s="235">
        <f>IFERROR(__xludf.DUMMYFUNCTION("""COMPUTED_VALUE"""),149.0)</f>
        <v>149</v>
      </c>
      <c r="C66" s="235">
        <f>IFERROR(__xludf.DUMMYFUNCTION("""COMPUTED_VALUE"""),129.0)</f>
        <v>129</v>
      </c>
      <c r="D66" s="235">
        <f>IFERROR(__xludf.DUMMYFUNCTION("""COMPUTED_VALUE"""),23423.0)</f>
        <v>23423</v>
      </c>
      <c r="E66" s="235">
        <f>IFERROR(__xludf.DUMMYFUNCTION("""COMPUTED_VALUE"""),3048.0)</f>
        <v>3048</v>
      </c>
      <c r="F66" s="172">
        <f>IFERROR(__xludf.DUMMYFUNCTION("""COMPUTED_VALUE"""),199610.0)</f>
        <v>199610</v>
      </c>
      <c r="G66" s="172">
        <f>IFERROR(__xludf.DUMMYFUNCTION("""COMPUTED_VALUE"""),3197.0)</f>
        <v>3197</v>
      </c>
      <c r="H66" s="172">
        <f>IFERROR(__xludf.DUMMYFUNCTION("""COMPUTED_VALUE"""),223033.0)</f>
        <v>223033</v>
      </c>
      <c r="I66" s="235">
        <f>IFERROR(__xludf.DUMMYFUNCTION("""COMPUTED_VALUE"""),70.0)</f>
        <v>70</v>
      </c>
      <c r="J66" s="235">
        <f>IFERROR(__xludf.DUMMYFUNCTION("""COMPUTED_VALUE"""),57.0)</f>
        <v>57</v>
      </c>
      <c r="K66" s="235">
        <f>IFERROR(__xludf.DUMMYFUNCTION("""COMPUTED_VALUE"""),16288.0)</f>
        <v>16288</v>
      </c>
      <c r="L66" s="235">
        <f>IFERROR(__xludf.DUMMYFUNCTION("""COMPUTED_VALUE"""),1308.0)</f>
        <v>1308</v>
      </c>
      <c r="M66" s="235">
        <f>IFERROR(__xludf.DUMMYFUNCTION("""COMPUTED_VALUE"""),123775.0)</f>
        <v>123775</v>
      </c>
      <c r="N66" s="235">
        <f>IFERROR(__xludf.DUMMYFUNCTION("""COMPUTED_VALUE"""),140063.0)</f>
        <v>140063</v>
      </c>
      <c r="O66" s="235">
        <f>IFERROR(__xludf.DUMMYFUNCTION("""COMPUTED_VALUE"""),9.0)</f>
        <v>9</v>
      </c>
      <c r="P66" s="235">
        <f>IFERROR(__xludf.DUMMYFUNCTION("""COMPUTED_VALUE"""),1968.0)</f>
        <v>1968</v>
      </c>
      <c r="Q66" s="235">
        <f>IFERROR(__xludf.DUMMYFUNCTION("""COMPUTED_VALUE"""),15.0)</f>
        <v>15</v>
      </c>
      <c r="R66" s="235">
        <f>IFERROR(__xludf.DUMMYFUNCTION("""COMPUTED_VALUE"""),1578.0)</f>
        <v>1578</v>
      </c>
      <c r="S66" s="235">
        <f>IFERROR(__xludf.DUMMYFUNCTION("""COMPUTED_VALUE"""),1.0)</f>
        <v>1</v>
      </c>
      <c r="T66" s="235">
        <f>IFERROR(__xludf.DUMMYFUNCTION("""COMPUTED_VALUE"""),293.0)</f>
        <v>293</v>
      </c>
      <c r="U66" s="235">
        <f>IFERROR(__xludf.DUMMYFUNCTION("""COMPUTED_VALUE"""),97.0)</f>
        <v>97</v>
      </c>
      <c r="V66" s="235">
        <f>IFERROR(__xludf.DUMMYFUNCTION("""COMPUTED_VALUE"""),105.0)</f>
        <v>105</v>
      </c>
      <c r="W66" s="235">
        <f>IFERROR(__xludf.DUMMYFUNCTION("""COMPUTED_VALUE"""),19.0)</f>
        <v>19</v>
      </c>
      <c r="X66" s="235">
        <f>IFERROR(__xludf.DUMMYFUNCTION("""COMPUTED_VALUE"""),16.0)</f>
        <v>16</v>
      </c>
      <c r="Y66" s="235">
        <f>IFERROR(__xludf.DUMMYFUNCTION("""COMPUTED_VALUE"""),7.0)</f>
        <v>7</v>
      </c>
      <c r="Z66" s="235">
        <f>IFERROR(__xludf.DUMMYFUNCTION("""COMPUTED_VALUE"""),935.0)</f>
        <v>935</v>
      </c>
    </row>
    <row r="67">
      <c r="A67" s="234">
        <f>IFERROR(__xludf.DUMMYFUNCTION("""COMPUTED_VALUE"""),44001.0)</f>
        <v>44001</v>
      </c>
      <c r="B67" s="235">
        <f>IFERROR(__xludf.DUMMYFUNCTION("""COMPUTED_VALUE"""),141.0)</f>
        <v>141</v>
      </c>
      <c r="C67" s="235">
        <f>IFERROR(__xludf.DUMMYFUNCTION("""COMPUTED_VALUE"""),139.0)</f>
        <v>139</v>
      </c>
      <c r="D67" s="235">
        <f>IFERROR(__xludf.DUMMYFUNCTION("""COMPUTED_VALUE"""),23564.0)</f>
        <v>23564</v>
      </c>
      <c r="E67" s="235">
        <f>IFERROR(__xludf.DUMMYFUNCTION("""COMPUTED_VALUE"""),3769.0)</f>
        <v>3769</v>
      </c>
      <c r="F67" s="172">
        <f>IFERROR(__xludf.DUMMYFUNCTION("""COMPUTED_VALUE"""),203379.0)</f>
        <v>203379</v>
      </c>
      <c r="G67" s="172">
        <f>IFERROR(__xludf.DUMMYFUNCTION("""COMPUTED_VALUE"""),3910.0)</f>
        <v>3910</v>
      </c>
      <c r="H67" s="172">
        <f>IFERROR(__xludf.DUMMYFUNCTION("""COMPUTED_VALUE"""),226943.0)</f>
        <v>226943</v>
      </c>
      <c r="I67" s="235">
        <f>IFERROR(__xludf.DUMMYFUNCTION("""COMPUTED_VALUE"""),59.0)</f>
        <v>59</v>
      </c>
      <c r="J67" s="235">
        <f>IFERROR(__xludf.DUMMYFUNCTION("""COMPUTED_VALUE"""),60.0)</f>
        <v>60</v>
      </c>
      <c r="K67" s="235">
        <f>IFERROR(__xludf.DUMMYFUNCTION("""COMPUTED_VALUE"""),16347.0)</f>
        <v>16347</v>
      </c>
      <c r="L67" s="235">
        <f>IFERROR(__xludf.DUMMYFUNCTION("""COMPUTED_VALUE"""),1355.0)</f>
        <v>1355</v>
      </c>
      <c r="M67" s="235">
        <f>IFERROR(__xludf.DUMMYFUNCTION("""COMPUTED_VALUE"""),125130.0)</f>
        <v>125130</v>
      </c>
      <c r="N67" s="235">
        <f>IFERROR(__xludf.DUMMYFUNCTION("""COMPUTED_VALUE"""),141477.0)</f>
        <v>141477</v>
      </c>
      <c r="O67" s="235">
        <f>IFERROR(__xludf.DUMMYFUNCTION("""COMPUTED_VALUE"""),12.0)</f>
        <v>12</v>
      </c>
      <c r="P67" s="235">
        <f>IFERROR(__xludf.DUMMYFUNCTION("""COMPUTED_VALUE"""),1980.0)</f>
        <v>1980</v>
      </c>
      <c r="Q67" s="235">
        <f>IFERROR(__xludf.DUMMYFUNCTION("""COMPUTED_VALUE"""),12.0)</f>
        <v>12</v>
      </c>
      <c r="R67" s="235">
        <f>IFERROR(__xludf.DUMMYFUNCTION("""COMPUTED_VALUE"""),1590.0)</f>
        <v>1590</v>
      </c>
      <c r="S67" s="235">
        <f>IFERROR(__xludf.DUMMYFUNCTION("""COMPUTED_VALUE"""),1.0)</f>
        <v>1</v>
      </c>
      <c r="T67" s="235">
        <f>IFERROR(__xludf.DUMMYFUNCTION("""COMPUTED_VALUE"""),294.0)</f>
        <v>294</v>
      </c>
      <c r="U67" s="235">
        <f>IFERROR(__xludf.DUMMYFUNCTION("""COMPUTED_VALUE"""),96.0)</f>
        <v>96</v>
      </c>
      <c r="V67" s="235">
        <f>IFERROR(__xludf.DUMMYFUNCTION("""COMPUTED_VALUE"""),99.0)</f>
        <v>99</v>
      </c>
      <c r="W67" s="235">
        <f>IFERROR(__xludf.DUMMYFUNCTION("""COMPUTED_VALUE"""),20.0)</f>
        <v>20</v>
      </c>
      <c r="X67" s="235">
        <f>IFERROR(__xludf.DUMMYFUNCTION("""COMPUTED_VALUE"""),17.0)</f>
        <v>17</v>
      </c>
      <c r="Y67" s="235">
        <f>IFERROR(__xludf.DUMMYFUNCTION("""COMPUTED_VALUE"""),3.0)</f>
        <v>3</v>
      </c>
      <c r="Z67" s="235">
        <f>IFERROR(__xludf.DUMMYFUNCTION("""COMPUTED_VALUE"""),938.0)</f>
        <v>938</v>
      </c>
    </row>
    <row r="68">
      <c r="A68" s="234">
        <f>IFERROR(__xludf.DUMMYFUNCTION("""COMPUTED_VALUE"""),44002.0)</f>
        <v>44002</v>
      </c>
      <c r="B68" s="235">
        <f>IFERROR(__xludf.DUMMYFUNCTION("""COMPUTED_VALUE"""),84.0)</f>
        <v>84</v>
      </c>
      <c r="C68" s="235">
        <f>IFERROR(__xludf.DUMMYFUNCTION("""COMPUTED_VALUE"""),125.0)</f>
        <v>125</v>
      </c>
      <c r="D68" s="235">
        <f>IFERROR(__xludf.DUMMYFUNCTION("""COMPUTED_VALUE"""),23648.0)</f>
        <v>23648</v>
      </c>
      <c r="E68" s="235">
        <f>IFERROR(__xludf.DUMMYFUNCTION("""COMPUTED_VALUE"""),1891.0)</f>
        <v>1891</v>
      </c>
      <c r="F68" s="172">
        <f>IFERROR(__xludf.DUMMYFUNCTION("""COMPUTED_VALUE"""),205270.0)</f>
        <v>205270</v>
      </c>
      <c r="G68" s="172">
        <f>IFERROR(__xludf.DUMMYFUNCTION("""COMPUTED_VALUE"""),1975.0)</f>
        <v>1975</v>
      </c>
      <c r="H68" s="172">
        <f>IFERROR(__xludf.DUMMYFUNCTION("""COMPUTED_VALUE"""),228918.0)</f>
        <v>228918</v>
      </c>
      <c r="I68" s="235">
        <f>IFERROR(__xludf.DUMMYFUNCTION("""COMPUTED_VALUE"""),36.0)</f>
        <v>36</v>
      </c>
      <c r="J68" s="235">
        <f>IFERROR(__xludf.DUMMYFUNCTION("""COMPUTED_VALUE"""),55.0)</f>
        <v>55</v>
      </c>
      <c r="K68" s="235">
        <f>IFERROR(__xludf.DUMMYFUNCTION("""COMPUTED_VALUE"""),16383.0)</f>
        <v>16383</v>
      </c>
      <c r="L68" s="235">
        <f>IFERROR(__xludf.DUMMYFUNCTION("""COMPUTED_VALUE"""),810.0)</f>
        <v>810</v>
      </c>
      <c r="M68" s="235">
        <f>IFERROR(__xludf.DUMMYFUNCTION("""COMPUTED_VALUE"""),125940.0)</f>
        <v>125940</v>
      </c>
      <c r="N68" s="235">
        <f>IFERROR(__xludf.DUMMYFUNCTION("""COMPUTED_VALUE"""),142323.0)</f>
        <v>142323</v>
      </c>
      <c r="O68" s="235">
        <f>IFERROR(__xludf.DUMMYFUNCTION("""COMPUTED_VALUE"""),9.0)</f>
        <v>9</v>
      </c>
      <c r="P68" s="235">
        <f>IFERROR(__xludf.DUMMYFUNCTION("""COMPUTED_VALUE"""),1989.0)</f>
        <v>1989</v>
      </c>
      <c r="Q68" s="235">
        <f>IFERROR(__xludf.DUMMYFUNCTION("""COMPUTED_VALUE"""),12.0)</f>
        <v>12</v>
      </c>
      <c r="R68" s="235">
        <f>IFERROR(__xludf.DUMMYFUNCTION("""COMPUTED_VALUE"""),1602.0)</f>
        <v>1602</v>
      </c>
      <c r="S68" s="235">
        <f>IFERROR(__xludf.DUMMYFUNCTION("""COMPUTED_VALUE"""),0.0)</f>
        <v>0</v>
      </c>
      <c r="T68" s="235">
        <f>IFERROR(__xludf.DUMMYFUNCTION("""COMPUTED_VALUE"""),294.0)</f>
        <v>294</v>
      </c>
      <c r="U68" s="235">
        <f>IFERROR(__xludf.DUMMYFUNCTION("""COMPUTED_VALUE"""),93.0)</f>
        <v>93</v>
      </c>
      <c r="V68" s="235">
        <f>IFERROR(__xludf.DUMMYFUNCTION("""COMPUTED_VALUE"""),95.0)</f>
        <v>95</v>
      </c>
      <c r="W68" s="235">
        <f>IFERROR(__xludf.DUMMYFUNCTION("""COMPUTED_VALUE"""),20.0)</f>
        <v>20</v>
      </c>
      <c r="X68" s="235">
        <f>IFERROR(__xludf.DUMMYFUNCTION("""COMPUTED_VALUE"""),18.0)</f>
        <v>18</v>
      </c>
      <c r="Y68" s="235">
        <f>IFERROR(__xludf.DUMMYFUNCTION("""COMPUTED_VALUE"""),4.0)</f>
        <v>4</v>
      </c>
      <c r="Z68" s="235">
        <f>IFERROR(__xludf.DUMMYFUNCTION("""COMPUTED_VALUE"""),942.0)</f>
        <v>942</v>
      </c>
    </row>
    <row r="69">
      <c r="A69" s="234">
        <f>IFERROR(__xludf.DUMMYFUNCTION("""COMPUTED_VALUE"""),44003.0)</f>
        <v>44003</v>
      </c>
      <c r="B69" s="235">
        <f>IFERROR(__xludf.DUMMYFUNCTION("""COMPUTED_VALUE"""),37.0)</f>
        <v>37</v>
      </c>
      <c r="C69" s="235">
        <f>IFERROR(__xludf.DUMMYFUNCTION("""COMPUTED_VALUE"""),87.0)</f>
        <v>87</v>
      </c>
      <c r="D69" s="235">
        <f>IFERROR(__xludf.DUMMYFUNCTION("""COMPUTED_VALUE"""),23685.0)</f>
        <v>23685</v>
      </c>
      <c r="E69" s="235">
        <f>IFERROR(__xludf.DUMMYFUNCTION("""COMPUTED_VALUE"""),1064.0)</f>
        <v>1064</v>
      </c>
      <c r="F69" s="172">
        <f>IFERROR(__xludf.DUMMYFUNCTION("""COMPUTED_VALUE"""),206334.0)</f>
        <v>206334</v>
      </c>
      <c r="G69" s="172">
        <f>IFERROR(__xludf.DUMMYFUNCTION("""COMPUTED_VALUE"""),1101.0)</f>
        <v>1101</v>
      </c>
      <c r="H69" s="172">
        <f>IFERROR(__xludf.DUMMYFUNCTION("""COMPUTED_VALUE"""),230019.0)</f>
        <v>230019</v>
      </c>
      <c r="I69" s="235">
        <f>IFERROR(__xludf.DUMMYFUNCTION("""COMPUTED_VALUE"""),30.0)</f>
        <v>30</v>
      </c>
      <c r="J69" s="235">
        <f>IFERROR(__xludf.DUMMYFUNCTION("""COMPUTED_VALUE"""),42.0)</f>
        <v>42</v>
      </c>
      <c r="K69" s="235">
        <f>IFERROR(__xludf.DUMMYFUNCTION("""COMPUTED_VALUE"""),16413.0)</f>
        <v>16413</v>
      </c>
      <c r="L69" s="235">
        <f>IFERROR(__xludf.DUMMYFUNCTION("""COMPUTED_VALUE"""),687.0)</f>
        <v>687</v>
      </c>
      <c r="M69" s="235">
        <f>IFERROR(__xludf.DUMMYFUNCTION("""COMPUTED_VALUE"""),126627.0)</f>
        <v>126627</v>
      </c>
      <c r="N69" s="235">
        <f>IFERROR(__xludf.DUMMYFUNCTION("""COMPUTED_VALUE"""),143040.0)</f>
        <v>143040</v>
      </c>
      <c r="O69" s="235">
        <f>IFERROR(__xludf.DUMMYFUNCTION("""COMPUTED_VALUE"""),8.0)</f>
        <v>8</v>
      </c>
      <c r="P69" s="235">
        <f>IFERROR(__xludf.DUMMYFUNCTION("""COMPUTED_VALUE"""),1997.0)</f>
        <v>1997</v>
      </c>
      <c r="Q69" s="235">
        <f>IFERROR(__xludf.DUMMYFUNCTION("""COMPUTED_VALUE"""),5.0)</f>
        <v>5</v>
      </c>
      <c r="R69" s="235">
        <f>IFERROR(__xludf.DUMMYFUNCTION("""COMPUTED_VALUE"""),1607.0)</f>
        <v>1607</v>
      </c>
      <c r="S69" s="235">
        <f>IFERROR(__xludf.DUMMYFUNCTION("""COMPUTED_VALUE"""),0.0)</f>
        <v>0</v>
      </c>
      <c r="T69" s="235">
        <f>IFERROR(__xludf.DUMMYFUNCTION("""COMPUTED_VALUE"""),294.0)</f>
        <v>294</v>
      </c>
      <c r="U69" s="235">
        <f>IFERROR(__xludf.DUMMYFUNCTION("""COMPUTED_VALUE"""),96.0)</f>
        <v>96</v>
      </c>
      <c r="V69" s="235">
        <f>IFERROR(__xludf.DUMMYFUNCTION("""COMPUTED_VALUE"""),95.0)</f>
        <v>95</v>
      </c>
      <c r="W69" s="235">
        <f>IFERROR(__xludf.DUMMYFUNCTION("""COMPUTED_VALUE"""),20.0)</f>
        <v>20</v>
      </c>
      <c r="X69" s="235">
        <f>IFERROR(__xludf.DUMMYFUNCTION("""COMPUTED_VALUE"""),18.0)</f>
        <v>18</v>
      </c>
      <c r="Y69" s="235">
        <f>IFERROR(__xludf.DUMMYFUNCTION("""COMPUTED_VALUE"""),2.0)</f>
        <v>2</v>
      </c>
      <c r="Z69" s="235">
        <f>IFERROR(__xludf.DUMMYFUNCTION("""COMPUTED_VALUE"""),944.0)</f>
        <v>944</v>
      </c>
    </row>
    <row r="70">
      <c r="A70" s="234">
        <f>IFERROR(__xludf.DUMMYFUNCTION("""COMPUTED_VALUE"""),44004.0)</f>
        <v>44004</v>
      </c>
      <c r="B70" s="235">
        <f>IFERROR(__xludf.DUMMYFUNCTION("""COMPUTED_VALUE"""),138.0)</f>
        <v>138</v>
      </c>
      <c r="C70" s="235">
        <f>IFERROR(__xludf.DUMMYFUNCTION("""COMPUTED_VALUE"""),86.0)</f>
        <v>86</v>
      </c>
      <c r="D70" s="235">
        <f>IFERROR(__xludf.DUMMYFUNCTION("""COMPUTED_VALUE"""),23823.0)</f>
        <v>23823</v>
      </c>
      <c r="E70" s="235">
        <f>IFERROR(__xludf.DUMMYFUNCTION("""COMPUTED_VALUE"""),3730.0)</f>
        <v>3730</v>
      </c>
      <c r="F70" s="172">
        <f>IFERROR(__xludf.DUMMYFUNCTION("""COMPUTED_VALUE"""),210064.0)</f>
        <v>210064</v>
      </c>
      <c r="G70" s="172">
        <f>IFERROR(__xludf.DUMMYFUNCTION("""COMPUTED_VALUE"""),3868.0)</f>
        <v>3868</v>
      </c>
      <c r="H70" s="172">
        <f>IFERROR(__xludf.DUMMYFUNCTION("""COMPUTED_VALUE"""),233887.0)</f>
        <v>233887</v>
      </c>
      <c r="I70" s="235">
        <f>IFERROR(__xludf.DUMMYFUNCTION("""COMPUTED_VALUE"""),65.0)</f>
        <v>65</v>
      </c>
      <c r="J70" s="235">
        <f>IFERROR(__xludf.DUMMYFUNCTION("""COMPUTED_VALUE"""),44.0)</f>
        <v>44</v>
      </c>
      <c r="K70" s="235">
        <f>IFERROR(__xludf.DUMMYFUNCTION("""COMPUTED_VALUE"""),16478.0)</f>
        <v>16478</v>
      </c>
      <c r="L70" s="235">
        <f>IFERROR(__xludf.DUMMYFUNCTION("""COMPUTED_VALUE"""),1697.0)</f>
        <v>1697</v>
      </c>
      <c r="M70" s="235">
        <f>IFERROR(__xludf.DUMMYFUNCTION("""COMPUTED_VALUE"""),128324.0)</f>
        <v>128324</v>
      </c>
      <c r="N70" s="235">
        <f>IFERROR(__xludf.DUMMYFUNCTION("""COMPUTED_VALUE"""),144802.0)</f>
        <v>144802</v>
      </c>
      <c r="O70" s="235">
        <f>IFERROR(__xludf.DUMMYFUNCTION("""COMPUTED_VALUE"""),12.0)</f>
        <v>12</v>
      </c>
      <c r="P70" s="235">
        <f>IFERROR(__xludf.DUMMYFUNCTION("""COMPUTED_VALUE"""),2009.0)</f>
        <v>2009</v>
      </c>
      <c r="Q70" s="235">
        <f>IFERROR(__xludf.DUMMYFUNCTION("""COMPUTED_VALUE"""),16.0)</f>
        <v>16</v>
      </c>
      <c r="R70" s="235">
        <f>IFERROR(__xludf.DUMMYFUNCTION("""COMPUTED_VALUE"""),1623.0)</f>
        <v>1623</v>
      </c>
      <c r="S70" s="235">
        <f>IFERROR(__xludf.DUMMYFUNCTION("""COMPUTED_VALUE"""),0.0)</f>
        <v>0</v>
      </c>
      <c r="T70" s="235">
        <f>IFERROR(__xludf.DUMMYFUNCTION("""COMPUTED_VALUE"""),294.0)</f>
        <v>294</v>
      </c>
      <c r="U70" s="235">
        <f>IFERROR(__xludf.DUMMYFUNCTION("""COMPUTED_VALUE"""),92.0)</f>
        <v>92</v>
      </c>
      <c r="V70" s="235">
        <f>IFERROR(__xludf.DUMMYFUNCTION("""COMPUTED_VALUE"""),94.0)</f>
        <v>94</v>
      </c>
      <c r="W70" s="235">
        <f>IFERROR(__xludf.DUMMYFUNCTION("""COMPUTED_VALUE"""),19.0)</f>
        <v>19</v>
      </c>
      <c r="X70" s="235">
        <f>IFERROR(__xludf.DUMMYFUNCTION("""COMPUTED_VALUE"""),18.0)</f>
        <v>18</v>
      </c>
      <c r="Y70" s="235">
        <f>IFERROR(__xludf.DUMMYFUNCTION("""COMPUTED_VALUE"""),2.0)</f>
        <v>2</v>
      </c>
      <c r="Z70" s="235">
        <f>IFERROR(__xludf.DUMMYFUNCTION("""COMPUTED_VALUE"""),946.0)</f>
        <v>946</v>
      </c>
    </row>
    <row r="71">
      <c r="A71" s="234">
        <f>IFERROR(__xludf.DUMMYFUNCTION("""COMPUTED_VALUE"""),44005.0)</f>
        <v>44005</v>
      </c>
      <c r="B71" s="235">
        <f>IFERROR(__xludf.DUMMYFUNCTION("""COMPUTED_VALUE"""),163.0)</f>
        <v>163</v>
      </c>
      <c r="C71" s="235">
        <f>IFERROR(__xludf.DUMMYFUNCTION("""COMPUTED_VALUE"""),113.0)</f>
        <v>113</v>
      </c>
      <c r="D71" s="235">
        <f>IFERROR(__xludf.DUMMYFUNCTION("""COMPUTED_VALUE"""),23986.0)</f>
        <v>23986</v>
      </c>
      <c r="E71" s="235">
        <f>IFERROR(__xludf.DUMMYFUNCTION("""COMPUTED_VALUE"""),3831.0)</f>
        <v>3831</v>
      </c>
      <c r="F71" s="172">
        <f>IFERROR(__xludf.DUMMYFUNCTION("""COMPUTED_VALUE"""),213895.0)</f>
        <v>213895</v>
      </c>
      <c r="G71" s="172">
        <f>IFERROR(__xludf.DUMMYFUNCTION("""COMPUTED_VALUE"""),3994.0)</f>
        <v>3994</v>
      </c>
      <c r="H71" s="172">
        <f>IFERROR(__xludf.DUMMYFUNCTION("""COMPUTED_VALUE"""),237881.0)</f>
        <v>237881</v>
      </c>
      <c r="I71" s="235">
        <f>IFERROR(__xludf.DUMMYFUNCTION("""COMPUTED_VALUE"""),81.0)</f>
        <v>81</v>
      </c>
      <c r="J71" s="235">
        <f>IFERROR(__xludf.DUMMYFUNCTION("""COMPUTED_VALUE"""),59.0)</f>
        <v>59</v>
      </c>
      <c r="K71" s="235">
        <f>IFERROR(__xludf.DUMMYFUNCTION("""COMPUTED_VALUE"""),16559.0)</f>
        <v>16559</v>
      </c>
      <c r="L71" s="235">
        <f>IFERROR(__xludf.DUMMYFUNCTION("""COMPUTED_VALUE"""),1770.0)</f>
        <v>1770</v>
      </c>
      <c r="M71" s="235">
        <f>IFERROR(__xludf.DUMMYFUNCTION("""COMPUTED_VALUE"""),130094.0)</f>
        <v>130094</v>
      </c>
      <c r="N71" s="235">
        <f>IFERROR(__xludf.DUMMYFUNCTION("""COMPUTED_VALUE"""),146653.0)</f>
        <v>146653</v>
      </c>
      <c r="O71" s="235">
        <f>IFERROR(__xludf.DUMMYFUNCTION("""COMPUTED_VALUE"""),3.0)</f>
        <v>3</v>
      </c>
      <c r="P71" s="235">
        <f>IFERROR(__xludf.DUMMYFUNCTION("""COMPUTED_VALUE"""),2012.0)</f>
        <v>2012</v>
      </c>
      <c r="Q71" s="235">
        <f>IFERROR(__xludf.DUMMYFUNCTION("""COMPUTED_VALUE"""),13.0)</f>
        <v>13</v>
      </c>
      <c r="R71" s="235">
        <f>IFERROR(__xludf.DUMMYFUNCTION("""COMPUTED_VALUE"""),1636.0)</f>
        <v>1636</v>
      </c>
      <c r="S71" s="235">
        <f>IFERROR(__xludf.DUMMYFUNCTION("""COMPUTED_VALUE"""),3.0)</f>
        <v>3</v>
      </c>
      <c r="T71" s="235">
        <f>IFERROR(__xludf.DUMMYFUNCTION("""COMPUTED_VALUE"""),297.0)</f>
        <v>297</v>
      </c>
      <c r="U71" s="235">
        <f>IFERROR(__xludf.DUMMYFUNCTION("""COMPUTED_VALUE"""),79.0)</f>
        <v>79</v>
      </c>
      <c r="V71" s="235">
        <f>IFERROR(__xludf.DUMMYFUNCTION("""COMPUTED_VALUE"""),89.0)</f>
        <v>89</v>
      </c>
      <c r="W71" s="235">
        <f>IFERROR(__xludf.DUMMYFUNCTION("""COMPUTED_VALUE"""),18.0)</f>
        <v>18</v>
      </c>
      <c r="X71" s="235">
        <f>IFERROR(__xludf.DUMMYFUNCTION("""COMPUTED_VALUE"""),18.0)</f>
        <v>18</v>
      </c>
      <c r="Y71" s="235">
        <f>IFERROR(__xludf.DUMMYFUNCTION("""COMPUTED_VALUE"""),7.0)</f>
        <v>7</v>
      </c>
      <c r="Z71" s="235">
        <f>IFERROR(__xludf.DUMMYFUNCTION("""COMPUTED_VALUE"""),953.0)</f>
        <v>953</v>
      </c>
    </row>
    <row r="72">
      <c r="A72" s="234">
        <f>IFERROR(__xludf.DUMMYFUNCTION("""COMPUTED_VALUE"""),44006.0)</f>
        <v>44006</v>
      </c>
      <c r="B72" s="235">
        <f>IFERROR(__xludf.DUMMYFUNCTION("""COMPUTED_VALUE"""),120.0)</f>
        <v>120</v>
      </c>
      <c r="C72" s="235">
        <f>IFERROR(__xludf.DUMMYFUNCTION("""COMPUTED_VALUE"""),140.0)</f>
        <v>140</v>
      </c>
      <c r="D72" s="235">
        <f>IFERROR(__xludf.DUMMYFUNCTION("""COMPUTED_VALUE"""),24106.0)</f>
        <v>24106</v>
      </c>
      <c r="E72" s="235">
        <f>IFERROR(__xludf.DUMMYFUNCTION("""COMPUTED_VALUE"""),3502.0)</f>
        <v>3502</v>
      </c>
      <c r="F72" s="172">
        <f>IFERROR(__xludf.DUMMYFUNCTION("""COMPUTED_VALUE"""),217397.0)</f>
        <v>217397</v>
      </c>
      <c r="G72" s="172">
        <f>IFERROR(__xludf.DUMMYFUNCTION("""COMPUTED_VALUE"""),3622.0)</f>
        <v>3622</v>
      </c>
      <c r="H72" s="172">
        <f>IFERROR(__xludf.DUMMYFUNCTION("""COMPUTED_VALUE"""),241503.0)</f>
        <v>241503</v>
      </c>
      <c r="I72" s="235">
        <f>IFERROR(__xludf.DUMMYFUNCTION("""COMPUTED_VALUE"""),44.0)</f>
        <v>44</v>
      </c>
      <c r="J72" s="235">
        <f>IFERROR(__xludf.DUMMYFUNCTION("""COMPUTED_VALUE"""),63.0)</f>
        <v>63</v>
      </c>
      <c r="K72" s="235">
        <f>IFERROR(__xludf.DUMMYFUNCTION("""COMPUTED_VALUE"""),16603.0)</f>
        <v>16603</v>
      </c>
      <c r="L72" s="235">
        <f>IFERROR(__xludf.DUMMYFUNCTION("""COMPUTED_VALUE"""),1675.0)</f>
        <v>1675</v>
      </c>
      <c r="M72" s="235">
        <f>IFERROR(__xludf.DUMMYFUNCTION("""COMPUTED_VALUE"""),131769.0)</f>
        <v>131769</v>
      </c>
      <c r="N72" s="235">
        <f>IFERROR(__xludf.DUMMYFUNCTION("""COMPUTED_VALUE"""),148372.0)</f>
        <v>148372</v>
      </c>
      <c r="O72" s="235">
        <f>IFERROR(__xludf.DUMMYFUNCTION("""COMPUTED_VALUE"""),9.0)</f>
        <v>9</v>
      </c>
      <c r="P72" s="235">
        <f>IFERROR(__xludf.DUMMYFUNCTION("""COMPUTED_VALUE"""),2021.0)</f>
        <v>2021</v>
      </c>
      <c r="Q72" s="235">
        <f>IFERROR(__xludf.DUMMYFUNCTION("""COMPUTED_VALUE"""),11.0)</f>
        <v>11</v>
      </c>
      <c r="R72" s="235">
        <f>IFERROR(__xludf.DUMMYFUNCTION("""COMPUTED_VALUE"""),1647.0)</f>
        <v>1647</v>
      </c>
      <c r="S72" s="235">
        <f>IFERROR(__xludf.DUMMYFUNCTION("""COMPUTED_VALUE"""),1.0)</f>
        <v>1</v>
      </c>
      <c r="T72" s="235">
        <f>IFERROR(__xludf.DUMMYFUNCTION("""COMPUTED_VALUE"""),298.0)</f>
        <v>298</v>
      </c>
      <c r="U72" s="235">
        <f>IFERROR(__xludf.DUMMYFUNCTION("""COMPUTED_VALUE"""),76.0)</f>
        <v>76</v>
      </c>
      <c r="V72" s="235">
        <f>IFERROR(__xludf.DUMMYFUNCTION("""COMPUTED_VALUE"""),82.0)</f>
        <v>82</v>
      </c>
      <c r="W72" s="235">
        <f>IFERROR(__xludf.DUMMYFUNCTION("""COMPUTED_VALUE"""),18.0)</f>
        <v>18</v>
      </c>
      <c r="X72" s="235">
        <f>IFERROR(__xludf.DUMMYFUNCTION("""COMPUTED_VALUE"""),18.0)</f>
        <v>18</v>
      </c>
      <c r="Y72" s="235">
        <f>IFERROR(__xludf.DUMMYFUNCTION("""COMPUTED_VALUE"""),5.0)</f>
        <v>5</v>
      </c>
      <c r="Z72" s="235">
        <f>IFERROR(__xludf.DUMMYFUNCTION("""COMPUTED_VALUE"""),958.0)</f>
        <v>958</v>
      </c>
    </row>
    <row r="73">
      <c r="A73" s="234">
        <f>IFERROR(__xludf.DUMMYFUNCTION("""COMPUTED_VALUE"""),44007.0)</f>
        <v>44007</v>
      </c>
      <c r="B73" s="235">
        <f>IFERROR(__xludf.DUMMYFUNCTION("""COMPUTED_VALUE"""),103.0)</f>
        <v>103</v>
      </c>
      <c r="C73" s="235">
        <f>IFERROR(__xludf.DUMMYFUNCTION("""COMPUTED_VALUE"""),129.0)</f>
        <v>129</v>
      </c>
      <c r="D73" s="235">
        <f>IFERROR(__xludf.DUMMYFUNCTION("""COMPUTED_VALUE"""),24209.0)</f>
        <v>24209</v>
      </c>
      <c r="E73" s="235">
        <f>IFERROR(__xludf.DUMMYFUNCTION("""COMPUTED_VALUE"""),2883.0)</f>
        <v>2883</v>
      </c>
      <c r="F73" s="172">
        <f>IFERROR(__xludf.DUMMYFUNCTION("""COMPUTED_VALUE"""),220280.0)</f>
        <v>220280</v>
      </c>
      <c r="G73" s="172">
        <f>IFERROR(__xludf.DUMMYFUNCTION("""COMPUTED_VALUE"""),2986.0)</f>
        <v>2986</v>
      </c>
      <c r="H73" s="172">
        <f>IFERROR(__xludf.DUMMYFUNCTION("""COMPUTED_VALUE"""),244489.0)</f>
        <v>244489</v>
      </c>
      <c r="I73" s="235">
        <f>IFERROR(__xludf.DUMMYFUNCTION("""COMPUTED_VALUE"""),50.0)</f>
        <v>50</v>
      </c>
      <c r="J73" s="235">
        <f>IFERROR(__xludf.DUMMYFUNCTION("""COMPUTED_VALUE"""),58.0)</f>
        <v>58</v>
      </c>
      <c r="K73" s="235">
        <f>IFERROR(__xludf.DUMMYFUNCTION("""COMPUTED_VALUE"""),16653.0)</f>
        <v>16653</v>
      </c>
      <c r="L73" s="235">
        <f>IFERROR(__xludf.DUMMYFUNCTION("""COMPUTED_VALUE"""),1497.0)</f>
        <v>1497</v>
      </c>
      <c r="M73" s="235">
        <f>IFERROR(__xludf.DUMMYFUNCTION("""COMPUTED_VALUE"""),133266.0)</f>
        <v>133266</v>
      </c>
      <c r="N73" s="235">
        <f>IFERROR(__xludf.DUMMYFUNCTION("""COMPUTED_VALUE"""),149919.0)</f>
        <v>149919</v>
      </c>
      <c r="O73" s="235">
        <f>IFERROR(__xludf.DUMMYFUNCTION("""COMPUTED_VALUE"""),6.0)</f>
        <v>6</v>
      </c>
      <c r="P73" s="235">
        <f>IFERROR(__xludf.DUMMYFUNCTION("""COMPUTED_VALUE"""),2027.0)</f>
        <v>2027</v>
      </c>
      <c r="Q73" s="235">
        <f>IFERROR(__xludf.DUMMYFUNCTION("""COMPUTED_VALUE"""),14.0)</f>
        <v>14</v>
      </c>
      <c r="R73" s="235">
        <f>IFERROR(__xludf.DUMMYFUNCTION("""COMPUTED_VALUE"""),1661.0)</f>
        <v>1661</v>
      </c>
      <c r="S73" s="235">
        <f>IFERROR(__xludf.DUMMYFUNCTION("""COMPUTED_VALUE"""),1.0)</f>
        <v>1</v>
      </c>
      <c r="T73" s="235">
        <f>IFERROR(__xludf.DUMMYFUNCTION("""COMPUTED_VALUE"""),299.0)</f>
        <v>299</v>
      </c>
      <c r="U73" s="235">
        <f>IFERROR(__xludf.DUMMYFUNCTION("""COMPUTED_VALUE"""),67.0)</f>
        <v>67</v>
      </c>
      <c r="V73" s="235">
        <f>IFERROR(__xludf.DUMMYFUNCTION("""COMPUTED_VALUE"""),74.0)</f>
        <v>74</v>
      </c>
      <c r="W73" s="235">
        <f>IFERROR(__xludf.DUMMYFUNCTION("""COMPUTED_VALUE"""),17.0)</f>
        <v>17</v>
      </c>
      <c r="X73" s="235">
        <f>IFERROR(__xludf.DUMMYFUNCTION("""COMPUTED_VALUE"""),17.0)</f>
        <v>17</v>
      </c>
      <c r="Y73" s="235">
        <f>IFERROR(__xludf.DUMMYFUNCTION("""COMPUTED_VALUE"""),1.0)</f>
        <v>1</v>
      </c>
      <c r="Z73" s="235">
        <f>IFERROR(__xludf.DUMMYFUNCTION("""COMPUTED_VALUE"""),959.0)</f>
        <v>959</v>
      </c>
    </row>
    <row r="74">
      <c r="A74" s="234">
        <f>IFERROR(__xludf.DUMMYFUNCTION("""COMPUTED_VALUE"""),44008.0)</f>
        <v>44008</v>
      </c>
      <c r="B74" s="235">
        <f>IFERROR(__xludf.DUMMYFUNCTION("""COMPUTED_VALUE"""),94.0)</f>
        <v>94</v>
      </c>
      <c r="C74" s="235">
        <f>IFERROR(__xludf.DUMMYFUNCTION("""COMPUTED_VALUE"""),106.0)</f>
        <v>106</v>
      </c>
      <c r="D74" s="235">
        <f>IFERROR(__xludf.DUMMYFUNCTION("""COMPUTED_VALUE"""),24303.0)</f>
        <v>24303</v>
      </c>
      <c r="E74" s="235">
        <f>IFERROR(__xludf.DUMMYFUNCTION("""COMPUTED_VALUE"""),2488.0)</f>
        <v>2488</v>
      </c>
      <c r="F74" s="172">
        <f>IFERROR(__xludf.DUMMYFUNCTION("""COMPUTED_VALUE"""),222768.0)</f>
        <v>222768</v>
      </c>
      <c r="G74" s="172">
        <f>IFERROR(__xludf.DUMMYFUNCTION("""COMPUTED_VALUE"""),2582.0)</f>
        <v>2582</v>
      </c>
      <c r="H74" s="172">
        <f>IFERROR(__xludf.DUMMYFUNCTION("""COMPUTED_VALUE"""),247071.0)</f>
        <v>247071</v>
      </c>
      <c r="I74" s="235">
        <f>IFERROR(__xludf.DUMMYFUNCTION("""COMPUTED_VALUE"""),60.0)</f>
        <v>60</v>
      </c>
      <c r="J74" s="235">
        <f>IFERROR(__xludf.DUMMYFUNCTION("""COMPUTED_VALUE"""),51.0)</f>
        <v>51</v>
      </c>
      <c r="K74" s="235">
        <f>IFERROR(__xludf.DUMMYFUNCTION("""COMPUTED_VALUE"""),16713.0)</f>
        <v>16713</v>
      </c>
      <c r="L74" s="235">
        <f>IFERROR(__xludf.DUMMYFUNCTION("""COMPUTED_VALUE"""),1319.0)</f>
        <v>1319</v>
      </c>
      <c r="M74" s="235">
        <f>IFERROR(__xludf.DUMMYFUNCTION("""COMPUTED_VALUE"""),134585.0)</f>
        <v>134585</v>
      </c>
      <c r="N74" s="235">
        <f>IFERROR(__xludf.DUMMYFUNCTION("""COMPUTED_VALUE"""),151298.0)</f>
        <v>151298</v>
      </c>
      <c r="O74" s="235">
        <f>IFERROR(__xludf.DUMMYFUNCTION("""COMPUTED_VALUE"""),2.0)</f>
        <v>2</v>
      </c>
      <c r="P74" s="235">
        <f>IFERROR(__xludf.DUMMYFUNCTION("""COMPUTED_VALUE"""),2029.0)</f>
        <v>2029</v>
      </c>
      <c r="Q74" s="235">
        <f>IFERROR(__xludf.DUMMYFUNCTION("""COMPUTED_VALUE"""),10.0)</f>
        <v>10</v>
      </c>
      <c r="R74" s="235">
        <f>IFERROR(__xludf.DUMMYFUNCTION("""COMPUTED_VALUE"""),1671.0)</f>
        <v>1671</v>
      </c>
      <c r="S74" s="235">
        <f>IFERROR(__xludf.DUMMYFUNCTION("""COMPUTED_VALUE"""),0.0)</f>
        <v>0</v>
      </c>
      <c r="T74" s="235">
        <f>IFERROR(__xludf.DUMMYFUNCTION("""COMPUTED_VALUE"""),299.0)</f>
        <v>299</v>
      </c>
      <c r="U74" s="235">
        <f>IFERROR(__xludf.DUMMYFUNCTION("""COMPUTED_VALUE"""),59.0)</f>
        <v>59</v>
      </c>
      <c r="V74" s="235">
        <f>IFERROR(__xludf.DUMMYFUNCTION("""COMPUTED_VALUE"""),67.0)</f>
        <v>67</v>
      </c>
      <c r="W74" s="235">
        <f>IFERROR(__xludf.DUMMYFUNCTION("""COMPUTED_VALUE"""),18.0)</f>
        <v>18</v>
      </c>
      <c r="X74" s="235">
        <f>IFERROR(__xludf.DUMMYFUNCTION("""COMPUTED_VALUE"""),18.0)</f>
        <v>18</v>
      </c>
      <c r="Y74" s="235">
        <f>IFERROR(__xludf.DUMMYFUNCTION("""COMPUTED_VALUE"""),1.0)</f>
        <v>1</v>
      </c>
      <c r="Z74" s="235">
        <f>IFERROR(__xludf.DUMMYFUNCTION("""COMPUTED_VALUE"""),960.0)</f>
        <v>960</v>
      </c>
    </row>
    <row r="75">
      <c r="A75" s="234">
        <f>IFERROR(__xludf.DUMMYFUNCTION("""COMPUTED_VALUE"""),44009.0)</f>
        <v>44009</v>
      </c>
      <c r="B75" s="235">
        <f>IFERROR(__xludf.DUMMYFUNCTION("""COMPUTED_VALUE"""),84.0)</f>
        <v>84</v>
      </c>
      <c r="C75" s="235">
        <f>IFERROR(__xludf.DUMMYFUNCTION("""COMPUTED_VALUE"""),94.0)</f>
        <v>94</v>
      </c>
      <c r="D75" s="235">
        <f>IFERROR(__xludf.DUMMYFUNCTION("""COMPUTED_VALUE"""),24387.0)</f>
        <v>24387</v>
      </c>
      <c r="E75" s="235">
        <f>IFERROR(__xludf.DUMMYFUNCTION("""COMPUTED_VALUE"""),3216.0)</f>
        <v>3216</v>
      </c>
      <c r="F75" s="172">
        <f>IFERROR(__xludf.DUMMYFUNCTION("""COMPUTED_VALUE"""),225984.0)</f>
        <v>225984</v>
      </c>
      <c r="G75" s="172">
        <f>IFERROR(__xludf.DUMMYFUNCTION("""COMPUTED_VALUE"""),3300.0)</f>
        <v>3300</v>
      </c>
      <c r="H75" s="172">
        <f>IFERROR(__xludf.DUMMYFUNCTION("""COMPUTED_VALUE"""),250371.0)</f>
        <v>250371</v>
      </c>
      <c r="I75" s="235">
        <f>IFERROR(__xludf.DUMMYFUNCTION("""COMPUTED_VALUE"""),37.0)</f>
        <v>37</v>
      </c>
      <c r="J75" s="235">
        <f>IFERROR(__xludf.DUMMYFUNCTION("""COMPUTED_VALUE"""),49.0)</f>
        <v>49</v>
      </c>
      <c r="K75" s="235">
        <f>IFERROR(__xludf.DUMMYFUNCTION("""COMPUTED_VALUE"""),16750.0)</f>
        <v>16750</v>
      </c>
      <c r="L75" s="235">
        <f>IFERROR(__xludf.DUMMYFUNCTION("""COMPUTED_VALUE"""),1214.0)</f>
        <v>1214</v>
      </c>
      <c r="M75" s="235">
        <f>IFERROR(__xludf.DUMMYFUNCTION("""COMPUTED_VALUE"""),135799.0)</f>
        <v>135799</v>
      </c>
      <c r="N75" s="235">
        <f>IFERROR(__xludf.DUMMYFUNCTION("""COMPUTED_VALUE"""),152549.0)</f>
        <v>152549</v>
      </c>
      <c r="O75" s="235">
        <f>IFERROR(__xludf.DUMMYFUNCTION("""COMPUTED_VALUE"""),5.0)</f>
        <v>5</v>
      </c>
      <c r="P75" s="235">
        <f>IFERROR(__xludf.DUMMYFUNCTION("""COMPUTED_VALUE"""),2034.0)</f>
        <v>2034</v>
      </c>
      <c r="Q75" s="235">
        <f>IFERROR(__xludf.DUMMYFUNCTION("""COMPUTED_VALUE"""),3.0)</f>
        <v>3</v>
      </c>
      <c r="R75" s="235">
        <f>IFERROR(__xludf.DUMMYFUNCTION("""COMPUTED_VALUE"""),1674.0)</f>
        <v>1674</v>
      </c>
      <c r="S75" s="235">
        <f>IFERROR(__xludf.DUMMYFUNCTION("""COMPUTED_VALUE"""),1.0)</f>
        <v>1</v>
      </c>
      <c r="T75" s="235">
        <f>IFERROR(__xludf.DUMMYFUNCTION("""COMPUTED_VALUE"""),300.0)</f>
        <v>300</v>
      </c>
      <c r="U75" s="235">
        <f>IFERROR(__xludf.DUMMYFUNCTION("""COMPUTED_VALUE"""),60.0)</f>
        <v>60</v>
      </c>
      <c r="V75" s="235">
        <f>IFERROR(__xludf.DUMMYFUNCTION("""COMPUTED_VALUE"""),62.0)</f>
        <v>62</v>
      </c>
      <c r="W75" s="235">
        <f>IFERROR(__xludf.DUMMYFUNCTION("""COMPUTED_VALUE"""),17.0)</f>
        <v>17</v>
      </c>
      <c r="X75" s="235">
        <f>IFERROR(__xludf.DUMMYFUNCTION("""COMPUTED_VALUE"""),17.0)</f>
        <v>17</v>
      </c>
      <c r="Y75" s="235">
        <f>IFERROR(__xludf.DUMMYFUNCTION("""COMPUTED_VALUE"""),5.0)</f>
        <v>5</v>
      </c>
      <c r="Z75" s="235">
        <f>IFERROR(__xludf.DUMMYFUNCTION("""COMPUTED_VALUE"""),965.0)</f>
        <v>965</v>
      </c>
    </row>
    <row r="76">
      <c r="A76" s="234">
        <f>IFERROR(__xludf.DUMMYFUNCTION("""COMPUTED_VALUE"""),44010.0)</f>
        <v>44010</v>
      </c>
      <c r="B76" s="235">
        <f>IFERROR(__xludf.DUMMYFUNCTION("""COMPUTED_VALUE"""),39.0)</f>
        <v>39</v>
      </c>
      <c r="C76" s="235">
        <f>IFERROR(__xludf.DUMMYFUNCTION("""COMPUTED_VALUE"""),72.0)</f>
        <v>72</v>
      </c>
      <c r="D76" s="235">
        <f>IFERROR(__xludf.DUMMYFUNCTION("""COMPUTED_VALUE"""),24426.0)</f>
        <v>24426</v>
      </c>
      <c r="E76" s="235">
        <f>IFERROR(__xludf.DUMMYFUNCTION("""COMPUTED_VALUE"""),1469.0)</f>
        <v>1469</v>
      </c>
      <c r="F76" s="172">
        <f>IFERROR(__xludf.DUMMYFUNCTION("""COMPUTED_VALUE"""),227453.0)</f>
        <v>227453</v>
      </c>
      <c r="G76" s="172">
        <f>IFERROR(__xludf.DUMMYFUNCTION("""COMPUTED_VALUE"""),1508.0)</f>
        <v>1508</v>
      </c>
      <c r="H76" s="172">
        <f>IFERROR(__xludf.DUMMYFUNCTION("""COMPUTED_VALUE"""),251879.0)</f>
        <v>251879</v>
      </c>
      <c r="I76" s="235">
        <f>IFERROR(__xludf.DUMMYFUNCTION("""COMPUTED_VALUE"""),17.0)</f>
        <v>17</v>
      </c>
      <c r="J76" s="235">
        <f>IFERROR(__xludf.DUMMYFUNCTION("""COMPUTED_VALUE"""),38.0)</f>
        <v>38</v>
      </c>
      <c r="K76" s="235">
        <f>IFERROR(__xludf.DUMMYFUNCTION("""COMPUTED_VALUE"""),16767.0)</f>
        <v>16767</v>
      </c>
      <c r="L76" s="235">
        <f>IFERROR(__xludf.DUMMYFUNCTION("""COMPUTED_VALUE"""),592.0)</f>
        <v>592</v>
      </c>
      <c r="M76" s="235">
        <f>IFERROR(__xludf.DUMMYFUNCTION("""COMPUTED_VALUE"""),136391.0)</f>
        <v>136391</v>
      </c>
      <c r="N76" s="235">
        <f>IFERROR(__xludf.DUMMYFUNCTION("""COMPUTED_VALUE"""),153158.0)</f>
        <v>153158</v>
      </c>
      <c r="O76" s="235">
        <f>IFERROR(__xludf.DUMMYFUNCTION("""COMPUTED_VALUE"""),4.0)</f>
        <v>4</v>
      </c>
      <c r="P76" s="235">
        <f>IFERROR(__xludf.DUMMYFUNCTION("""COMPUTED_VALUE"""),2038.0)</f>
        <v>2038</v>
      </c>
      <c r="Q76" s="235">
        <f>IFERROR(__xludf.DUMMYFUNCTION("""COMPUTED_VALUE"""),4.0)</f>
        <v>4</v>
      </c>
      <c r="R76" s="235">
        <f>IFERROR(__xludf.DUMMYFUNCTION("""COMPUTED_VALUE"""),1678.0)</f>
        <v>1678</v>
      </c>
      <c r="S76" s="235">
        <f>IFERROR(__xludf.DUMMYFUNCTION("""COMPUTED_VALUE"""),4.0)</f>
        <v>4</v>
      </c>
      <c r="T76" s="235">
        <f>IFERROR(__xludf.DUMMYFUNCTION("""COMPUTED_VALUE"""),304.0)</f>
        <v>304</v>
      </c>
      <c r="U76" s="235">
        <f>IFERROR(__xludf.DUMMYFUNCTION("""COMPUTED_VALUE"""),56.0)</f>
        <v>56</v>
      </c>
      <c r="V76" s="235">
        <f>IFERROR(__xludf.DUMMYFUNCTION("""COMPUTED_VALUE"""),58.0)</f>
        <v>58</v>
      </c>
      <c r="W76" s="235">
        <f>IFERROR(__xludf.DUMMYFUNCTION("""COMPUTED_VALUE"""),15.0)</f>
        <v>15</v>
      </c>
      <c r="X76" s="235">
        <f>IFERROR(__xludf.DUMMYFUNCTION("""COMPUTED_VALUE"""),14.0)</f>
        <v>14</v>
      </c>
      <c r="Y76" s="235">
        <f>IFERROR(__xludf.DUMMYFUNCTION("""COMPUTED_VALUE"""),6.0)</f>
        <v>6</v>
      </c>
      <c r="Z76" s="235">
        <f>IFERROR(__xludf.DUMMYFUNCTION("""COMPUTED_VALUE"""),971.0)</f>
        <v>971</v>
      </c>
    </row>
    <row r="77">
      <c r="A77" s="234">
        <f>IFERROR(__xludf.DUMMYFUNCTION("""COMPUTED_VALUE"""),44011.0)</f>
        <v>44011</v>
      </c>
      <c r="B77" s="235">
        <f>IFERROR(__xludf.DUMMYFUNCTION("""COMPUTED_VALUE"""),85.0)</f>
        <v>85</v>
      </c>
      <c r="C77" s="235">
        <f>IFERROR(__xludf.DUMMYFUNCTION("""COMPUTED_VALUE"""),69.0)</f>
        <v>69</v>
      </c>
      <c r="D77" s="235">
        <f>IFERROR(__xludf.DUMMYFUNCTION("""COMPUTED_VALUE"""),24511.0)</f>
        <v>24511</v>
      </c>
      <c r="E77" s="235">
        <f>IFERROR(__xludf.DUMMYFUNCTION("""COMPUTED_VALUE"""),3697.0)</f>
        <v>3697</v>
      </c>
      <c r="F77" s="172">
        <f>IFERROR(__xludf.DUMMYFUNCTION("""COMPUTED_VALUE"""),231150.0)</f>
        <v>231150</v>
      </c>
      <c r="G77" s="172">
        <f>IFERROR(__xludf.DUMMYFUNCTION("""COMPUTED_VALUE"""),3782.0)</f>
        <v>3782</v>
      </c>
      <c r="H77" s="172">
        <f>IFERROR(__xludf.DUMMYFUNCTION("""COMPUTED_VALUE"""),255661.0)</f>
        <v>255661</v>
      </c>
      <c r="I77" s="235">
        <f>IFERROR(__xludf.DUMMYFUNCTION("""COMPUTED_VALUE"""),39.0)</f>
        <v>39</v>
      </c>
      <c r="J77" s="235">
        <f>IFERROR(__xludf.DUMMYFUNCTION("""COMPUTED_VALUE"""),31.0)</f>
        <v>31</v>
      </c>
      <c r="K77" s="235">
        <f>IFERROR(__xludf.DUMMYFUNCTION("""COMPUTED_VALUE"""),16806.0)</f>
        <v>16806</v>
      </c>
      <c r="L77" s="235">
        <f>IFERROR(__xludf.DUMMYFUNCTION("""COMPUTED_VALUE"""),1343.0)</f>
        <v>1343</v>
      </c>
      <c r="M77" s="235">
        <f>IFERROR(__xludf.DUMMYFUNCTION("""COMPUTED_VALUE"""),137734.0)</f>
        <v>137734</v>
      </c>
      <c r="N77" s="235">
        <f>IFERROR(__xludf.DUMMYFUNCTION("""COMPUTED_VALUE"""),154540.0)</f>
        <v>154540</v>
      </c>
      <c r="O77" s="235">
        <f>IFERROR(__xludf.DUMMYFUNCTION("""COMPUTED_VALUE"""),4.0)</f>
        <v>4</v>
      </c>
      <c r="P77" s="235">
        <f>IFERROR(__xludf.DUMMYFUNCTION("""COMPUTED_VALUE"""),2042.0)</f>
        <v>2042</v>
      </c>
      <c r="Q77" s="235">
        <f>IFERROR(__xludf.DUMMYFUNCTION("""COMPUTED_VALUE"""),5.0)</f>
        <v>5</v>
      </c>
      <c r="R77" s="235">
        <f>IFERROR(__xludf.DUMMYFUNCTION("""COMPUTED_VALUE"""),1683.0)</f>
        <v>1683</v>
      </c>
      <c r="S77" s="235">
        <f>IFERROR(__xludf.DUMMYFUNCTION("""COMPUTED_VALUE"""),0.0)</f>
        <v>0</v>
      </c>
      <c r="T77" s="235">
        <f>IFERROR(__xludf.DUMMYFUNCTION("""COMPUTED_VALUE"""),304.0)</f>
        <v>304</v>
      </c>
      <c r="U77" s="235">
        <f>IFERROR(__xludf.DUMMYFUNCTION("""COMPUTED_VALUE"""),55.0)</f>
        <v>55</v>
      </c>
      <c r="V77" s="235">
        <f>IFERROR(__xludf.DUMMYFUNCTION("""COMPUTED_VALUE"""),57.0)</f>
        <v>57</v>
      </c>
      <c r="W77" s="235">
        <f>IFERROR(__xludf.DUMMYFUNCTION("""COMPUTED_VALUE"""),14.0)</f>
        <v>14</v>
      </c>
      <c r="X77" s="235">
        <f>IFERROR(__xludf.DUMMYFUNCTION("""COMPUTED_VALUE"""),14.0)</f>
        <v>14</v>
      </c>
      <c r="Y77" s="235">
        <f>IFERROR(__xludf.DUMMYFUNCTION("""COMPUTED_VALUE"""),1.0)</f>
        <v>1</v>
      </c>
      <c r="Z77" s="235">
        <f>IFERROR(__xludf.DUMMYFUNCTION("""COMPUTED_VALUE"""),972.0)</f>
        <v>972</v>
      </c>
    </row>
    <row r="78">
      <c r="A78" s="234">
        <f>IFERROR(__xludf.DUMMYFUNCTION("""COMPUTED_VALUE"""),44012.0)</f>
        <v>44012</v>
      </c>
      <c r="B78" s="235">
        <f>IFERROR(__xludf.DUMMYFUNCTION("""COMPUTED_VALUE"""),57.0)</f>
        <v>57</v>
      </c>
      <c r="C78" s="235">
        <f>IFERROR(__xludf.DUMMYFUNCTION("""COMPUTED_VALUE"""),60.0)</f>
        <v>60</v>
      </c>
      <c r="D78" s="235">
        <f>IFERROR(__xludf.DUMMYFUNCTION("""COMPUTED_VALUE"""),24568.0)</f>
        <v>24568</v>
      </c>
      <c r="E78" s="235">
        <f>IFERROR(__xludf.DUMMYFUNCTION("""COMPUTED_VALUE"""),1958.0)</f>
        <v>1958</v>
      </c>
      <c r="F78" s="172">
        <f>IFERROR(__xludf.DUMMYFUNCTION("""COMPUTED_VALUE"""),233108.0)</f>
        <v>233108</v>
      </c>
      <c r="G78" s="172">
        <f>IFERROR(__xludf.DUMMYFUNCTION("""COMPUTED_VALUE"""),2015.0)</f>
        <v>2015</v>
      </c>
      <c r="H78" s="172">
        <f>IFERROR(__xludf.DUMMYFUNCTION("""COMPUTED_VALUE"""),257676.0)</f>
        <v>257676</v>
      </c>
      <c r="I78" s="235">
        <f>IFERROR(__xludf.DUMMYFUNCTION("""COMPUTED_VALUE"""),33.0)</f>
        <v>33</v>
      </c>
      <c r="J78" s="235">
        <f>IFERROR(__xludf.DUMMYFUNCTION("""COMPUTED_VALUE"""),30.0)</f>
        <v>30</v>
      </c>
      <c r="K78" s="235">
        <f>IFERROR(__xludf.DUMMYFUNCTION("""COMPUTED_VALUE"""),16839.0)</f>
        <v>16839</v>
      </c>
      <c r="L78" s="235">
        <f>IFERROR(__xludf.DUMMYFUNCTION("""COMPUTED_VALUE"""),992.0)</f>
        <v>992</v>
      </c>
      <c r="M78" s="235">
        <f>IFERROR(__xludf.DUMMYFUNCTION("""COMPUTED_VALUE"""),138726.0)</f>
        <v>138726</v>
      </c>
      <c r="N78" s="235">
        <f>IFERROR(__xludf.DUMMYFUNCTION("""COMPUTED_VALUE"""),155565.0)</f>
        <v>155565</v>
      </c>
      <c r="O78" s="235">
        <f>IFERROR(__xludf.DUMMYFUNCTION("""COMPUTED_VALUE"""),1.0)</f>
        <v>1</v>
      </c>
      <c r="P78" s="235">
        <f>IFERROR(__xludf.DUMMYFUNCTION("""COMPUTED_VALUE"""),2043.0)</f>
        <v>2043</v>
      </c>
      <c r="Q78" s="235">
        <f>IFERROR(__xludf.DUMMYFUNCTION("""COMPUTED_VALUE"""),5.0)</f>
        <v>5</v>
      </c>
      <c r="R78" s="235">
        <f>IFERROR(__xludf.DUMMYFUNCTION("""COMPUTED_VALUE"""),1688.0)</f>
        <v>1688</v>
      </c>
      <c r="S78" s="235">
        <f>IFERROR(__xludf.DUMMYFUNCTION("""COMPUTED_VALUE"""),1.0)</f>
        <v>1</v>
      </c>
      <c r="T78" s="235">
        <f>IFERROR(__xludf.DUMMYFUNCTION("""COMPUTED_VALUE"""),305.0)</f>
        <v>305</v>
      </c>
      <c r="U78" s="235">
        <f>IFERROR(__xludf.DUMMYFUNCTION("""COMPUTED_VALUE"""),50.0)</f>
        <v>50</v>
      </c>
      <c r="V78" s="235">
        <f>IFERROR(__xludf.DUMMYFUNCTION("""COMPUTED_VALUE"""),54.0)</f>
        <v>54</v>
      </c>
      <c r="W78" s="235">
        <f>IFERROR(__xludf.DUMMYFUNCTION("""COMPUTED_VALUE"""),12.0)</f>
        <v>12</v>
      </c>
      <c r="X78" s="235">
        <f>IFERROR(__xludf.DUMMYFUNCTION("""COMPUTED_VALUE"""),11.0)</f>
        <v>11</v>
      </c>
      <c r="Y78" s="235">
        <f>IFERROR(__xludf.DUMMYFUNCTION("""COMPUTED_VALUE"""),4.0)</f>
        <v>4</v>
      </c>
      <c r="Z78" s="235">
        <f>IFERROR(__xludf.DUMMYFUNCTION("""COMPUTED_VALUE"""),976.0)</f>
        <v>976</v>
      </c>
    </row>
    <row r="79">
      <c r="A79" s="234">
        <f>IFERROR(__xludf.DUMMYFUNCTION("""COMPUTED_VALUE"""),44013.0)</f>
        <v>44013</v>
      </c>
      <c r="B79" s="235">
        <f>IFERROR(__xludf.DUMMYFUNCTION("""COMPUTED_VALUE"""),144.0)</f>
        <v>144</v>
      </c>
      <c r="C79" s="235">
        <f>IFERROR(__xludf.DUMMYFUNCTION("""COMPUTED_VALUE"""),95.0)</f>
        <v>95</v>
      </c>
      <c r="D79" s="235">
        <f>IFERROR(__xludf.DUMMYFUNCTION("""COMPUTED_VALUE"""),24712.0)</f>
        <v>24712</v>
      </c>
      <c r="E79" s="235">
        <f>IFERROR(__xludf.DUMMYFUNCTION("""COMPUTED_VALUE"""),4098.0)</f>
        <v>4098</v>
      </c>
      <c r="F79" s="172">
        <f>IFERROR(__xludf.DUMMYFUNCTION("""COMPUTED_VALUE"""),237206.0)</f>
        <v>237206</v>
      </c>
      <c r="G79" s="172">
        <f>IFERROR(__xludf.DUMMYFUNCTION("""COMPUTED_VALUE"""),4242.0)</f>
        <v>4242</v>
      </c>
      <c r="H79" s="172">
        <f>IFERROR(__xludf.DUMMYFUNCTION("""COMPUTED_VALUE"""),261918.0)</f>
        <v>261918</v>
      </c>
      <c r="I79" s="235">
        <f>IFERROR(__xludf.DUMMYFUNCTION("""COMPUTED_VALUE"""),79.0)</f>
        <v>79</v>
      </c>
      <c r="J79" s="235">
        <f>IFERROR(__xludf.DUMMYFUNCTION("""COMPUTED_VALUE"""),50.0)</f>
        <v>50</v>
      </c>
      <c r="K79" s="235">
        <f>IFERROR(__xludf.DUMMYFUNCTION("""COMPUTED_VALUE"""),16918.0)</f>
        <v>16918</v>
      </c>
      <c r="L79" s="235">
        <f>IFERROR(__xludf.DUMMYFUNCTION("""COMPUTED_VALUE"""),1917.0)</f>
        <v>1917</v>
      </c>
      <c r="M79" s="235">
        <f>IFERROR(__xludf.DUMMYFUNCTION("""COMPUTED_VALUE"""),140643.0)</f>
        <v>140643</v>
      </c>
      <c r="N79" s="235">
        <f>IFERROR(__xludf.DUMMYFUNCTION("""COMPUTED_VALUE"""),157561.0)</f>
        <v>157561</v>
      </c>
      <c r="O79" s="235">
        <f>IFERROR(__xludf.DUMMYFUNCTION("""COMPUTED_VALUE"""),8.0)</f>
        <v>8</v>
      </c>
      <c r="P79" s="235">
        <f>IFERROR(__xludf.DUMMYFUNCTION("""COMPUTED_VALUE"""),2051.0)</f>
        <v>2051</v>
      </c>
      <c r="Q79" s="235">
        <f>IFERROR(__xludf.DUMMYFUNCTION("""COMPUTED_VALUE"""),10.0)</f>
        <v>10</v>
      </c>
      <c r="R79" s="235">
        <f>IFERROR(__xludf.DUMMYFUNCTION("""COMPUTED_VALUE"""),1698.0)</f>
        <v>1698</v>
      </c>
      <c r="S79" s="235">
        <f>IFERROR(__xludf.DUMMYFUNCTION("""COMPUTED_VALUE"""),0.0)</f>
        <v>0</v>
      </c>
      <c r="T79" s="235">
        <f>IFERROR(__xludf.DUMMYFUNCTION("""COMPUTED_VALUE"""),305.0)</f>
        <v>305</v>
      </c>
      <c r="U79" s="235">
        <f>IFERROR(__xludf.DUMMYFUNCTION("""COMPUTED_VALUE"""),48.0)</f>
        <v>48</v>
      </c>
      <c r="V79" s="235">
        <f>IFERROR(__xludf.DUMMYFUNCTION("""COMPUTED_VALUE"""),51.0)</f>
        <v>51</v>
      </c>
      <c r="W79" s="235">
        <f>IFERROR(__xludf.DUMMYFUNCTION("""COMPUTED_VALUE"""),11.0)</f>
        <v>11</v>
      </c>
      <c r="X79" s="235">
        <f>IFERROR(__xludf.DUMMYFUNCTION("""COMPUTED_VALUE"""),11.0)</f>
        <v>11</v>
      </c>
      <c r="Y79" s="235">
        <f>IFERROR(__xludf.DUMMYFUNCTION("""COMPUTED_VALUE"""),1.0)</f>
        <v>1</v>
      </c>
      <c r="Z79" s="235">
        <f>IFERROR(__xludf.DUMMYFUNCTION("""COMPUTED_VALUE"""),977.0)</f>
        <v>977</v>
      </c>
    </row>
    <row r="80">
      <c r="A80" s="234">
        <f>IFERROR(__xludf.DUMMYFUNCTION("""COMPUTED_VALUE"""),44014.0)</f>
        <v>44014</v>
      </c>
      <c r="B80" s="235">
        <f>IFERROR(__xludf.DUMMYFUNCTION("""COMPUTED_VALUE"""),103.0)</f>
        <v>103</v>
      </c>
      <c r="C80" s="235">
        <f>IFERROR(__xludf.DUMMYFUNCTION("""COMPUTED_VALUE"""),101.0)</f>
        <v>101</v>
      </c>
      <c r="D80" s="235">
        <f>IFERROR(__xludf.DUMMYFUNCTION("""COMPUTED_VALUE"""),24815.0)</f>
        <v>24815</v>
      </c>
      <c r="E80" s="235">
        <f>IFERROR(__xludf.DUMMYFUNCTION("""COMPUTED_VALUE"""),2803.0)</f>
        <v>2803</v>
      </c>
      <c r="F80" s="172">
        <f>IFERROR(__xludf.DUMMYFUNCTION("""COMPUTED_VALUE"""),240009.0)</f>
        <v>240009</v>
      </c>
      <c r="G80" s="172">
        <f>IFERROR(__xludf.DUMMYFUNCTION("""COMPUTED_VALUE"""),2906.0)</f>
        <v>2906</v>
      </c>
      <c r="H80" s="172">
        <f>IFERROR(__xludf.DUMMYFUNCTION("""COMPUTED_VALUE"""),264824.0)</f>
        <v>264824</v>
      </c>
      <c r="I80" s="235">
        <f>IFERROR(__xludf.DUMMYFUNCTION("""COMPUTED_VALUE"""),59.0)</f>
        <v>59</v>
      </c>
      <c r="J80" s="235">
        <f>IFERROR(__xludf.DUMMYFUNCTION("""COMPUTED_VALUE"""),57.0)</f>
        <v>57</v>
      </c>
      <c r="K80" s="235">
        <f>IFERROR(__xludf.DUMMYFUNCTION("""COMPUTED_VALUE"""),16977.0)</f>
        <v>16977</v>
      </c>
      <c r="L80" s="235">
        <f>IFERROR(__xludf.DUMMYFUNCTION("""COMPUTED_VALUE"""),1078.0)</f>
        <v>1078</v>
      </c>
      <c r="M80" s="235">
        <f>IFERROR(__xludf.DUMMYFUNCTION("""COMPUTED_VALUE"""),141721.0)</f>
        <v>141721</v>
      </c>
      <c r="N80" s="235">
        <f>IFERROR(__xludf.DUMMYFUNCTION("""COMPUTED_VALUE"""),158698.0)</f>
        <v>158698</v>
      </c>
      <c r="O80" s="235">
        <f>IFERROR(__xludf.DUMMYFUNCTION("""COMPUTED_VALUE"""),5.0)</f>
        <v>5</v>
      </c>
      <c r="P80" s="235">
        <f>IFERROR(__xludf.DUMMYFUNCTION("""COMPUTED_VALUE"""),2056.0)</f>
        <v>2056</v>
      </c>
      <c r="Q80" s="235">
        <f>IFERROR(__xludf.DUMMYFUNCTION("""COMPUTED_VALUE"""),5.0)</f>
        <v>5</v>
      </c>
      <c r="R80" s="235">
        <f>IFERROR(__xludf.DUMMYFUNCTION("""COMPUTED_VALUE"""),1703.0)</f>
        <v>1703</v>
      </c>
      <c r="S80" s="235">
        <f>IFERROR(__xludf.DUMMYFUNCTION("""COMPUTED_VALUE"""),1.0)</f>
        <v>1</v>
      </c>
      <c r="T80" s="235">
        <f>IFERROR(__xludf.DUMMYFUNCTION("""COMPUTED_VALUE"""),306.0)</f>
        <v>306</v>
      </c>
      <c r="U80" s="235">
        <f>IFERROR(__xludf.DUMMYFUNCTION("""COMPUTED_VALUE"""),47.0)</f>
        <v>47</v>
      </c>
      <c r="V80" s="235">
        <f>IFERROR(__xludf.DUMMYFUNCTION("""COMPUTED_VALUE"""),48.0)</f>
        <v>48</v>
      </c>
      <c r="W80" s="235">
        <f>IFERROR(__xludf.DUMMYFUNCTION("""COMPUTED_VALUE"""),10.0)</f>
        <v>10</v>
      </c>
      <c r="X80" s="235">
        <f>IFERROR(__xludf.DUMMYFUNCTION("""COMPUTED_VALUE"""),10.0)</f>
        <v>10</v>
      </c>
      <c r="Y80" s="235">
        <f>IFERROR(__xludf.DUMMYFUNCTION("""COMPUTED_VALUE"""),3.0)</f>
        <v>3</v>
      </c>
      <c r="Z80" s="235">
        <f>IFERROR(__xludf.DUMMYFUNCTION("""COMPUTED_VALUE"""),980.0)</f>
        <v>980</v>
      </c>
    </row>
    <row r="81">
      <c r="A81" s="234">
        <f>IFERROR(__xludf.DUMMYFUNCTION("""COMPUTED_VALUE"""),44015.0)</f>
        <v>44015</v>
      </c>
      <c r="B81" s="235">
        <f>IFERROR(__xludf.DUMMYFUNCTION("""COMPUTED_VALUE"""),50.0)</f>
        <v>50</v>
      </c>
      <c r="C81" s="235">
        <f>IFERROR(__xludf.DUMMYFUNCTION("""COMPUTED_VALUE"""),99.0)</f>
        <v>99</v>
      </c>
      <c r="D81" s="235">
        <f>IFERROR(__xludf.DUMMYFUNCTION("""COMPUTED_VALUE"""),24865.0)</f>
        <v>24865</v>
      </c>
      <c r="E81" s="235">
        <f>IFERROR(__xludf.DUMMYFUNCTION("""COMPUTED_VALUE"""),2078.0)</f>
        <v>2078</v>
      </c>
      <c r="F81" s="172">
        <f>IFERROR(__xludf.DUMMYFUNCTION("""COMPUTED_VALUE"""),242087.0)</f>
        <v>242087</v>
      </c>
      <c r="G81" s="172">
        <f>IFERROR(__xludf.DUMMYFUNCTION("""COMPUTED_VALUE"""),2128.0)</f>
        <v>2128</v>
      </c>
      <c r="H81" s="172">
        <f>IFERROR(__xludf.DUMMYFUNCTION("""COMPUTED_VALUE"""),266952.0)</f>
        <v>266952</v>
      </c>
      <c r="I81" s="235">
        <f>IFERROR(__xludf.DUMMYFUNCTION("""COMPUTED_VALUE"""),25.0)</f>
        <v>25</v>
      </c>
      <c r="J81" s="235">
        <f>IFERROR(__xludf.DUMMYFUNCTION("""COMPUTED_VALUE"""),54.0)</f>
        <v>54</v>
      </c>
      <c r="K81" s="235">
        <f>IFERROR(__xludf.DUMMYFUNCTION("""COMPUTED_VALUE"""),17002.0)</f>
        <v>17002</v>
      </c>
      <c r="L81" s="235">
        <f>IFERROR(__xludf.DUMMYFUNCTION("""COMPUTED_VALUE"""),776.0)</f>
        <v>776</v>
      </c>
      <c r="M81" s="235">
        <f>IFERROR(__xludf.DUMMYFUNCTION("""COMPUTED_VALUE"""),142497.0)</f>
        <v>142497</v>
      </c>
      <c r="N81" s="235">
        <f>IFERROR(__xludf.DUMMYFUNCTION("""COMPUTED_VALUE"""),159499.0)</f>
        <v>159499</v>
      </c>
      <c r="O81" s="235">
        <f>IFERROR(__xludf.DUMMYFUNCTION("""COMPUTED_VALUE"""),9.0)</f>
        <v>9</v>
      </c>
      <c r="P81" s="235">
        <f>IFERROR(__xludf.DUMMYFUNCTION("""COMPUTED_VALUE"""),2065.0)</f>
        <v>2065</v>
      </c>
      <c r="Q81" s="235">
        <f>IFERROR(__xludf.DUMMYFUNCTION("""COMPUTED_VALUE"""),6.0)</f>
        <v>6</v>
      </c>
      <c r="R81" s="235">
        <f>IFERROR(__xludf.DUMMYFUNCTION("""COMPUTED_VALUE"""),1709.0)</f>
        <v>1709</v>
      </c>
      <c r="S81" s="235">
        <f>IFERROR(__xludf.DUMMYFUNCTION("""COMPUTED_VALUE"""),0.0)</f>
        <v>0</v>
      </c>
      <c r="T81" s="235">
        <f>IFERROR(__xludf.DUMMYFUNCTION("""COMPUTED_VALUE"""),306.0)</f>
        <v>306</v>
      </c>
      <c r="U81" s="235">
        <f>IFERROR(__xludf.DUMMYFUNCTION("""COMPUTED_VALUE"""),50.0)</f>
        <v>50</v>
      </c>
      <c r="V81" s="235">
        <f>IFERROR(__xludf.DUMMYFUNCTION("""COMPUTED_VALUE"""),48.0)</f>
        <v>48</v>
      </c>
      <c r="W81" s="235">
        <f>IFERROR(__xludf.DUMMYFUNCTION("""COMPUTED_VALUE"""),9.0)</f>
        <v>9</v>
      </c>
      <c r="X81" s="235">
        <f>IFERROR(__xludf.DUMMYFUNCTION("""COMPUTED_VALUE"""),9.0)</f>
        <v>9</v>
      </c>
      <c r="Y81" s="235">
        <f>IFERROR(__xludf.DUMMYFUNCTION("""COMPUTED_VALUE"""),3.0)</f>
        <v>3</v>
      </c>
      <c r="Z81" s="235">
        <f>IFERROR(__xludf.DUMMYFUNCTION("""COMPUTED_VALUE"""),983.0)</f>
        <v>983</v>
      </c>
    </row>
    <row r="82">
      <c r="A82" s="234">
        <f>IFERROR(__xludf.DUMMYFUNCTION("""COMPUTED_VALUE"""),44016.0)</f>
        <v>44016</v>
      </c>
      <c r="B82" s="235">
        <f>IFERROR(__xludf.DUMMYFUNCTION("""COMPUTED_VALUE"""),57.0)</f>
        <v>57</v>
      </c>
      <c r="C82" s="235">
        <f>IFERROR(__xludf.DUMMYFUNCTION("""COMPUTED_VALUE"""),70.0)</f>
        <v>70</v>
      </c>
      <c r="D82" s="235">
        <f>IFERROR(__xludf.DUMMYFUNCTION("""COMPUTED_VALUE"""),24922.0)</f>
        <v>24922</v>
      </c>
      <c r="E82" s="235">
        <f>IFERROR(__xludf.DUMMYFUNCTION("""COMPUTED_VALUE"""),2345.0)</f>
        <v>2345</v>
      </c>
      <c r="F82" s="172">
        <f>IFERROR(__xludf.DUMMYFUNCTION("""COMPUTED_VALUE"""),244432.0)</f>
        <v>244432</v>
      </c>
      <c r="G82" s="172">
        <f>IFERROR(__xludf.DUMMYFUNCTION("""COMPUTED_VALUE"""),2402.0)</f>
        <v>2402</v>
      </c>
      <c r="H82" s="172">
        <f>IFERROR(__xludf.DUMMYFUNCTION("""COMPUTED_VALUE"""),269354.0)</f>
        <v>269354</v>
      </c>
      <c r="I82" s="235">
        <f>IFERROR(__xludf.DUMMYFUNCTION("""COMPUTED_VALUE"""),33.0)</f>
        <v>33</v>
      </c>
      <c r="J82" s="235">
        <f>IFERROR(__xludf.DUMMYFUNCTION("""COMPUTED_VALUE"""),39.0)</f>
        <v>39</v>
      </c>
      <c r="K82" s="235">
        <f>IFERROR(__xludf.DUMMYFUNCTION("""COMPUTED_VALUE"""),17035.0)</f>
        <v>17035</v>
      </c>
      <c r="L82" s="235">
        <f>IFERROR(__xludf.DUMMYFUNCTION("""COMPUTED_VALUE"""),1003.0)</f>
        <v>1003</v>
      </c>
      <c r="M82" s="235">
        <f>IFERROR(__xludf.DUMMYFUNCTION("""COMPUTED_VALUE"""),143500.0)</f>
        <v>143500</v>
      </c>
      <c r="N82" s="235">
        <f>IFERROR(__xludf.DUMMYFUNCTION("""COMPUTED_VALUE"""),160535.0)</f>
        <v>160535</v>
      </c>
      <c r="O82" s="235">
        <f>IFERROR(__xludf.DUMMYFUNCTION("""COMPUTED_VALUE"""),2.0)</f>
        <v>2</v>
      </c>
      <c r="P82" s="235">
        <f>IFERROR(__xludf.DUMMYFUNCTION("""COMPUTED_VALUE"""),2067.0)</f>
        <v>2067</v>
      </c>
      <c r="Q82" s="235">
        <f>IFERROR(__xludf.DUMMYFUNCTION("""COMPUTED_VALUE"""),4.0)</f>
        <v>4</v>
      </c>
      <c r="R82" s="235">
        <f>IFERROR(__xludf.DUMMYFUNCTION("""COMPUTED_VALUE"""),1713.0)</f>
        <v>1713</v>
      </c>
      <c r="S82" s="235">
        <f>IFERROR(__xludf.DUMMYFUNCTION("""COMPUTED_VALUE"""),1.0)</f>
        <v>1</v>
      </c>
      <c r="T82" s="235">
        <f>IFERROR(__xludf.DUMMYFUNCTION("""COMPUTED_VALUE"""),307.0)</f>
        <v>307</v>
      </c>
      <c r="U82" s="235">
        <f>IFERROR(__xludf.DUMMYFUNCTION("""COMPUTED_VALUE"""),47.0)</f>
        <v>47</v>
      </c>
      <c r="V82" s="235">
        <f>IFERROR(__xludf.DUMMYFUNCTION("""COMPUTED_VALUE"""),48.0)</f>
        <v>48</v>
      </c>
      <c r="W82" s="235">
        <f>IFERROR(__xludf.DUMMYFUNCTION("""COMPUTED_VALUE"""),10.0)</f>
        <v>10</v>
      </c>
      <c r="X82" s="235">
        <f>IFERROR(__xludf.DUMMYFUNCTION("""COMPUTED_VALUE"""),9.0)</f>
        <v>9</v>
      </c>
      <c r="Y82" s="235">
        <f>IFERROR(__xludf.DUMMYFUNCTION("""COMPUTED_VALUE"""),2.0)</f>
        <v>2</v>
      </c>
      <c r="Z82" s="235">
        <f>IFERROR(__xludf.DUMMYFUNCTION("""COMPUTED_VALUE"""),985.0)</f>
        <v>985</v>
      </c>
    </row>
    <row r="83">
      <c r="A83" s="234">
        <f>IFERROR(__xludf.DUMMYFUNCTION("""COMPUTED_VALUE"""),44017.0)</f>
        <v>44017</v>
      </c>
      <c r="B83" s="235">
        <f>IFERROR(__xludf.DUMMYFUNCTION("""COMPUTED_VALUE"""),49.0)</f>
        <v>49</v>
      </c>
      <c r="C83" s="235">
        <f>IFERROR(__xludf.DUMMYFUNCTION("""COMPUTED_VALUE"""),52.0)</f>
        <v>52</v>
      </c>
      <c r="D83" s="235">
        <f>IFERROR(__xludf.DUMMYFUNCTION("""COMPUTED_VALUE"""),24971.0)</f>
        <v>24971</v>
      </c>
      <c r="E83" s="235">
        <f>IFERROR(__xludf.DUMMYFUNCTION("""COMPUTED_VALUE"""),2932.0)</f>
        <v>2932</v>
      </c>
      <c r="F83" s="172">
        <f>IFERROR(__xludf.DUMMYFUNCTION("""COMPUTED_VALUE"""),247364.0)</f>
        <v>247364</v>
      </c>
      <c r="G83" s="172">
        <f>IFERROR(__xludf.DUMMYFUNCTION("""COMPUTED_VALUE"""),2981.0)</f>
        <v>2981</v>
      </c>
      <c r="H83" s="172">
        <f>IFERROR(__xludf.DUMMYFUNCTION("""COMPUTED_VALUE"""),272335.0)</f>
        <v>272335</v>
      </c>
      <c r="I83" s="235">
        <f>IFERROR(__xludf.DUMMYFUNCTION("""COMPUTED_VALUE"""),26.0)</f>
        <v>26</v>
      </c>
      <c r="J83" s="235">
        <f>IFERROR(__xludf.DUMMYFUNCTION("""COMPUTED_VALUE"""),28.0)</f>
        <v>28</v>
      </c>
      <c r="K83" s="235">
        <f>IFERROR(__xludf.DUMMYFUNCTION("""COMPUTED_VALUE"""),17061.0)</f>
        <v>17061</v>
      </c>
      <c r="L83" s="235">
        <f>IFERROR(__xludf.DUMMYFUNCTION("""COMPUTED_VALUE"""),1434.0)</f>
        <v>1434</v>
      </c>
      <c r="M83" s="235">
        <f>IFERROR(__xludf.DUMMYFUNCTION("""COMPUTED_VALUE"""),144934.0)</f>
        <v>144934</v>
      </c>
      <c r="N83" s="235">
        <f>IFERROR(__xludf.DUMMYFUNCTION("""COMPUTED_VALUE"""),161995.0)</f>
        <v>161995</v>
      </c>
      <c r="O83" s="235">
        <f>IFERROR(__xludf.DUMMYFUNCTION("""COMPUTED_VALUE"""),1.0)</f>
        <v>1</v>
      </c>
      <c r="P83" s="235">
        <f>IFERROR(__xludf.DUMMYFUNCTION("""COMPUTED_VALUE"""),2068.0)</f>
        <v>2068</v>
      </c>
      <c r="Q83" s="235">
        <f>IFERROR(__xludf.DUMMYFUNCTION("""COMPUTED_VALUE"""),2.0)</f>
        <v>2</v>
      </c>
      <c r="R83" s="235">
        <f>IFERROR(__xludf.DUMMYFUNCTION("""COMPUTED_VALUE"""),1715.0)</f>
        <v>1715</v>
      </c>
      <c r="S83" s="235">
        <f>IFERROR(__xludf.DUMMYFUNCTION("""COMPUTED_VALUE"""),1.0)</f>
        <v>1</v>
      </c>
      <c r="T83" s="235">
        <f>IFERROR(__xludf.DUMMYFUNCTION("""COMPUTED_VALUE"""),308.0)</f>
        <v>308</v>
      </c>
      <c r="U83" s="235">
        <f>IFERROR(__xludf.DUMMYFUNCTION("""COMPUTED_VALUE"""),45.0)</f>
        <v>45</v>
      </c>
      <c r="V83" s="235">
        <f>IFERROR(__xludf.DUMMYFUNCTION("""COMPUTED_VALUE"""),47.0)</f>
        <v>47</v>
      </c>
      <c r="W83" s="235">
        <f>IFERROR(__xludf.DUMMYFUNCTION("""COMPUTED_VALUE"""),8.0)</f>
        <v>8</v>
      </c>
      <c r="X83" s="235">
        <f>IFERROR(__xludf.DUMMYFUNCTION("""COMPUTED_VALUE"""),8.0)</f>
        <v>8</v>
      </c>
      <c r="Y83" s="235">
        <f>IFERROR(__xludf.DUMMYFUNCTION("""COMPUTED_VALUE"""),2.0)</f>
        <v>2</v>
      </c>
      <c r="Z83" s="235">
        <f>IFERROR(__xludf.DUMMYFUNCTION("""COMPUTED_VALUE"""),987.0)</f>
        <v>987</v>
      </c>
    </row>
    <row r="84">
      <c r="A84" s="234">
        <f>IFERROR(__xludf.DUMMYFUNCTION("""COMPUTED_VALUE"""),44018.0)</f>
        <v>44018</v>
      </c>
      <c r="B84" s="235">
        <f>IFERROR(__xludf.DUMMYFUNCTION("""COMPUTED_VALUE"""),101.0)</f>
        <v>101</v>
      </c>
      <c r="C84" s="235">
        <f>IFERROR(__xludf.DUMMYFUNCTION("""COMPUTED_VALUE"""),69.0)</f>
        <v>69</v>
      </c>
      <c r="D84" s="235">
        <f>IFERROR(__xludf.DUMMYFUNCTION("""COMPUTED_VALUE"""),25072.0)</f>
        <v>25072</v>
      </c>
      <c r="E84" s="235">
        <f>IFERROR(__xludf.DUMMYFUNCTION("""COMPUTED_VALUE"""),2811.0)</f>
        <v>2811</v>
      </c>
      <c r="F84" s="172">
        <f>IFERROR(__xludf.DUMMYFUNCTION("""COMPUTED_VALUE"""),250175.0)</f>
        <v>250175</v>
      </c>
      <c r="G84" s="172">
        <f>IFERROR(__xludf.DUMMYFUNCTION("""COMPUTED_VALUE"""),2912.0)</f>
        <v>2912</v>
      </c>
      <c r="H84" s="172">
        <f>IFERROR(__xludf.DUMMYFUNCTION("""COMPUTED_VALUE"""),275247.0)</f>
        <v>275247</v>
      </c>
      <c r="I84" s="235">
        <f>IFERROR(__xludf.DUMMYFUNCTION("""COMPUTED_VALUE"""),57.0)</f>
        <v>57</v>
      </c>
      <c r="J84" s="235">
        <f>IFERROR(__xludf.DUMMYFUNCTION("""COMPUTED_VALUE"""),39.0)</f>
        <v>39</v>
      </c>
      <c r="K84" s="235">
        <f>IFERROR(__xludf.DUMMYFUNCTION("""COMPUTED_VALUE"""),17118.0)</f>
        <v>17118</v>
      </c>
      <c r="L84" s="235">
        <f>IFERROR(__xludf.DUMMYFUNCTION("""COMPUTED_VALUE"""),1539.0)</f>
        <v>1539</v>
      </c>
      <c r="M84" s="235">
        <f>IFERROR(__xludf.DUMMYFUNCTION("""COMPUTED_VALUE"""),146473.0)</f>
        <v>146473</v>
      </c>
      <c r="N84" s="235">
        <f>IFERROR(__xludf.DUMMYFUNCTION("""COMPUTED_VALUE"""),163591.0)</f>
        <v>163591</v>
      </c>
      <c r="O84" s="235">
        <f>IFERROR(__xludf.DUMMYFUNCTION("""COMPUTED_VALUE"""),6.0)</f>
        <v>6</v>
      </c>
      <c r="P84" s="235">
        <f>IFERROR(__xludf.DUMMYFUNCTION("""COMPUTED_VALUE"""),2074.0)</f>
        <v>2074</v>
      </c>
      <c r="Q84" s="235">
        <f>IFERROR(__xludf.DUMMYFUNCTION("""COMPUTED_VALUE"""),6.0)</f>
        <v>6</v>
      </c>
      <c r="R84" s="235">
        <f>IFERROR(__xludf.DUMMYFUNCTION("""COMPUTED_VALUE"""),1721.0)</f>
        <v>1721</v>
      </c>
      <c r="S84" s="235">
        <f>IFERROR(__xludf.DUMMYFUNCTION("""COMPUTED_VALUE"""),0.0)</f>
        <v>0</v>
      </c>
      <c r="T84" s="235">
        <f>IFERROR(__xludf.DUMMYFUNCTION("""COMPUTED_VALUE"""),308.0)</f>
        <v>308</v>
      </c>
      <c r="U84" s="235">
        <f>IFERROR(__xludf.DUMMYFUNCTION("""COMPUTED_VALUE"""),45.0)</f>
        <v>45</v>
      </c>
      <c r="V84" s="235">
        <f>IFERROR(__xludf.DUMMYFUNCTION("""COMPUTED_VALUE"""),46.0)</f>
        <v>46</v>
      </c>
      <c r="W84" s="235">
        <f>IFERROR(__xludf.DUMMYFUNCTION("""COMPUTED_VALUE"""),9.0)</f>
        <v>9</v>
      </c>
      <c r="X84" s="235">
        <f>IFERROR(__xludf.DUMMYFUNCTION("""COMPUTED_VALUE"""),9.0)</f>
        <v>9</v>
      </c>
      <c r="Y84" s="235">
        <f>IFERROR(__xludf.DUMMYFUNCTION("""COMPUTED_VALUE"""),4.0)</f>
        <v>4</v>
      </c>
      <c r="Z84" s="235">
        <f>IFERROR(__xludf.DUMMYFUNCTION("""COMPUTED_VALUE"""),991.0)</f>
        <v>991</v>
      </c>
    </row>
    <row r="85">
      <c r="A85" s="234">
        <f>IFERROR(__xludf.DUMMYFUNCTION("""COMPUTED_VALUE"""),44019.0)</f>
        <v>44019</v>
      </c>
      <c r="B85" s="235">
        <f>IFERROR(__xludf.DUMMYFUNCTION("""COMPUTED_VALUE"""),81.0)</f>
        <v>81</v>
      </c>
      <c r="C85" s="235">
        <f>IFERROR(__xludf.DUMMYFUNCTION("""COMPUTED_VALUE"""),77.0)</f>
        <v>77</v>
      </c>
      <c r="D85" s="235">
        <f>IFERROR(__xludf.DUMMYFUNCTION("""COMPUTED_VALUE"""),25153.0)</f>
        <v>25153</v>
      </c>
      <c r="E85" s="235">
        <f>IFERROR(__xludf.DUMMYFUNCTION("""COMPUTED_VALUE"""),3457.0)</f>
        <v>3457</v>
      </c>
      <c r="F85" s="172">
        <f>IFERROR(__xludf.DUMMYFUNCTION("""COMPUTED_VALUE"""),253632.0)</f>
        <v>253632</v>
      </c>
      <c r="G85" s="172">
        <f>IFERROR(__xludf.DUMMYFUNCTION("""COMPUTED_VALUE"""),3538.0)</f>
        <v>3538</v>
      </c>
      <c r="H85" s="172">
        <f>IFERROR(__xludf.DUMMYFUNCTION("""COMPUTED_VALUE"""),278785.0)</f>
        <v>278785</v>
      </c>
      <c r="I85" s="235">
        <f>IFERROR(__xludf.DUMMYFUNCTION("""COMPUTED_VALUE"""),47.0)</f>
        <v>47</v>
      </c>
      <c r="J85" s="235">
        <f>IFERROR(__xludf.DUMMYFUNCTION("""COMPUTED_VALUE"""),43.0)</f>
        <v>43</v>
      </c>
      <c r="K85" s="235">
        <f>IFERROR(__xludf.DUMMYFUNCTION("""COMPUTED_VALUE"""),17165.0)</f>
        <v>17165</v>
      </c>
      <c r="L85" s="235">
        <f>IFERROR(__xludf.DUMMYFUNCTION("""COMPUTED_VALUE"""),1532.0)</f>
        <v>1532</v>
      </c>
      <c r="M85" s="235">
        <f>IFERROR(__xludf.DUMMYFUNCTION("""COMPUTED_VALUE"""),148005.0)</f>
        <v>148005</v>
      </c>
      <c r="N85" s="235">
        <f>IFERROR(__xludf.DUMMYFUNCTION("""COMPUTED_VALUE"""),165170.0)</f>
        <v>165170</v>
      </c>
      <c r="O85" s="235">
        <f>IFERROR(__xludf.DUMMYFUNCTION("""COMPUTED_VALUE"""),5.0)</f>
        <v>5</v>
      </c>
      <c r="P85" s="235">
        <f>IFERROR(__xludf.DUMMYFUNCTION("""COMPUTED_VALUE"""),2079.0)</f>
        <v>2079</v>
      </c>
      <c r="Q85" s="235">
        <f>IFERROR(__xludf.DUMMYFUNCTION("""COMPUTED_VALUE"""),7.0)</f>
        <v>7</v>
      </c>
      <c r="R85" s="235">
        <f>IFERROR(__xludf.DUMMYFUNCTION("""COMPUTED_VALUE"""),1728.0)</f>
        <v>1728</v>
      </c>
      <c r="S85" s="235">
        <f>IFERROR(__xludf.DUMMYFUNCTION("""COMPUTED_VALUE"""),0.0)</f>
        <v>0</v>
      </c>
      <c r="T85" s="235">
        <f>IFERROR(__xludf.DUMMYFUNCTION("""COMPUTED_VALUE"""),308.0)</f>
        <v>308</v>
      </c>
      <c r="U85" s="235">
        <f>IFERROR(__xludf.DUMMYFUNCTION("""COMPUTED_VALUE"""),43.0)</f>
        <v>43</v>
      </c>
      <c r="V85" s="235">
        <f>IFERROR(__xludf.DUMMYFUNCTION("""COMPUTED_VALUE"""),44.0)</f>
        <v>44</v>
      </c>
      <c r="W85" s="235">
        <f>IFERROR(__xludf.DUMMYFUNCTION("""COMPUTED_VALUE"""),8.0)</f>
        <v>8</v>
      </c>
      <c r="X85" s="235">
        <f>IFERROR(__xludf.DUMMYFUNCTION("""COMPUTED_VALUE"""),8.0)</f>
        <v>8</v>
      </c>
      <c r="Y85" s="235">
        <f>IFERROR(__xludf.DUMMYFUNCTION("""COMPUTED_VALUE"""),2.0)</f>
        <v>2</v>
      </c>
      <c r="Z85" s="235">
        <f>IFERROR(__xludf.DUMMYFUNCTION("""COMPUTED_VALUE"""),993.0)</f>
        <v>993</v>
      </c>
    </row>
    <row r="86">
      <c r="A86" s="234">
        <f>IFERROR(__xludf.DUMMYFUNCTION("""COMPUTED_VALUE"""),44020.0)</f>
        <v>44020</v>
      </c>
      <c r="B86" s="235">
        <f>IFERROR(__xludf.DUMMYFUNCTION("""COMPUTED_VALUE"""),105.0)</f>
        <v>105</v>
      </c>
      <c r="C86" s="235">
        <f>IFERROR(__xludf.DUMMYFUNCTION("""COMPUTED_VALUE"""),96.0)</f>
        <v>96</v>
      </c>
      <c r="D86" s="235">
        <f>IFERROR(__xludf.DUMMYFUNCTION("""COMPUTED_VALUE"""),25258.0)</f>
        <v>25258</v>
      </c>
      <c r="E86" s="235">
        <f>IFERROR(__xludf.DUMMYFUNCTION("""COMPUTED_VALUE"""),3409.0)</f>
        <v>3409</v>
      </c>
      <c r="F86" s="172">
        <f>IFERROR(__xludf.DUMMYFUNCTION("""COMPUTED_VALUE"""),257041.0)</f>
        <v>257041</v>
      </c>
      <c r="G86" s="172">
        <f>IFERROR(__xludf.DUMMYFUNCTION("""COMPUTED_VALUE"""),3514.0)</f>
        <v>3514</v>
      </c>
      <c r="H86" s="172">
        <f>IFERROR(__xludf.DUMMYFUNCTION("""COMPUTED_VALUE"""),282299.0)</f>
        <v>282299</v>
      </c>
      <c r="I86" s="235">
        <f>IFERROR(__xludf.DUMMYFUNCTION("""COMPUTED_VALUE"""),64.0)</f>
        <v>64</v>
      </c>
      <c r="J86" s="235">
        <f>IFERROR(__xludf.DUMMYFUNCTION("""COMPUTED_VALUE"""),56.0)</f>
        <v>56</v>
      </c>
      <c r="K86" s="235">
        <f>IFERROR(__xludf.DUMMYFUNCTION("""COMPUTED_VALUE"""),17229.0)</f>
        <v>17229</v>
      </c>
      <c r="L86" s="235">
        <f>IFERROR(__xludf.DUMMYFUNCTION("""COMPUTED_VALUE"""),1419.0)</f>
        <v>1419</v>
      </c>
      <c r="M86" s="235">
        <f>IFERROR(__xludf.DUMMYFUNCTION("""COMPUTED_VALUE"""),149424.0)</f>
        <v>149424</v>
      </c>
      <c r="N86" s="235">
        <f>IFERROR(__xludf.DUMMYFUNCTION("""COMPUTED_VALUE"""),166653.0)</f>
        <v>166653</v>
      </c>
      <c r="O86" s="235">
        <f>IFERROR(__xludf.DUMMYFUNCTION("""COMPUTED_VALUE"""),4.0)</f>
        <v>4</v>
      </c>
      <c r="P86" s="235">
        <f>IFERROR(__xludf.DUMMYFUNCTION("""COMPUTED_VALUE"""),2083.0)</f>
        <v>2083</v>
      </c>
      <c r="Q86" s="235">
        <f>IFERROR(__xludf.DUMMYFUNCTION("""COMPUTED_VALUE"""),2.0)</f>
        <v>2</v>
      </c>
      <c r="R86" s="235">
        <f>IFERROR(__xludf.DUMMYFUNCTION("""COMPUTED_VALUE"""),1730.0)</f>
        <v>1730</v>
      </c>
      <c r="S86" s="235">
        <f>IFERROR(__xludf.DUMMYFUNCTION("""COMPUTED_VALUE"""),0.0)</f>
        <v>0</v>
      </c>
      <c r="T86" s="235">
        <f>IFERROR(__xludf.DUMMYFUNCTION("""COMPUTED_VALUE"""),308.0)</f>
        <v>308</v>
      </c>
      <c r="U86" s="235">
        <f>IFERROR(__xludf.DUMMYFUNCTION("""COMPUTED_VALUE"""),45.0)</f>
        <v>45</v>
      </c>
      <c r="V86" s="235">
        <f>IFERROR(__xludf.DUMMYFUNCTION("""COMPUTED_VALUE"""),44.0)</f>
        <v>44</v>
      </c>
      <c r="W86" s="235">
        <f>IFERROR(__xludf.DUMMYFUNCTION("""COMPUTED_VALUE"""),9.0)</f>
        <v>9</v>
      </c>
      <c r="X86" s="235">
        <f>IFERROR(__xludf.DUMMYFUNCTION("""COMPUTED_VALUE"""),8.0)</f>
        <v>8</v>
      </c>
      <c r="Y86" s="235">
        <f>IFERROR(__xludf.DUMMYFUNCTION("""COMPUTED_VALUE"""),0.0)</f>
        <v>0</v>
      </c>
      <c r="Z86" s="235">
        <f>IFERROR(__xludf.DUMMYFUNCTION("""COMPUTED_VALUE"""),993.0)</f>
        <v>993</v>
      </c>
    </row>
    <row r="87">
      <c r="A87" s="234">
        <f>IFERROR(__xludf.DUMMYFUNCTION("""COMPUTED_VALUE"""),44021.0)</f>
        <v>44021</v>
      </c>
      <c r="B87" s="235">
        <f>IFERROR(__xludf.DUMMYFUNCTION("""COMPUTED_VALUE"""),94.0)</f>
        <v>94</v>
      </c>
      <c r="C87" s="235">
        <f>IFERROR(__xludf.DUMMYFUNCTION("""COMPUTED_VALUE"""),93.0)</f>
        <v>93</v>
      </c>
      <c r="D87" s="235">
        <f>IFERROR(__xludf.DUMMYFUNCTION("""COMPUTED_VALUE"""),25352.0)</f>
        <v>25352</v>
      </c>
      <c r="E87" s="235">
        <f>IFERROR(__xludf.DUMMYFUNCTION("""COMPUTED_VALUE"""),3714.0)</f>
        <v>3714</v>
      </c>
      <c r="F87" s="172">
        <f>IFERROR(__xludf.DUMMYFUNCTION("""COMPUTED_VALUE"""),260755.0)</f>
        <v>260755</v>
      </c>
      <c r="G87" s="172">
        <f>IFERROR(__xludf.DUMMYFUNCTION("""COMPUTED_VALUE"""),3808.0)</f>
        <v>3808</v>
      </c>
      <c r="H87" s="172">
        <f>IFERROR(__xludf.DUMMYFUNCTION("""COMPUTED_VALUE"""),286107.0)</f>
        <v>286107</v>
      </c>
      <c r="I87" s="235">
        <f>IFERROR(__xludf.DUMMYFUNCTION("""COMPUTED_VALUE"""),50.0)</f>
        <v>50</v>
      </c>
      <c r="J87" s="235">
        <f>IFERROR(__xludf.DUMMYFUNCTION("""COMPUTED_VALUE"""),54.0)</f>
        <v>54</v>
      </c>
      <c r="K87" s="235">
        <f>IFERROR(__xludf.DUMMYFUNCTION("""COMPUTED_VALUE"""),17279.0)</f>
        <v>17279</v>
      </c>
      <c r="L87" s="235">
        <f>IFERROR(__xludf.DUMMYFUNCTION("""COMPUTED_VALUE"""),1611.0)</f>
        <v>1611</v>
      </c>
      <c r="M87" s="235">
        <f>IFERROR(__xludf.DUMMYFUNCTION("""COMPUTED_VALUE"""),151035.0)</f>
        <v>151035</v>
      </c>
      <c r="N87" s="235">
        <f>IFERROR(__xludf.DUMMYFUNCTION("""COMPUTED_VALUE"""),168314.0)</f>
        <v>168314</v>
      </c>
      <c r="O87" s="235">
        <f>IFERROR(__xludf.DUMMYFUNCTION("""COMPUTED_VALUE"""),9.0)</f>
        <v>9</v>
      </c>
      <c r="P87" s="235">
        <f>IFERROR(__xludf.DUMMYFUNCTION("""COMPUTED_VALUE"""),2092.0)</f>
        <v>2092</v>
      </c>
      <c r="Q87" s="235">
        <f>IFERROR(__xludf.DUMMYFUNCTION("""COMPUTED_VALUE"""),3.0)</f>
        <v>3</v>
      </c>
      <c r="R87" s="235">
        <f>IFERROR(__xludf.DUMMYFUNCTION("""COMPUTED_VALUE"""),1733.0)</f>
        <v>1733</v>
      </c>
      <c r="S87" s="235">
        <f>IFERROR(__xludf.DUMMYFUNCTION("""COMPUTED_VALUE"""),0.0)</f>
        <v>0</v>
      </c>
      <c r="T87" s="235">
        <f>IFERROR(__xludf.DUMMYFUNCTION("""COMPUTED_VALUE"""),308.0)</f>
        <v>308</v>
      </c>
      <c r="U87" s="235">
        <f>IFERROR(__xludf.DUMMYFUNCTION("""COMPUTED_VALUE"""),51.0)</f>
        <v>51</v>
      </c>
      <c r="V87" s="235">
        <f>IFERROR(__xludf.DUMMYFUNCTION("""COMPUTED_VALUE"""),46.0)</f>
        <v>46</v>
      </c>
      <c r="W87" s="235">
        <f>IFERROR(__xludf.DUMMYFUNCTION("""COMPUTED_VALUE"""),9.0)</f>
        <v>9</v>
      </c>
      <c r="X87" s="235">
        <f>IFERROR(__xludf.DUMMYFUNCTION("""COMPUTED_VALUE"""),8.0)</f>
        <v>8</v>
      </c>
      <c r="Y87" s="235">
        <f>IFERROR(__xludf.DUMMYFUNCTION("""COMPUTED_VALUE"""),0.0)</f>
        <v>0</v>
      </c>
      <c r="Z87" s="235">
        <f>IFERROR(__xludf.DUMMYFUNCTION("""COMPUTED_VALUE"""),993.0)</f>
        <v>993</v>
      </c>
    </row>
    <row r="88">
      <c r="A88" s="234">
        <f>IFERROR(__xludf.DUMMYFUNCTION("""COMPUTED_VALUE"""),44022.0)</f>
        <v>44022</v>
      </c>
      <c r="B88" s="235">
        <f>IFERROR(__xludf.DUMMYFUNCTION("""COMPUTED_VALUE"""),132.0)</f>
        <v>132</v>
      </c>
      <c r="C88" s="235">
        <f>IFERROR(__xludf.DUMMYFUNCTION("""COMPUTED_VALUE"""),110.0)</f>
        <v>110</v>
      </c>
      <c r="D88" s="235">
        <f>IFERROR(__xludf.DUMMYFUNCTION("""COMPUTED_VALUE"""),25484.0)</f>
        <v>25484</v>
      </c>
      <c r="E88" s="235">
        <f>IFERROR(__xludf.DUMMYFUNCTION("""COMPUTED_VALUE"""),4432.0)</f>
        <v>4432</v>
      </c>
      <c r="F88" s="172">
        <f>IFERROR(__xludf.DUMMYFUNCTION("""COMPUTED_VALUE"""),265187.0)</f>
        <v>265187</v>
      </c>
      <c r="G88" s="172">
        <f>IFERROR(__xludf.DUMMYFUNCTION("""COMPUTED_VALUE"""),4564.0)</f>
        <v>4564</v>
      </c>
      <c r="H88" s="172">
        <f>IFERROR(__xludf.DUMMYFUNCTION("""COMPUTED_VALUE"""),290671.0)</f>
        <v>290671</v>
      </c>
      <c r="I88" s="235">
        <f>IFERROR(__xludf.DUMMYFUNCTION("""COMPUTED_VALUE"""),80.0)</f>
        <v>80</v>
      </c>
      <c r="J88" s="235">
        <f>IFERROR(__xludf.DUMMYFUNCTION("""COMPUTED_VALUE"""),65.0)</f>
        <v>65</v>
      </c>
      <c r="K88" s="235">
        <f>IFERROR(__xludf.DUMMYFUNCTION("""COMPUTED_VALUE"""),17359.0)</f>
        <v>17359</v>
      </c>
      <c r="L88" s="235">
        <f>IFERROR(__xludf.DUMMYFUNCTION("""COMPUTED_VALUE"""),2061.0)</f>
        <v>2061</v>
      </c>
      <c r="M88" s="235">
        <f>IFERROR(__xludf.DUMMYFUNCTION("""COMPUTED_VALUE"""),153096.0)</f>
        <v>153096</v>
      </c>
      <c r="N88" s="235">
        <f>IFERROR(__xludf.DUMMYFUNCTION("""COMPUTED_VALUE"""),170455.0)</f>
        <v>170455</v>
      </c>
      <c r="O88" s="235">
        <f>IFERROR(__xludf.DUMMYFUNCTION("""COMPUTED_VALUE"""),6.0)</f>
        <v>6</v>
      </c>
      <c r="P88" s="235">
        <f>IFERROR(__xludf.DUMMYFUNCTION("""COMPUTED_VALUE"""),2098.0)</f>
        <v>2098</v>
      </c>
      <c r="Q88" s="235">
        <f>IFERROR(__xludf.DUMMYFUNCTION("""COMPUTED_VALUE"""),3.0)</f>
        <v>3</v>
      </c>
      <c r="R88" s="235">
        <f>IFERROR(__xludf.DUMMYFUNCTION("""COMPUTED_VALUE"""),1736.0)</f>
        <v>1736</v>
      </c>
      <c r="S88" s="235">
        <f>IFERROR(__xludf.DUMMYFUNCTION("""COMPUTED_VALUE"""),2.0)</f>
        <v>2</v>
      </c>
      <c r="T88" s="235">
        <f>IFERROR(__xludf.DUMMYFUNCTION("""COMPUTED_VALUE"""),310.0)</f>
        <v>310</v>
      </c>
      <c r="U88" s="235">
        <f>IFERROR(__xludf.DUMMYFUNCTION("""COMPUTED_VALUE"""),52.0)</f>
        <v>52</v>
      </c>
      <c r="V88" s="235">
        <f>IFERROR(__xludf.DUMMYFUNCTION("""COMPUTED_VALUE"""),49.0)</f>
        <v>49</v>
      </c>
      <c r="W88" s="235">
        <f>IFERROR(__xludf.DUMMYFUNCTION("""COMPUTED_VALUE"""),7.0)</f>
        <v>7</v>
      </c>
      <c r="X88" s="235">
        <f>IFERROR(__xludf.DUMMYFUNCTION("""COMPUTED_VALUE"""),7.0)</f>
        <v>7</v>
      </c>
      <c r="Y88" s="235">
        <f>IFERROR(__xludf.DUMMYFUNCTION("""COMPUTED_VALUE"""),3.0)</f>
        <v>3</v>
      </c>
      <c r="Z88" s="235">
        <f>IFERROR(__xludf.DUMMYFUNCTION("""COMPUTED_VALUE"""),996.0)</f>
        <v>996</v>
      </c>
    </row>
    <row r="89">
      <c r="A89" s="234">
        <f>IFERROR(__xludf.DUMMYFUNCTION("""COMPUTED_VALUE"""),44023.0)</f>
        <v>44023</v>
      </c>
      <c r="B89" s="235">
        <f>IFERROR(__xludf.DUMMYFUNCTION("""COMPUTED_VALUE"""),63.0)</f>
        <v>63</v>
      </c>
      <c r="C89" s="235">
        <f>IFERROR(__xludf.DUMMYFUNCTION("""COMPUTED_VALUE"""),96.0)</f>
        <v>96</v>
      </c>
      <c r="D89" s="235">
        <f>IFERROR(__xludf.DUMMYFUNCTION("""COMPUTED_VALUE"""),25547.0)</f>
        <v>25547</v>
      </c>
      <c r="E89" s="235">
        <f>IFERROR(__xludf.DUMMYFUNCTION("""COMPUTED_VALUE"""),2932.0)</f>
        <v>2932</v>
      </c>
      <c r="F89" s="172">
        <f>IFERROR(__xludf.DUMMYFUNCTION("""COMPUTED_VALUE"""),268119.0)</f>
        <v>268119</v>
      </c>
      <c r="G89" s="172">
        <f>IFERROR(__xludf.DUMMYFUNCTION("""COMPUTED_VALUE"""),2995.0)</f>
        <v>2995</v>
      </c>
      <c r="H89" s="172">
        <f>IFERROR(__xludf.DUMMYFUNCTION("""COMPUTED_VALUE"""),293666.0)</f>
        <v>293666</v>
      </c>
      <c r="I89" s="235">
        <f>IFERROR(__xludf.DUMMYFUNCTION("""COMPUTED_VALUE"""),36.0)</f>
        <v>36</v>
      </c>
      <c r="J89" s="235">
        <f>IFERROR(__xludf.DUMMYFUNCTION("""COMPUTED_VALUE"""),55.0)</f>
        <v>55</v>
      </c>
      <c r="K89" s="235">
        <f>IFERROR(__xludf.DUMMYFUNCTION("""COMPUTED_VALUE"""),17395.0)</f>
        <v>17395</v>
      </c>
      <c r="L89" s="235">
        <f>IFERROR(__xludf.DUMMYFUNCTION("""COMPUTED_VALUE"""),1310.0)</f>
        <v>1310</v>
      </c>
      <c r="M89" s="235">
        <f>IFERROR(__xludf.DUMMYFUNCTION("""COMPUTED_VALUE"""),154406.0)</f>
        <v>154406</v>
      </c>
      <c r="N89" s="235">
        <f>IFERROR(__xludf.DUMMYFUNCTION("""COMPUTED_VALUE"""),171801.0)</f>
        <v>171801</v>
      </c>
      <c r="O89" s="235">
        <f>IFERROR(__xludf.DUMMYFUNCTION("""COMPUTED_VALUE"""),6.0)</f>
        <v>6</v>
      </c>
      <c r="P89" s="235">
        <f>IFERROR(__xludf.DUMMYFUNCTION("""COMPUTED_VALUE"""),2104.0)</f>
        <v>2104</v>
      </c>
      <c r="Q89" s="235">
        <f>IFERROR(__xludf.DUMMYFUNCTION("""COMPUTED_VALUE"""),3.0)</f>
        <v>3</v>
      </c>
      <c r="R89" s="235">
        <f>IFERROR(__xludf.DUMMYFUNCTION("""COMPUTED_VALUE"""),1739.0)</f>
        <v>1739</v>
      </c>
      <c r="S89" s="235">
        <f>IFERROR(__xludf.DUMMYFUNCTION("""COMPUTED_VALUE"""),1.0)</f>
        <v>1</v>
      </c>
      <c r="T89" s="235">
        <f>IFERROR(__xludf.DUMMYFUNCTION("""COMPUTED_VALUE"""),311.0)</f>
        <v>311</v>
      </c>
      <c r="U89" s="235">
        <f>IFERROR(__xludf.DUMMYFUNCTION("""COMPUTED_VALUE"""),54.0)</f>
        <v>54</v>
      </c>
      <c r="V89" s="235">
        <f>IFERROR(__xludf.DUMMYFUNCTION("""COMPUTED_VALUE"""),52.0)</f>
        <v>52</v>
      </c>
      <c r="W89" s="235">
        <f>IFERROR(__xludf.DUMMYFUNCTION("""COMPUTED_VALUE"""),6.0)</f>
        <v>6</v>
      </c>
      <c r="X89" s="235">
        <f>IFERROR(__xludf.DUMMYFUNCTION("""COMPUTED_VALUE"""),6.0)</f>
        <v>6</v>
      </c>
      <c r="Y89" s="235">
        <f>IFERROR(__xludf.DUMMYFUNCTION("""COMPUTED_VALUE"""),3.0)</f>
        <v>3</v>
      </c>
      <c r="Z89" s="235">
        <f>IFERROR(__xludf.DUMMYFUNCTION("""COMPUTED_VALUE"""),999.0)</f>
        <v>999</v>
      </c>
    </row>
    <row r="90">
      <c r="A90" s="234">
        <f>IFERROR(__xludf.DUMMYFUNCTION("""COMPUTED_VALUE"""),44024.0)</f>
        <v>44024</v>
      </c>
      <c r="B90" s="235">
        <f>IFERROR(__xludf.DUMMYFUNCTION("""COMPUTED_VALUE"""),47.0)</f>
        <v>47</v>
      </c>
      <c r="C90" s="235">
        <f>IFERROR(__xludf.DUMMYFUNCTION("""COMPUTED_VALUE"""),81.0)</f>
        <v>81</v>
      </c>
      <c r="D90" s="235">
        <f>IFERROR(__xludf.DUMMYFUNCTION("""COMPUTED_VALUE"""),25594.0)</f>
        <v>25594</v>
      </c>
      <c r="E90" s="235">
        <f>IFERROR(__xludf.DUMMYFUNCTION("""COMPUTED_VALUE"""),1837.0)</f>
        <v>1837</v>
      </c>
      <c r="F90" s="172">
        <f>IFERROR(__xludf.DUMMYFUNCTION("""COMPUTED_VALUE"""),269956.0)</f>
        <v>269956</v>
      </c>
      <c r="G90" s="172">
        <f>IFERROR(__xludf.DUMMYFUNCTION("""COMPUTED_VALUE"""),1884.0)</f>
        <v>1884</v>
      </c>
      <c r="H90" s="172">
        <f>IFERROR(__xludf.DUMMYFUNCTION("""COMPUTED_VALUE"""),295550.0)</f>
        <v>295550</v>
      </c>
      <c r="I90" s="235">
        <f>IFERROR(__xludf.DUMMYFUNCTION("""COMPUTED_VALUE"""),34.0)</f>
        <v>34</v>
      </c>
      <c r="J90" s="235">
        <f>IFERROR(__xludf.DUMMYFUNCTION("""COMPUTED_VALUE"""),50.0)</f>
        <v>50</v>
      </c>
      <c r="K90" s="235">
        <f>IFERROR(__xludf.DUMMYFUNCTION("""COMPUTED_VALUE"""),17429.0)</f>
        <v>17429</v>
      </c>
      <c r="L90" s="235">
        <f>IFERROR(__xludf.DUMMYFUNCTION("""COMPUTED_VALUE"""),941.0)</f>
        <v>941</v>
      </c>
      <c r="M90" s="235">
        <f>IFERROR(__xludf.DUMMYFUNCTION("""COMPUTED_VALUE"""),155347.0)</f>
        <v>155347</v>
      </c>
      <c r="N90" s="235">
        <f>IFERROR(__xludf.DUMMYFUNCTION("""COMPUTED_VALUE"""),172776.0)</f>
        <v>172776</v>
      </c>
      <c r="O90" s="235">
        <f>IFERROR(__xludf.DUMMYFUNCTION("""COMPUTED_VALUE"""),1.0)</f>
        <v>1</v>
      </c>
      <c r="P90" s="235">
        <f>IFERROR(__xludf.DUMMYFUNCTION("""COMPUTED_VALUE"""),2105.0)</f>
        <v>2105</v>
      </c>
      <c r="Q90" s="235">
        <f>IFERROR(__xludf.DUMMYFUNCTION("""COMPUTED_VALUE"""),3.0)</f>
        <v>3</v>
      </c>
      <c r="R90" s="235">
        <f>IFERROR(__xludf.DUMMYFUNCTION("""COMPUTED_VALUE"""),1742.0)</f>
        <v>1742</v>
      </c>
      <c r="S90" s="235">
        <f>IFERROR(__xludf.DUMMYFUNCTION("""COMPUTED_VALUE"""),1.0)</f>
        <v>1</v>
      </c>
      <c r="T90" s="235">
        <f>IFERROR(__xludf.DUMMYFUNCTION("""COMPUTED_VALUE"""),312.0)</f>
        <v>312</v>
      </c>
      <c r="U90" s="235">
        <f>IFERROR(__xludf.DUMMYFUNCTION("""COMPUTED_VALUE"""),51.0)</f>
        <v>51</v>
      </c>
      <c r="V90" s="235">
        <f>IFERROR(__xludf.DUMMYFUNCTION("""COMPUTED_VALUE"""),52.0)</f>
        <v>52</v>
      </c>
      <c r="W90" s="235">
        <f>IFERROR(__xludf.DUMMYFUNCTION("""COMPUTED_VALUE"""),6.0)</f>
        <v>6</v>
      </c>
      <c r="X90" s="235">
        <f>IFERROR(__xludf.DUMMYFUNCTION("""COMPUTED_VALUE"""),5.0)</f>
        <v>5</v>
      </c>
      <c r="Y90" s="235">
        <f>IFERROR(__xludf.DUMMYFUNCTION("""COMPUTED_VALUE"""),3.0)</f>
        <v>3</v>
      </c>
      <c r="Z90" s="235">
        <f>IFERROR(__xludf.DUMMYFUNCTION("""COMPUTED_VALUE"""),1002.0)</f>
        <v>1002</v>
      </c>
    </row>
    <row r="91">
      <c r="A91" s="234">
        <f>IFERROR(__xludf.DUMMYFUNCTION("""COMPUTED_VALUE"""),44025.0)</f>
        <v>44025</v>
      </c>
      <c r="B91" s="235">
        <f>IFERROR(__xludf.DUMMYFUNCTION("""COMPUTED_VALUE"""),84.0)</f>
        <v>84</v>
      </c>
      <c r="C91" s="235">
        <f>IFERROR(__xludf.DUMMYFUNCTION("""COMPUTED_VALUE"""),65.0)</f>
        <v>65</v>
      </c>
      <c r="D91" s="235">
        <f>IFERROR(__xludf.DUMMYFUNCTION("""COMPUTED_VALUE"""),25678.0)</f>
        <v>25678</v>
      </c>
      <c r="E91" s="235">
        <f>IFERROR(__xludf.DUMMYFUNCTION("""COMPUTED_VALUE"""),3201.0)</f>
        <v>3201</v>
      </c>
      <c r="F91" s="172">
        <f>IFERROR(__xludf.DUMMYFUNCTION("""COMPUTED_VALUE"""),273157.0)</f>
        <v>273157</v>
      </c>
      <c r="G91" s="172">
        <f>IFERROR(__xludf.DUMMYFUNCTION("""COMPUTED_VALUE"""),3285.0)</f>
        <v>3285</v>
      </c>
      <c r="H91" s="172">
        <f>IFERROR(__xludf.DUMMYFUNCTION("""COMPUTED_VALUE"""),298835.0)</f>
        <v>298835</v>
      </c>
      <c r="I91" s="235">
        <f>IFERROR(__xludf.DUMMYFUNCTION("""COMPUTED_VALUE"""),61.0)</f>
        <v>61</v>
      </c>
      <c r="J91" s="235">
        <f>IFERROR(__xludf.DUMMYFUNCTION("""COMPUTED_VALUE"""),44.0)</f>
        <v>44</v>
      </c>
      <c r="K91" s="235">
        <f>IFERROR(__xludf.DUMMYFUNCTION("""COMPUTED_VALUE"""),17490.0)</f>
        <v>17490</v>
      </c>
      <c r="L91" s="235">
        <f>IFERROR(__xludf.DUMMYFUNCTION("""COMPUTED_VALUE"""),1497.0)</f>
        <v>1497</v>
      </c>
      <c r="M91" s="235">
        <f>IFERROR(__xludf.DUMMYFUNCTION("""COMPUTED_VALUE"""),156844.0)</f>
        <v>156844</v>
      </c>
      <c r="N91" s="235">
        <f>IFERROR(__xludf.DUMMYFUNCTION("""COMPUTED_VALUE"""),174334.0)</f>
        <v>174334</v>
      </c>
      <c r="O91" s="235">
        <f>IFERROR(__xludf.DUMMYFUNCTION("""COMPUTED_VALUE"""),8.0)</f>
        <v>8</v>
      </c>
      <c r="P91" s="235">
        <f>IFERROR(__xludf.DUMMYFUNCTION("""COMPUTED_VALUE"""),2113.0)</f>
        <v>2113</v>
      </c>
      <c r="Q91" s="235">
        <f>IFERROR(__xludf.DUMMYFUNCTION("""COMPUTED_VALUE"""),10.0)</f>
        <v>10</v>
      </c>
      <c r="R91" s="235">
        <f>IFERROR(__xludf.DUMMYFUNCTION("""COMPUTED_VALUE"""),1752.0)</f>
        <v>1752</v>
      </c>
      <c r="S91" s="235">
        <f>IFERROR(__xludf.DUMMYFUNCTION("""COMPUTED_VALUE"""),0.0)</f>
        <v>0</v>
      </c>
      <c r="T91" s="235">
        <f>IFERROR(__xludf.DUMMYFUNCTION("""COMPUTED_VALUE"""),312.0)</f>
        <v>312</v>
      </c>
      <c r="U91" s="235">
        <f>IFERROR(__xludf.DUMMYFUNCTION("""COMPUTED_VALUE"""),49.0)</f>
        <v>49</v>
      </c>
      <c r="V91" s="235">
        <f>IFERROR(__xludf.DUMMYFUNCTION("""COMPUTED_VALUE"""),51.0)</f>
        <v>51</v>
      </c>
      <c r="W91" s="235">
        <f>IFERROR(__xludf.DUMMYFUNCTION("""COMPUTED_VALUE"""),6.0)</f>
        <v>6</v>
      </c>
      <c r="X91" s="235">
        <f>IFERROR(__xludf.DUMMYFUNCTION("""COMPUTED_VALUE"""),5.0)</f>
        <v>5</v>
      </c>
      <c r="Y91" s="235">
        <f>IFERROR(__xludf.DUMMYFUNCTION("""COMPUTED_VALUE"""),1.0)</f>
        <v>1</v>
      </c>
      <c r="Z91" s="235">
        <f>IFERROR(__xludf.DUMMYFUNCTION("""COMPUTED_VALUE"""),1003.0)</f>
        <v>1003</v>
      </c>
    </row>
    <row r="92">
      <c r="A92" s="234">
        <f>IFERROR(__xludf.DUMMYFUNCTION("""COMPUTED_VALUE"""),44026.0)</f>
        <v>44026</v>
      </c>
      <c r="B92" s="235">
        <f>IFERROR(__xludf.DUMMYFUNCTION("""COMPUTED_VALUE"""),73.0)</f>
        <v>73</v>
      </c>
      <c r="C92" s="235">
        <f>IFERROR(__xludf.DUMMYFUNCTION("""COMPUTED_VALUE"""),68.0)</f>
        <v>68</v>
      </c>
      <c r="D92" s="235">
        <f>IFERROR(__xludf.DUMMYFUNCTION("""COMPUTED_VALUE"""),25751.0)</f>
        <v>25751</v>
      </c>
      <c r="E92" s="235">
        <f>IFERROR(__xludf.DUMMYFUNCTION("""COMPUTED_VALUE"""),3293.0)</f>
        <v>3293</v>
      </c>
      <c r="F92" s="172">
        <f>IFERROR(__xludf.DUMMYFUNCTION("""COMPUTED_VALUE"""),276450.0)</f>
        <v>276450</v>
      </c>
      <c r="G92" s="172">
        <f>IFERROR(__xludf.DUMMYFUNCTION("""COMPUTED_VALUE"""),3366.0)</f>
        <v>3366</v>
      </c>
      <c r="H92" s="172">
        <f>IFERROR(__xludf.DUMMYFUNCTION("""COMPUTED_VALUE"""),302201.0)</f>
        <v>302201</v>
      </c>
      <c r="I92" s="235">
        <f>IFERROR(__xludf.DUMMYFUNCTION("""COMPUTED_VALUE"""),43.0)</f>
        <v>43</v>
      </c>
      <c r="J92" s="235">
        <f>IFERROR(__xludf.DUMMYFUNCTION("""COMPUTED_VALUE"""),46.0)</f>
        <v>46</v>
      </c>
      <c r="K92" s="235">
        <f>IFERROR(__xludf.DUMMYFUNCTION("""COMPUTED_VALUE"""),17533.0)</f>
        <v>17533</v>
      </c>
      <c r="L92" s="235">
        <f>IFERROR(__xludf.DUMMYFUNCTION("""COMPUTED_VALUE"""),1370.0)</f>
        <v>1370</v>
      </c>
      <c r="M92" s="235">
        <f>IFERROR(__xludf.DUMMYFUNCTION("""COMPUTED_VALUE"""),158214.0)</f>
        <v>158214</v>
      </c>
      <c r="N92" s="235">
        <f>IFERROR(__xludf.DUMMYFUNCTION("""COMPUTED_VALUE"""),175747.0)</f>
        <v>175747</v>
      </c>
      <c r="O92" s="235">
        <f>IFERROR(__xludf.DUMMYFUNCTION("""COMPUTED_VALUE"""),7.0)</f>
        <v>7</v>
      </c>
      <c r="P92" s="235">
        <f>IFERROR(__xludf.DUMMYFUNCTION("""COMPUTED_VALUE"""),2120.0)</f>
        <v>2120</v>
      </c>
      <c r="Q92" s="235">
        <f>IFERROR(__xludf.DUMMYFUNCTION("""COMPUTED_VALUE"""),4.0)</f>
        <v>4</v>
      </c>
      <c r="R92" s="235">
        <f>IFERROR(__xludf.DUMMYFUNCTION("""COMPUTED_VALUE"""),1756.0)</f>
        <v>1756</v>
      </c>
      <c r="S92" s="235">
        <f>IFERROR(__xludf.DUMMYFUNCTION("""COMPUTED_VALUE"""),0.0)</f>
        <v>0</v>
      </c>
      <c r="T92" s="235">
        <f>IFERROR(__xludf.DUMMYFUNCTION("""COMPUTED_VALUE"""),312.0)</f>
        <v>312</v>
      </c>
      <c r="U92" s="235">
        <f>IFERROR(__xludf.DUMMYFUNCTION("""COMPUTED_VALUE"""),52.0)</f>
        <v>52</v>
      </c>
      <c r="V92" s="235">
        <f>IFERROR(__xludf.DUMMYFUNCTION("""COMPUTED_VALUE"""),51.0)</f>
        <v>51</v>
      </c>
      <c r="W92" s="235">
        <f>IFERROR(__xludf.DUMMYFUNCTION("""COMPUTED_VALUE"""),5.0)</f>
        <v>5</v>
      </c>
      <c r="X92" s="235">
        <f>IFERROR(__xludf.DUMMYFUNCTION("""COMPUTED_VALUE"""),5.0)</f>
        <v>5</v>
      </c>
      <c r="Y92" s="235">
        <f>IFERROR(__xludf.DUMMYFUNCTION("""COMPUTED_VALUE"""),1.0)</f>
        <v>1</v>
      </c>
      <c r="Z92" s="235">
        <f>IFERROR(__xludf.DUMMYFUNCTION("""COMPUTED_VALUE"""),1004.0)</f>
        <v>1004</v>
      </c>
    </row>
    <row r="93">
      <c r="A93" s="234">
        <f>IFERROR(__xludf.DUMMYFUNCTION("""COMPUTED_VALUE"""),44027.0)</f>
        <v>44027</v>
      </c>
      <c r="B93" s="235">
        <f>IFERROR(__xludf.DUMMYFUNCTION("""COMPUTED_VALUE"""),130.0)</f>
        <v>130</v>
      </c>
      <c r="C93" s="235">
        <f>IFERROR(__xludf.DUMMYFUNCTION("""COMPUTED_VALUE"""),96.0)</f>
        <v>96</v>
      </c>
      <c r="D93" s="235">
        <f>IFERROR(__xludf.DUMMYFUNCTION("""COMPUTED_VALUE"""),25881.0)</f>
        <v>25881</v>
      </c>
      <c r="E93" s="235">
        <f>IFERROR(__xludf.DUMMYFUNCTION("""COMPUTED_VALUE"""),4173.0)</f>
        <v>4173</v>
      </c>
      <c r="F93" s="172">
        <f>IFERROR(__xludf.DUMMYFUNCTION("""COMPUTED_VALUE"""),280623.0)</f>
        <v>280623</v>
      </c>
      <c r="G93" s="172">
        <f>IFERROR(__xludf.DUMMYFUNCTION("""COMPUTED_VALUE"""),4303.0)</f>
        <v>4303</v>
      </c>
      <c r="H93" s="172">
        <f>IFERROR(__xludf.DUMMYFUNCTION("""COMPUTED_VALUE"""),306504.0)</f>
        <v>306504</v>
      </c>
      <c r="I93" s="235">
        <f>IFERROR(__xludf.DUMMYFUNCTION("""COMPUTED_VALUE"""),100.0)</f>
        <v>100</v>
      </c>
      <c r="J93" s="235">
        <f>IFERROR(__xludf.DUMMYFUNCTION("""COMPUTED_VALUE"""),68.0)</f>
        <v>68</v>
      </c>
      <c r="K93" s="235">
        <f>IFERROR(__xludf.DUMMYFUNCTION("""COMPUTED_VALUE"""),17633.0)</f>
        <v>17633</v>
      </c>
      <c r="L93" s="235">
        <f>IFERROR(__xludf.DUMMYFUNCTION("""COMPUTED_VALUE"""),1739.0)</f>
        <v>1739</v>
      </c>
      <c r="M93" s="235">
        <f>IFERROR(__xludf.DUMMYFUNCTION("""COMPUTED_VALUE"""),159953.0)</f>
        <v>159953</v>
      </c>
      <c r="N93" s="235">
        <f>IFERROR(__xludf.DUMMYFUNCTION("""COMPUTED_VALUE"""),177586.0)</f>
        <v>177586</v>
      </c>
      <c r="O93" s="235">
        <f>IFERROR(__xludf.DUMMYFUNCTION("""COMPUTED_VALUE"""),5.0)</f>
        <v>5</v>
      </c>
      <c r="P93" s="235">
        <f>IFERROR(__xludf.DUMMYFUNCTION("""COMPUTED_VALUE"""),2125.0)</f>
        <v>2125</v>
      </c>
      <c r="Q93" s="235">
        <f>IFERROR(__xludf.DUMMYFUNCTION("""COMPUTED_VALUE"""),7.0)</f>
        <v>7</v>
      </c>
      <c r="R93" s="235">
        <f>IFERROR(__xludf.DUMMYFUNCTION("""COMPUTED_VALUE"""),1763.0)</f>
        <v>1763</v>
      </c>
      <c r="S93" s="235">
        <f>IFERROR(__xludf.DUMMYFUNCTION("""COMPUTED_VALUE"""),0.0)</f>
        <v>0</v>
      </c>
      <c r="T93" s="235">
        <f>IFERROR(__xludf.DUMMYFUNCTION("""COMPUTED_VALUE"""),312.0)</f>
        <v>312</v>
      </c>
      <c r="U93" s="235">
        <f>IFERROR(__xludf.DUMMYFUNCTION("""COMPUTED_VALUE"""),50.0)</f>
        <v>50</v>
      </c>
      <c r="V93" s="235">
        <f>IFERROR(__xludf.DUMMYFUNCTION("""COMPUTED_VALUE"""),50.0)</f>
        <v>50</v>
      </c>
      <c r="W93" s="235">
        <f>IFERROR(__xludf.DUMMYFUNCTION("""COMPUTED_VALUE"""),5.0)</f>
        <v>5</v>
      </c>
      <c r="X93" s="235">
        <f>IFERROR(__xludf.DUMMYFUNCTION("""COMPUTED_VALUE"""),4.0)</f>
        <v>4</v>
      </c>
      <c r="Y93" s="235">
        <f>IFERROR(__xludf.DUMMYFUNCTION("""COMPUTED_VALUE"""),0.0)</f>
        <v>0</v>
      </c>
      <c r="Z93" s="235">
        <f>IFERROR(__xludf.DUMMYFUNCTION("""COMPUTED_VALUE"""),1004.0)</f>
        <v>1004</v>
      </c>
    </row>
    <row r="94">
      <c r="A94" s="234">
        <f>IFERROR(__xludf.DUMMYFUNCTION("""COMPUTED_VALUE"""),44028.0)</f>
        <v>44028</v>
      </c>
      <c r="B94" s="235">
        <f>IFERROR(__xludf.DUMMYFUNCTION("""COMPUTED_VALUE"""),102.0)</f>
        <v>102</v>
      </c>
      <c r="C94" s="235">
        <f>IFERROR(__xludf.DUMMYFUNCTION("""COMPUTED_VALUE"""),102.0)</f>
        <v>102</v>
      </c>
      <c r="D94" s="235">
        <f>IFERROR(__xludf.DUMMYFUNCTION("""COMPUTED_VALUE"""),25983.0)</f>
        <v>25983</v>
      </c>
      <c r="E94" s="235">
        <f>IFERROR(__xludf.DUMMYFUNCTION("""COMPUTED_VALUE"""),3734.0)</f>
        <v>3734</v>
      </c>
      <c r="F94" s="172">
        <f>IFERROR(__xludf.DUMMYFUNCTION("""COMPUTED_VALUE"""),284357.0)</f>
        <v>284357</v>
      </c>
      <c r="G94" s="172">
        <f>IFERROR(__xludf.DUMMYFUNCTION("""COMPUTED_VALUE"""),3836.0)</f>
        <v>3836</v>
      </c>
      <c r="H94" s="172">
        <f>IFERROR(__xludf.DUMMYFUNCTION("""COMPUTED_VALUE"""),310340.0)</f>
        <v>310340</v>
      </c>
      <c r="I94" s="235">
        <f>IFERROR(__xludf.DUMMYFUNCTION("""COMPUTED_VALUE"""),75.0)</f>
        <v>75</v>
      </c>
      <c r="J94" s="235">
        <f>IFERROR(__xludf.DUMMYFUNCTION("""COMPUTED_VALUE"""),73.0)</f>
        <v>73</v>
      </c>
      <c r="K94" s="235">
        <f>IFERROR(__xludf.DUMMYFUNCTION("""COMPUTED_VALUE"""),17708.0)</f>
        <v>17708</v>
      </c>
      <c r="L94" s="235">
        <f>IFERROR(__xludf.DUMMYFUNCTION("""COMPUTED_VALUE"""),1605.0)</f>
        <v>1605</v>
      </c>
      <c r="M94" s="235">
        <f>IFERROR(__xludf.DUMMYFUNCTION("""COMPUTED_VALUE"""),161558.0)</f>
        <v>161558</v>
      </c>
      <c r="N94" s="235">
        <f>IFERROR(__xludf.DUMMYFUNCTION("""COMPUTED_VALUE"""),179266.0)</f>
        <v>179266</v>
      </c>
      <c r="O94" s="235">
        <f>IFERROR(__xludf.DUMMYFUNCTION("""COMPUTED_VALUE"""),6.0)</f>
        <v>6</v>
      </c>
      <c r="P94" s="235">
        <f>IFERROR(__xludf.DUMMYFUNCTION("""COMPUTED_VALUE"""),2131.0)</f>
        <v>2131</v>
      </c>
      <c r="Q94" s="235">
        <f>IFERROR(__xludf.DUMMYFUNCTION("""COMPUTED_VALUE"""),9.0)</f>
        <v>9</v>
      </c>
      <c r="R94" s="235">
        <f>IFERROR(__xludf.DUMMYFUNCTION("""COMPUTED_VALUE"""),1772.0)</f>
        <v>1772</v>
      </c>
      <c r="S94" s="235">
        <f>IFERROR(__xludf.DUMMYFUNCTION("""COMPUTED_VALUE"""),0.0)</f>
        <v>0</v>
      </c>
      <c r="T94" s="235">
        <f>IFERROR(__xludf.DUMMYFUNCTION("""COMPUTED_VALUE"""),312.0)</f>
        <v>312</v>
      </c>
      <c r="U94" s="235">
        <f>IFERROR(__xludf.DUMMYFUNCTION("""COMPUTED_VALUE"""),47.0)</f>
        <v>47</v>
      </c>
      <c r="V94" s="235">
        <f>IFERROR(__xludf.DUMMYFUNCTION("""COMPUTED_VALUE"""),50.0)</f>
        <v>50</v>
      </c>
      <c r="W94" s="235">
        <f>IFERROR(__xludf.DUMMYFUNCTION("""COMPUTED_VALUE"""),6.0)</f>
        <v>6</v>
      </c>
      <c r="X94" s="235">
        <f>IFERROR(__xludf.DUMMYFUNCTION("""COMPUTED_VALUE"""),5.0)</f>
        <v>5</v>
      </c>
      <c r="Y94" s="235">
        <f>IFERROR(__xludf.DUMMYFUNCTION("""COMPUTED_VALUE"""),1.0)</f>
        <v>1</v>
      </c>
      <c r="Z94" s="235">
        <f>IFERROR(__xludf.DUMMYFUNCTION("""COMPUTED_VALUE"""),1005.0)</f>
        <v>1005</v>
      </c>
    </row>
    <row r="95">
      <c r="A95" s="234">
        <f>IFERROR(__xludf.DUMMYFUNCTION("""COMPUTED_VALUE"""),44029.0)</f>
        <v>44029</v>
      </c>
      <c r="B95" s="235">
        <f>IFERROR(__xludf.DUMMYFUNCTION("""COMPUTED_VALUE"""),156.0)</f>
        <v>156</v>
      </c>
      <c r="C95" s="235">
        <f>IFERROR(__xludf.DUMMYFUNCTION("""COMPUTED_VALUE"""),129.0)</f>
        <v>129</v>
      </c>
      <c r="D95" s="235">
        <f>IFERROR(__xludf.DUMMYFUNCTION("""COMPUTED_VALUE"""),26139.0)</f>
        <v>26139</v>
      </c>
      <c r="E95" s="235">
        <f>IFERROR(__xludf.DUMMYFUNCTION("""COMPUTED_VALUE"""),4236.0)</f>
        <v>4236</v>
      </c>
      <c r="F95" s="172">
        <f>IFERROR(__xludf.DUMMYFUNCTION("""COMPUTED_VALUE"""),288593.0)</f>
        <v>288593</v>
      </c>
      <c r="G95" s="172">
        <f>IFERROR(__xludf.DUMMYFUNCTION("""COMPUTED_VALUE"""),4392.0)</f>
        <v>4392</v>
      </c>
      <c r="H95" s="172">
        <f>IFERROR(__xludf.DUMMYFUNCTION("""COMPUTED_VALUE"""),314732.0)</f>
        <v>314732</v>
      </c>
      <c r="I95" s="235">
        <f>IFERROR(__xludf.DUMMYFUNCTION("""COMPUTED_VALUE"""),79.0)</f>
        <v>79</v>
      </c>
      <c r="J95" s="235">
        <f>IFERROR(__xludf.DUMMYFUNCTION("""COMPUTED_VALUE"""),85.0)</f>
        <v>85</v>
      </c>
      <c r="K95" s="235">
        <f>IFERROR(__xludf.DUMMYFUNCTION("""COMPUTED_VALUE"""),17787.0)</f>
        <v>17787</v>
      </c>
      <c r="L95" s="235">
        <f>IFERROR(__xludf.DUMMYFUNCTION("""COMPUTED_VALUE"""),1841.0)</f>
        <v>1841</v>
      </c>
      <c r="M95" s="235">
        <f>IFERROR(__xludf.DUMMYFUNCTION("""COMPUTED_VALUE"""),163399.0)</f>
        <v>163399</v>
      </c>
      <c r="N95" s="235">
        <f>IFERROR(__xludf.DUMMYFUNCTION("""COMPUTED_VALUE"""),181186.0)</f>
        <v>181186</v>
      </c>
      <c r="O95" s="235">
        <f>IFERROR(__xludf.DUMMYFUNCTION("""COMPUTED_VALUE"""),14.0)</f>
        <v>14</v>
      </c>
      <c r="P95" s="235">
        <f>IFERROR(__xludf.DUMMYFUNCTION("""COMPUTED_VALUE"""),2145.0)</f>
        <v>2145</v>
      </c>
      <c r="Q95" s="235">
        <f>IFERROR(__xludf.DUMMYFUNCTION("""COMPUTED_VALUE"""),3.0)</f>
        <v>3</v>
      </c>
      <c r="R95" s="235">
        <f>IFERROR(__xludf.DUMMYFUNCTION("""COMPUTED_VALUE"""),1775.0)</f>
        <v>1775</v>
      </c>
      <c r="S95" s="235">
        <f>IFERROR(__xludf.DUMMYFUNCTION("""COMPUTED_VALUE"""),1.0)</f>
        <v>1</v>
      </c>
      <c r="T95" s="235">
        <f>IFERROR(__xludf.DUMMYFUNCTION("""COMPUTED_VALUE"""),313.0)</f>
        <v>313</v>
      </c>
      <c r="U95" s="235">
        <f>IFERROR(__xludf.DUMMYFUNCTION("""COMPUTED_VALUE"""),57.0)</f>
        <v>57</v>
      </c>
      <c r="V95" s="235">
        <f>IFERROR(__xludf.DUMMYFUNCTION("""COMPUTED_VALUE"""),51.0)</f>
        <v>51</v>
      </c>
      <c r="W95" s="235">
        <f>IFERROR(__xludf.DUMMYFUNCTION("""COMPUTED_VALUE"""),5.0)</f>
        <v>5</v>
      </c>
      <c r="X95" s="235">
        <f>IFERROR(__xludf.DUMMYFUNCTION("""COMPUTED_VALUE"""),5.0)</f>
        <v>5</v>
      </c>
      <c r="Y95" s="235">
        <f>IFERROR(__xludf.DUMMYFUNCTION("""COMPUTED_VALUE"""),2.0)</f>
        <v>2</v>
      </c>
      <c r="Z95" s="235">
        <f>IFERROR(__xludf.DUMMYFUNCTION("""COMPUTED_VALUE"""),1007.0)</f>
        <v>1007</v>
      </c>
    </row>
    <row r="96">
      <c r="A96" s="234">
        <f>IFERROR(__xludf.DUMMYFUNCTION("""COMPUTED_VALUE"""),44030.0)</f>
        <v>44030</v>
      </c>
      <c r="B96" s="235">
        <f>IFERROR(__xludf.DUMMYFUNCTION("""COMPUTED_VALUE"""),85.0)</f>
        <v>85</v>
      </c>
      <c r="C96" s="235">
        <f>IFERROR(__xludf.DUMMYFUNCTION("""COMPUTED_VALUE"""),114.0)</f>
        <v>114</v>
      </c>
      <c r="D96" s="235">
        <f>IFERROR(__xludf.DUMMYFUNCTION("""COMPUTED_VALUE"""),26224.0)</f>
        <v>26224</v>
      </c>
      <c r="E96" s="235">
        <f>IFERROR(__xludf.DUMMYFUNCTION("""COMPUTED_VALUE"""),3269.0)</f>
        <v>3269</v>
      </c>
      <c r="F96" s="172">
        <f>IFERROR(__xludf.DUMMYFUNCTION("""COMPUTED_VALUE"""),291862.0)</f>
        <v>291862</v>
      </c>
      <c r="G96" s="172">
        <f>IFERROR(__xludf.DUMMYFUNCTION("""COMPUTED_VALUE"""),3354.0)</f>
        <v>3354</v>
      </c>
      <c r="H96" s="172">
        <f>IFERROR(__xludf.DUMMYFUNCTION("""COMPUTED_VALUE"""),318086.0)</f>
        <v>318086</v>
      </c>
      <c r="I96" s="235">
        <f>IFERROR(__xludf.DUMMYFUNCTION("""COMPUTED_VALUE"""),70.0)</f>
        <v>70</v>
      </c>
      <c r="J96" s="235">
        <f>IFERROR(__xludf.DUMMYFUNCTION("""COMPUTED_VALUE"""),75.0)</f>
        <v>75</v>
      </c>
      <c r="K96" s="235">
        <f>IFERROR(__xludf.DUMMYFUNCTION("""COMPUTED_VALUE"""),17857.0)</f>
        <v>17857</v>
      </c>
      <c r="L96" s="235">
        <f>IFERROR(__xludf.DUMMYFUNCTION("""COMPUTED_VALUE"""),1392.0)</f>
        <v>1392</v>
      </c>
      <c r="M96" s="235">
        <f>IFERROR(__xludf.DUMMYFUNCTION("""COMPUTED_VALUE"""),164791.0)</f>
        <v>164791</v>
      </c>
      <c r="N96" s="235">
        <f>IFERROR(__xludf.DUMMYFUNCTION("""COMPUTED_VALUE"""),182648.0)</f>
        <v>182648</v>
      </c>
      <c r="O96" s="235">
        <f>IFERROR(__xludf.DUMMYFUNCTION("""COMPUTED_VALUE"""),5.0)</f>
        <v>5</v>
      </c>
      <c r="P96" s="235">
        <f>IFERROR(__xludf.DUMMYFUNCTION("""COMPUTED_VALUE"""),2150.0)</f>
        <v>2150</v>
      </c>
      <c r="Q96" s="235">
        <f>IFERROR(__xludf.DUMMYFUNCTION("""COMPUTED_VALUE"""),9.0)</f>
        <v>9</v>
      </c>
      <c r="R96" s="235">
        <f>IFERROR(__xludf.DUMMYFUNCTION("""COMPUTED_VALUE"""),1784.0)</f>
        <v>1784</v>
      </c>
      <c r="S96" s="235">
        <f>IFERROR(__xludf.DUMMYFUNCTION("""COMPUTED_VALUE"""),1.0)</f>
        <v>1</v>
      </c>
      <c r="T96" s="235">
        <f>IFERROR(__xludf.DUMMYFUNCTION("""COMPUTED_VALUE"""),314.0)</f>
        <v>314</v>
      </c>
      <c r="U96" s="235">
        <f>IFERROR(__xludf.DUMMYFUNCTION("""COMPUTED_VALUE"""),52.0)</f>
        <v>52</v>
      </c>
      <c r="V96" s="235">
        <f>IFERROR(__xludf.DUMMYFUNCTION("""COMPUTED_VALUE"""),52.0)</f>
        <v>52</v>
      </c>
      <c r="W96" s="235">
        <f>IFERROR(__xludf.DUMMYFUNCTION("""COMPUTED_VALUE"""),5.0)</f>
        <v>5</v>
      </c>
      <c r="X96" s="235">
        <f>IFERROR(__xludf.DUMMYFUNCTION("""COMPUTED_VALUE"""),4.0)</f>
        <v>4</v>
      </c>
      <c r="Y96" s="235">
        <f>IFERROR(__xludf.DUMMYFUNCTION("""COMPUTED_VALUE"""),4.0)</f>
        <v>4</v>
      </c>
      <c r="Z96" s="235">
        <f>IFERROR(__xludf.DUMMYFUNCTION("""COMPUTED_VALUE"""),1011.0)</f>
        <v>1011</v>
      </c>
    </row>
    <row r="97">
      <c r="A97" s="234">
        <f>IFERROR(__xludf.DUMMYFUNCTION("""COMPUTED_VALUE"""),44031.0)</f>
        <v>44031</v>
      </c>
      <c r="B97" s="235">
        <f>IFERROR(__xludf.DUMMYFUNCTION("""COMPUTED_VALUE"""),82.0)</f>
        <v>82</v>
      </c>
      <c r="C97" s="235">
        <f>IFERROR(__xludf.DUMMYFUNCTION("""COMPUTED_VALUE"""),108.0)</f>
        <v>108</v>
      </c>
      <c r="D97" s="235">
        <f>IFERROR(__xludf.DUMMYFUNCTION("""COMPUTED_VALUE"""),26306.0)</f>
        <v>26306</v>
      </c>
      <c r="E97" s="235">
        <f>IFERROR(__xludf.DUMMYFUNCTION("""COMPUTED_VALUE"""),2694.0)</f>
        <v>2694</v>
      </c>
      <c r="F97" s="172">
        <f>IFERROR(__xludf.DUMMYFUNCTION("""COMPUTED_VALUE"""),294556.0)</f>
        <v>294556</v>
      </c>
      <c r="G97" s="172">
        <f>IFERROR(__xludf.DUMMYFUNCTION("""COMPUTED_VALUE"""),2776.0)</f>
        <v>2776</v>
      </c>
      <c r="H97" s="172">
        <f>IFERROR(__xludf.DUMMYFUNCTION("""COMPUTED_VALUE"""),320862.0)</f>
        <v>320862</v>
      </c>
      <c r="I97" s="235">
        <f>IFERROR(__xludf.DUMMYFUNCTION("""COMPUTED_VALUE"""),57.0)</f>
        <v>57</v>
      </c>
      <c r="J97" s="235">
        <f>IFERROR(__xludf.DUMMYFUNCTION("""COMPUTED_VALUE"""),69.0)</f>
        <v>69</v>
      </c>
      <c r="K97" s="235">
        <f>IFERROR(__xludf.DUMMYFUNCTION("""COMPUTED_VALUE"""),17914.0)</f>
        <v>17914</v>
      </c>
      <c r="L97" s="235">
        <f>IFERROR(__xludf.DUMMYFUNCTION("""COMPUTED_VALUE"""),1145.0)</f>
        <v>1145</v>
      </c>
      <c r="M97" s="235">
        <f>IFERROR(__xludf.DUMMYFUNCTION("""COMPUTED_VALUE"""),165936.0)</f>
        <v>165936</v>
      </c>
      <c r="N97" s="235">
        <f>IFERROR(__xludf.DUMMYFUNCTION("""COMPUTED_VALUE"""),183850.0)</f>
        <v>183850</v>
      </c>
      <c r="O97" s="235">
        <f>IFERROR(__xludf.DUMMYFUNCTION("""COMPUTED_VALUE"""),7.0)</f>
        <v>7</v>
      </c>
      <c r="P97" s="235">
        <f>IFERROR(__xludf.DUMMYFUNCTION("""COMPUTED_VALUE"""),2157.0)</f>
        <v>2157</v>
      </c>
      <c r="Q97" s="235">
        <f>IFERROR(__xludf.DUMMYFUNCTION("""COMPUTED_VALUE"""),3.0)</f>
        <v>3</v>
      </c>
      <c r="R97" s="235">
        <f>IFERROR(__xludf.DUMMYFUNCTION("""COMPUTED_VALUE"""),1787.0)</f>
        <v>1787</v>
      </c>
      <c r="S97" s="235">
        <f>IFERROR(__xludf.DUMMYFUNCTION("""COMPUTED_VALUE"""),0.0)</f>
        <v>0</v>
      </c>
      <c r="T97" s="235">
        <f>IFERROR(__xludf.DUMMYFUNCTION("""COMPUTED_VALUE"""),314.0)</f>
        <v>314</v>
      </c>
      <c r="U97" s="235">
        <f>IFERROR(__xludf.DUMMYFUNCTION("""COMPUTED_VALUE"""),56.0)</f>
        <v>56</v>
      </c>
      <c r="V97" s="235">
        <f>IFERROR(__xludf.DUMMYFUNCTION("""COMPUTED_VALUE"""),55.0)</f>
        <v>55</v>
      </c>
      <c r="W97" s="235">
        <f>IFERROR(__xludf.DUMMYFUNCTION("""COMPUTED_VALUE"""),6.0)</f>
        <v>6</v>
      </c>
      <c r="X97" s="235">
        <f>IFERROR(__xludf.DUMMYFUNCTION("""COMPUTED_VALUE"""),4.0)</f>
        <v>4</v>
      </c>
      <c r="Y97" s="235">
        <f>IFERROR(__xludf.DUMMYFUNCTION("""COMPUTED_VALUE"""),2.0)</f>
        <v>2</v>
      </c>
      <c r="Z97" s="235">
        <f>IFERROR(__xludf.DUMMYFUNCTION("""COMPUTED_VALUE"""),1013.0)</f>
        <v>1013</v>
      </c>
    </row>
    <row r="98">
      <c r="A98" s="234">
        <f>IFERROR(__xludf.DUMMYFUNCTION("""COMPUTED_VALUE"""),44032.0)</f>
        <v>44032</v>
      </c>
      <c r="B98" s="235">
        <f>IFERROR(__xludf.DUMMYFUNCTION("""COMPUTED_VALUE"""),71.0)</f>
        <v>71</v>
      </c>
      <c r="C98" s="235">
        <f>IFERROR(__xludf.DUMMYFUNCTION("""COMPUTED_VALUE"""),79.0)</f>
        <v>79</v>
      </c>
      <c r="D98" s="235">
        <f>IFERROR(__xludf.DUMMYFUNCTION("""COMPUTED_VALUE"""),26377.0)</f>
        <v>26377</v>
      </c>
      <c r="E98" s="235">
        <f>IFERROR(__xludf.DUMMYFUNCTION("""COMPUTED_VALUE"""),2664.0)</f>
        <v>2664</v>
      </c>
      <c r="F98" s="172">
        <f>IFERROR(__xludf.DUMMYFUNCTION("""COMPUTED_VALUE"""),297220.0)</f>
        <v>297220</v>
      </c>
      <c r="G98" s="172">
        <f>IFERROR(__xludf.DUMMYFUNCTION("""COMPUTED_VALUE"""),2735.0)</f>
        <v>2735</v>
      </c>
      <c r="H98" s="172">
        <f>IFERROR(__xludf.DUMMYFUNCTION("""COMPUTED_VALUE"""),323597.0)</f>
        <v>323597</v>
      </c>
      <c r="I98" s="235">
        <f>IFERROR(__xludf.DUMMYFUNCTION("""COMPUTED_VALUE"""),68.0)</f>
        <v>68</v>
      </c>
      <c r="J98" s="235">
        <f>IFERROR(__xludf.DUMMYFUNCTION("""COMPUTED_VALUE"""),65.0)</f>
        <v>65</v>
      </c>
      <c r="K98" s="235">
        <f>IFERROR(__xludf.DUMMYFUNCTION("""COMPUTED_VALUE"""),17982.0)</f>
        <v>17982</v>
      </c>
      <c r="L98" s="235">
        <f>IFERROR(__xludf.DUMMYFUNCTION("""COMPUTED_VALUE"""),1454.0)</f>
        <v>1454</v>
      </c>
      <c r="M98" s="235">
        <f>IFERROR(__xludf.DUMMYFUNCTION("""COMPUTED_VALUE"""),167390.0)</f>
        <v>167390</v>
      </c>
      <c r="N98" s="235">
        <f>IFERROR(__xludf.DUMMYFUNCTION("""COMPUTED_VALUE"""),185372.0)</f>
        <v>185372</v>
      </c>
      <c r="O98" s="235">
        <f>IFERROR(__xludf.DUMMYFUNCTION("""COMPUTED_VALUE"""),9.0)</f>
        <v>9</v>
      </c>
      <c r="P98" s="235">
        <f>IFERROR(__xludf.DUMMYFUNCTION("""COMPUTED_VALUE"""),2166.0)</f>
        <v>2166</v>
      </c>
      <c r="Q98" s="235">
        <f>IFERROR(__xludf.DUMMYFUNCTION("""COMPUTED_VALUE"""),7.0)</f>
        <v>7</v>
      </c>
      <c r="R98" s="235">
        <f>IFERROR(__xludf.DUMMYFUNCTION("""COMPUTED_VALUE"""),1794.0)</f>
        <v>1794</v>
      </c>
      <c r="S98" s="235">
        <f>IFERROR(__xludf.DUMMYFUNCTION("""COMPUTED_VALUE"""),0.0)</f>
        <v>0</v>
      </c>
      <c r="T98" s="235">
        <f>IFERROR(__xludf.DUMMYFUNCTION("""COMPUTED_VALUE"""),314.0)</f>
        <v>314</v>
      </c>
      <c r="U98" s="235">
        <f>IFERROR(__xludf.DUMMYFUNCTION("""COMPUTED_VALUE"""),58.0)</f>
        <v>58</v>
      </c>
      <c r="V98" s="235">
        <f>IFERROR(__xludf.DUMMYFUNCTION("""COMPUTED_VALUE"""),55.0)</f>
        <v>55</v>
      </c>
      <c r="W98" s="235">
        <f>IFERROR(__xludf.DUMMYFUNCTION("""COMPUTED_VALUE"""),7.0)</f>
        <v>7</v>
      </c>
      <c r="X98" s="235">
        <f>IFERROR(__xludf.DUMMYFUNCTION("""COMPUTED_VALUE"""),5.0)</f>
        <v>5</v>
      </c>
      <c r="Y98" s="235">
        <f>IFERROR(__xludf.DUMMYFUNCTION("""COMPUTED_VALUE"""),2.0)</f>
        <v>2</v>
      </c>
      <c r="Z98" s="235">
        <f>IFERROR(__xludf.DUMMYFUNCTION("""COMPUTED_VALUE"""),1015.0)</f>
        <v>1015</v>
      </c>
    </row>
    <row r="99">
      <c r="A99" s="234">
        <f>IFERROR(__xludf.DUMMYFUNCTION("""COMPUTED_VALUE"""),44033.0)</f>
        <v>44033</v>
      </c>
      <c r="B99" s="235">
        <f>IFERROR(__xludf.DUMMYFUNCTION("""COMPUTED_VALUE"""),130.0)</f>
        <v>130</v>
      </c>
      <c r="C99" s="235">
        <f>IFERROR(__xludf.DUMMYFUNCTION("""COMPUTED_VALUE"""),94.0)</f>
        <v>94</v>
      </c>
      <c r="D99" s="235">
        <f>IFERROR(__xludf.DUMMYFUNCTION("""COMPUTED_VALUE"""),26507.0)</f>
        <v>26507</v>
      </c>
      <c r="E99" s="235">
        <f>IFERROR(__xludf.DUMMYFUNCTION("""COMPUTED_VALUE"""),4299.0)</f>
        <v>4299</v>
      </c>
      <c r="F99" s="172">
        <f>IFERROR(__xludf.DUMMYFUNCTION("""COMPUTED_VALUE"""),301519.0)</f>
        <v>301519</v>
      </c>
      <c r="G99" s="172">
        <f>IFERROR(__xludf.DUMMYFUNCTION("""COMPUTED_VALUE"""),4429.0)</f>
        <v>4429</v>
      </c>
      <c r="H99" s="172">
        <f>IFERROR(__xludf.DUMMYFUNCTION("""COMPUTED_VALUE"""),328026.0)</f>
        <v>328026</v>
      </c>
      <c r="I99" s="235">
        <f>IFERROR(__xludf.DUMMYFUNCTION("""COMPUTED_VALUE"""),108.0)</f>
        <v>108</v>
      </c>
      <c r="J99" s="235">
        <f>IFERROR(__xludf.DUMMYFUNCTION("""COMPUTED_VALUE"""),78.0)</f>
        <v>78</v>
      </c>
      <c r="K99" s="235">
        <f>IFERROR(__xludf.DUMMYFUNCTION("""COMPUTED_VALUE"""),18090.0)</f>
        <v>18090</v>
      </c>
      <c r="L99" s="235">
        <f>IFERROR(__xludf.DUMMYFUNCTION("""COMPUTED_VALUE"""),1909.0)</f>
        <v>1909</v>
      </c>
      <c r="M99" s="235">
        <f>IFERROR(__xludf.DUMMYFUNCTION("""COMPUTED_VALUE"""),169299.0)</f>
        <v>169299</v>
      </c>
      <c r="N99" s="235">
        <f>IFERROR(__xludf.DUMMYFUNCTION("""COMPUTED_VALUE"""),187389.0)</f>
        <v>187389</v>
      </c>
      <c r="O99" s="235">
        <f>IFERROR(__xludf.DUMMYFUNCTION("""COMPUTED_VALUE"""),9.0)</f>
        <v>9</v>
      </c>
      <c r="P99" s="235">
        <f>IFERROR(__xludf.DUMMYFUNCTION("""COMPUTED_VALUE"""),2175.0)</f>
        <v>2175</v>
      </c>
      <c r="Q99" s="235">
        <f>IFERROR(__xludf.DUMMYFUNCTION("""COMPUTED_VALUE"""),11.0)</f>
        <v>11</v>
      </c>
      <c r="R99" s="235">
        <f>IFERROR(__xludf.DUMMYFUNCTION("""COMPUTED_VALUE"""),1805.0)</f>
        <v>1805</v>
      </c>
      <c r="S99" s="235">
        <f>IFERROR(__xludf.DUMMYFUNCTION("""COMPUTED_VALUE"""),0.0)</f>
        <v>0</v>
      </c>
      <c r="T99" s="235">
        <f>IFERROR(__xludf.DUMMYFUNCTION("""COMPUTED_VALUE"""),314.0)</f>
        <v>314</v>
      </c>
      <c r="U99" s="235">
        <f>IFERROR(__xludf.DUMMYFUNCTION("""COMPUTED_VALUE"""),56.0)</f>
        <v>56</v>
      </c>
      <c r="V99" s="235">
        <f>IFERROR(__xludf.DUMMYFUNCTION("""COMPUTED_VALUE"""),57.0)</f>
        <v>57</v>
      </c>
      <c r="W99" s="235">
        <f>IFERROR(__xludf.DUMMYFUNCTION("""COMPUTED_VALUE"""),9.0)</f>
        <v>9</v>
      </c>
      <c r="X99" s="235">
        <f>IFERROR(__xludf.DUMMYFUNCTION("""COMPUTED_VALUE"""),6.0)</f>
        <v>6</v>
      </c>
      <c r="Y99" s="235">
        <f>IFERROR(__xludf.DUMMYFUNCTION("""COMPUTED_VALUE"""),1.0)</f>
        <v>1</v>
      </c>
      <c r="Z99" s="235">
        <f>IFERROR(__xludf.DUMMYFUNCTION("""COMPUTED_VALUE"""),1016.0)</f>
        <v>1016</v>
      </c>
    </row>
    <row r="100">
      <c r="A100" s="234">
        <f>IFERROR(__xludf.DUMMYFUNCTION("""COMPUTED_VALUE"""),44034.0)</f>
        <v>44034</v>
      </c>
      <c r="B100" s="235">
        <f>IFERROR(__xludf.DUMMYFUNCTION("""COMPUTED_VALUE"""),130.0)</f>
        <v>130</v>
      </c>
      <c r="C100" s="235">
        <f>IFERROR(__xludf.DUMMYFUNCTION("""COMPUTED_VALUE"""),110.0)</f>
        <v>110</v>
      </c>
      <c r="D100" s="235">
        <f>IFERROR(__xludf.DUMMYFUNCTION("""COMPUTED_VALUE"""),26637.0)</f>
        <v>26637</v>
      </c>
      <c r="E100" s="235">
        <f>IFERROR(__xludf.DUMMYFUNCTION("""COMPUTED_VALUE"""),3927.0)</f>
        <v>3927</v>
      </c>
      <c r="F100" s="172">
        <f>IFERROR(__xludf.DUMMYFUNCTION("""COMPUTED_VALUE"""),305446.0)</f>
        <v>305446</v>
      </c>
      <c r="G100" s="172">
        <f>IFERROR(__xludf.DUMMYFUNCTION("""COMPUTED_VALUE"""),4057.0)</f>
        <v>4057</v>
      </c>
      <c r="H100" s="172">
        <f>IFERROR(__xludf.DUMMYFUNCTION("""COMPUTED_VALUE"""),332083.0)</f>
        <v>332083</v>
      </c>
      <c r="I100" s="235">
        <f>IFERROR(__xludf.DUMMYFUNCTION("""COMPUTED_VALUE"""),86.0)</f>
        <v>86</v>
      </c>
      <c r="J100" s="235">
        <f>IFERROR(__xludf.DUMMYFUNCTION("""COMPUTED_VALUE"""),87.0)</f>
        <v>87</v>
      </c>
      <c r="K100" s="235">
        <f>IFERROR(__xludf.DUMMYFUNCTION("""COMPUTED_VALUE"""),18176.0)</f>
        <v>18176</v>
      </c>
      <c r="L100" s="235">
        <f>IFERROR(__xludf.DUMMYFUNCTION("""COMPUTED_VALUE"""),1673.0)</f>
        <v>1673</v>
      </c>
      <c r="M100" s="235">
        <f>IFERROR(__xludf.DUMMYFUNCTION("""COMPUTED_VALUE"""),170972.0)</f>
        <v>170972</v>
      </c>
      <c r="N100" s="235">
        <f>IFERROR(__xludf.DUMMYFUNCTION("""COMPUTED_VALUE"""),189148.0)</f>
        <v>189148</v>
      </c>
      <c r="O100" s="235">
        <f>IFERROR(__xludf.DUMMYFUNCTION("""COMPUTED_VALUE"""),11.0)</f>
        <v>11</v>
      </c>
      <c r="P100" s="235">
        <f>IFERROR(__xludf.DUMMYFUNCTION("""COMPUTED_VALUE"""),2186.0)</f>
        <v>2186</v>
      </c>
      <c r="Q100" s="235">
        <f>IFERROR(__xludf.DUMMYFUNCTION("""COMPUTED_VALUE"""),11.0)</f>
        <v>11</v>
      </c>
      <c r="R100" s="235">
        <f>IFERROR(__xludf.DUMMYFUNCTION("""COMPUTED_VALUE"""),1816.0)</f>
        <v>1816</v>
      </c>
      <c r="S100" s="235">
        <f>IFERROR(__xludf.DUMMYFUNCTION("""COMPUTED_VALUE"""),1.0)</f>
        <v>1</v>
      </c>
      <c r="T100" s="235">
        <f>IFERROR(__xludf.DUMMYFUNCTION("""COMPUTED_VALUE"""),315.0)</f>
        <v>315</v>
      </c>
      <c r="U100" s="235">
        <f>IFERROR(__xludf.DUMMYFUNCTION("""COMPUTED_VALUE"""),55.0)</f>
        <v>55</v>
      </c>
      <c r="V100" s="235">
        <f>IFERROR(__xludf.DUMMYFUNCTION("""COMPUTED_VALUE"""),56.0)</f>
        <v>56</v>
      </c>
      <c r="W100" s="235">
        <f>IFERROR(__xludf.DUMMYFUNCTION("""COMPUTED_VALUE"""),7.0)</f>
        <v>7</v>
      </c>
      <c r="X100" s="235">
        <f>IFERROR(__xludf.DUMMYFUNCTION("""COMPUTED_VALUE"""),6.0)</f>
        <v>6</v>
      </c>
      <c r="Y100" s="235">
        <f>IFERROR(__xludf.DUMMYFUNCTION("""COMPUTED_VALUE"""),1.0)</f>
        <v>1</v>
      </c>
      <c r="Z100" s="235">
        <f>IFERROR(__xludf.DUMMYFUNCTION("""COMPUTED_VALUE"""),1017.0)</f>
        <v>1017</v>
      </c>
    </row>
    <row r="101">
      <c r="A101" s="234">
        <f>IFERROR(__xludf.DUMMYFUNCTION("""COMPUTED_VALUE"""),44035.0)</f>
        <v>44035</v>
      </c>
      <c r="B101" s="235">
        <f>IFERROR(__xludf.DUMMYFUNCTION("""COMPUTED_VALUE"""),141.0)</f>
        <v>141</v>
      </c>
      <c r="C101" s="235">
        <f>IFERROR(__xludf.DUMMYFUNCTION("""COMPUTED_VALUE"""),134.0)</f>
        <v>134</v>
      </c>
      <c r="D101" s="235">
        <f>IFERROR(__xludf.DUMMYFUNCTION("""COMPUTED_VALUE"""),26778.0)</f>
        <v>26778</v>
      </c>
      <c r="E101" s="235">
        <f>IFERROR(__xludf.DUMMYFUNCTION("""COMPUTED_VALUE"""),4413.0)</f>
        <v>4413</v>
      </c>
      <c r="F101" s="172">
        <f>IFERROR(__xludf.DUMMYFUNCTION("""COMPUTED_VALUE"""),309859.0)</f>
        <v>309859</v>
      </c>
      <c r="G101" s="172">
        <f>IFERROR(__xludf.DUMMYFUNCTION("""COMPUTED_VALUE"""),4554.0)</f>
        <v>4554</v>
      </c>
      <c r="H101" s="172">
        <f>IFERROR(__xludf.DUMMYFUNCTION("""COMPUTED_VALUE"""),336637.0)</f>
        <v>336637</v>
      </c>
      <c r="I101" s="235">
        <f>IFERROR(__xludf.DUMMYFUNCTION("""COMPUTED_VALUE"""),115.0)</f>
        <v>115</v>
      </c>
      <c r="J101" s="235">
        <f>IFERROR(__xludf.DUMMYFUNCTION("""COMPUTED_VALUE"""),103.0)</f>
        <v>103</v>
      </c>
      <c r="K101" s="235">
        <f>IFERROR(__xludf.DUMMYFUNCTION("""COMPUTED_VALUE"""),18291.0)</f>
        <v>18291</v>
      </c>
      <c r="L101" s="235">
        <f>IFERROR(__xludf.DUMMYFUNCTION("""COMPUTED_VALUE"""),1971.0)</f>
        <v>1971</v>
      </c>
      <c r="M101" s="235">
        <f>IFERROR(__xludf.DUMMYFUNCTION("""COMPUTED_VALUE"""),172943.0)</f>
        <v>172943</v>
      </c>
      <c r="N101" s="235">
        <f>IFERROR(__xludf.DUMMYFUNCTION("""COMPUTED_VALUE"""),191234.0)</f>
        <v>191234</v>
      </c>
      <c r="O101" s="235">
        <f>IFERROR(__xludf.DUMMYFUNCTION("""COMPUTED_VALUE"""),9.0)</f>
        <v>9</v>
      </c>
      <c r="P101" s="235">
        <f>IFERROR(__xludf.DUMMYFUNCTION("""COMPUTED_VALUE"""),2195.0)</f>
        <v>2195</v>
      </c>
      <c r="Q101" s="235">
        <f>IFERROR(__xludf.DUMMYFUNCTION("""COMPUTED_VALUE"""),6.0)</f>
        <v>6</v>
      </c>
      <c r="R101" s="235">
        <f>IFERROR(__xludf.DUMMYFUNCTION("""COMPUTED_VALUE"""),1822.0)</f>
        <v>1822</v>
      </c>
      <c r="S101" s="235">
        <f>IFERROR(__xludf.DUMMYFUNCTION("""COMPUTED_VALUE"""),0.0)</f>
        <v>0</v>
      </c>
      <c r="T101" s="235">
        <f>IFERROR(__xludf.DUMMYFUNCTION("""COMPUTED_VALUE"""),315.0)</f>
        <v>315</v>
      </c>
      <c r="U101" s="235">
        <f>IFERROR(__xludf.DUMMYFUNCTION("""COMPUTED_VALUE"""),58.0)</f>
        <v>58</v>
      </c>
      <c r="V101" s="235">
        <f>IFERROR(__xludf.DUMMYFUNCTION("""COMPUTED_VALUE"""),56.0)</f>
        <v>56</v>
      </c>
      <c r="W101" s="235">
        <f>IFERROR(__xludf.DUMMYFUNCTION("""COMPUTED_VALUE"""),8.0)</f>
        <v>8</v>
      </c>
      <c r="X101" s="235">
        <f>IFERROR(__xludf.DUMMYFUNCTION("""COMPUTED_VALUE"""),7.0)</f>
        <v>7</v>
      </c>
      <c r="Y101" s="235">
        <f>IFERROR(__xludf.DUMMYFUNCTION("""COMPUTED_VALUE"""),0.0)</f>
        <v>0</v>
      </c>
      <c r="Z101" s="235">
        <f>IFERROR(__xludf.DUMMYFUNCTION("""COMPUTED_VALUE"""),1017.0)</f>
        <v>1017</v>
      </c>
    </row>
    <row r="102">
      <c r="A102" s="234">
        <f>IFERROR(__xludf.DUMMYFUNCTION("""COMPUTED_VALUE"""),44036.0)</f>
        <v>44036</v>
      </c>
      <c r="B102" s="235">
        <f>IFERROR(__xludf.DUMMYFUNCTION("""COMPUTED_VALUE"""),172.0)</f>
        <v>172</v>
      </c>
      <c r="C102" s="235">
        <f>IFERROR(__xludf.DUMMYFUNCTION("""COMPUTED_VALUE"""),148.0)</f>
        <v>148</v>
      </c>
      <c r="D102" s="235">
        <f>IFERROR(__xludf.DUMMYFUNCTION("""COMPUTED_VALUE"""),26950.0)</f>
        <v>26950</v>
      </c>
      <c r="E102" s="235">
        <f>IFERROR(__xludf.DUMMYFUNCTION("""COMPUTED_VALUE"""),5961.0)</f>
        <v>5961</v>
      </c>
      <c r="F102" s="172">
        <f>IFERROR(__xludf.DUMMYFUNCTION("""COMPUTED_VALUE"""),315820.0)</f>
        <v>315820</v>
      </c>
      <c r="G102" s="172">
        <f>IFERROR(__xludf.DUMMYFUNCTION("""COMPUTED_VALUE"""),6133.0)</f>
        <v>6133</v>
      </c>
      <c r="H102" s="172">
        <f>IFERROR(__xludf.DUMMYFUNCTION("""COMPUTED_VALUE"""),342770.0)</f>
        <v>342770</v>
      </c>
      <c r="I102" s="235">
        <f>IFERROR(__xludf.DUMMYFUNCTION("""COMPUTED_VALUE"""),119.0)</f>
        <v>119</v>
      </c>
      <c r="J102" s="235">
        <f>IFERROR(__xludf.DUMMYFUNCTION("""COMPUTED_VALUE"""),107.0)</f>
        <v>107</v>
      </c>
      <c r="K102" s="235">
        <f>IFERROR(__xludf.DUMMYFUNCTION("""COMPUTED_VALUE"""),18410.0)</f>
        <v>18410</v>
      </c>
      <c r="L102" s="235">
        <f>IFERROR(__xludf.DUMMYFUNCTION("""COMPUTED_VALUE"""),2303.0)</f>
        <v>2303</v>
      </c>
      <c r="M102" s="235">
        <f>IFERROR(__xludf.DUMMYFUNCTION("""COMPUTED_VALUE"""),175246.0)</f>
        <v>175246</v>
      </c>
      <c r="N102" s="235">
        <f>IFERROR(__xludf.DUMMYFUNCTION("""COMPUTED_VALUE"""),193656.0)</f>
        <v>193656</v>
      </c>
      <c r="O102" s="235">
        <f>IFERROR(__xludf.DUMMYFUNCTION("""COMPUTED_VALUE"""),14.0)</f>
        <v>14</v>
      </c>
      <c r="P102" s="235">
        <f>IFERROR(__xludf.DUMMYFUNCTION("""COMPUTED_VALUE"""),2209.0)</f>
        <v>2209</v>
      </c>
      <c r="Q102" s="235">
        <f>IFERROR(__xludf.DUMMYFUNCTION("""COMPUTED_VALUE"""),14.0)</f>
        <v>14</v>
      </c>
      <c r="R102" s="235">
        <f>IFERROR(__xludf.DUMMYFUNCTION("""COMPUTED_VALUE"""),1836.0)</f>
        <v>1836</v>
      </c>
      <c r="S102" s="235">
        <f>IFERROR(__xludf.DUMMYFUNCTION("""COMPUTED_VALUE"""),0.0)</f>
        <v>0</v>
      </c>
      <c r="T102" s="235">
        <f>IFERROR(__xludf.DUMMYFUNCTION("""COMPUTED_VALUE"""),315.0)</f>
        <v>315</v>
      </c>
      <c r="U102" s="235">
        <f>IFERROR(__xludf.DUMMYFUNCTION("""COMPUTED_VALUE"""),58.0)</f>
        <v>58</v>
      </c>
      <c r="V102" s="235">
        <f>IFERROR(__xludf.DUMMYFUNCTION("""COMPUTED_VALUE"""),57.0)</f>
        <v>57</v>
      </c>
      <c r="W102" s="235">
        <f>IFERROR(__xludf.DUMMYFUNCTION("""COMPUTED_VALUE"""),9.0)</f>
        <v>9</v>
      </c>
      <c r="X102" s="235">
        <f>IFERROR(__xludf.DUMMYFUNCTION("""COMPUTED_VALUE"""),7.0)</f>
        <v>7</v>
      </c>
      <c r="Y102" s="235">
        <f>IFERROR(__xludf.DUMMYFUNCTION("""COMPUTED_VALUE"""),0.0)</f>
        <v>0</v>
      </c>
      <c r="Z102" s="235">
        <f>IFERROR(__xludf.DUMMYFUNCTION("""COMPUTED_VALUE"""),1017.0)</f>
        <v>1017</v>
      </c>
    </row>
    <row r="103">
      <c r="A103" s="234">
        <f>IFERROR(__xludf.DUMMYFUNCTION("""COMPUTED_VALUE"""),44037.0)</f>
        <v>44037</v>
      </c>
      <c r="B103" s="235">
        <f>IFERROR(__xludf.DUMMYFUNCTION("""COMPUTED_VALUE"""),134.0)</f>
        <v>134</v>
      </c>
      <c r="C103" s="235">
        <f>IFERROR(__xludf.DUMMYFUNCTION("""COMPUTED_VALUE"""),149.0)</f>
        <v>149</v>
      </c>
      <c r="D103" s="235">
        <f>IFERROR(__xludf.DUMMYFUNCTION("""COMPUTED_VALUE"""),27084.0)</f>
        <v>27084</v>
      </c>
      <c r="E103" s="235">
        <f>IFERROR(__xludf.DUMMYFUNCTION("""COMPUTED_VALUE"""),4399.0)</f>
        <v>4399</v>
      </c>
      <c r="F103" s="172">
        <f>IFERROR(__xludf.DUMMYFUNCTION("""COMPUTED_VALUE"""),320219.0)</f>
        <v>320219</v>
      </c>
      <c r="G103" s="172">
        <f>IFERROR(__xludf.DUMMYFUNCTION("""COMPUTED_VALUE"""),4533.0)</f>
        <v>4533</v>
      </c>
      <c r="H103" s="172">
        <f>IFERROR(__xludf.DUMMYFUNCTION("""COMPUTED_VALUE"""),347303.0)</f>
        <v>347303</v>
      </c>
      <c r="I103" s="235">
        <f>IFERROR(__xludf.DUMMYFUNCTION("""COMPUTED_VALUE"""),108.0)</f>
        <v>108</v>
      </c>
      <c r="J103" s="235">
        <f>IFERROR(__xludf.DUMMYFUNCTION("""COMPUTED_VALUE"""),114.0)</f>
        <v>114</v>
      </c>
      <c r="K103" s="235">
        <f>IFERROR(__xludf.DUMMYFUNCTION("""COMPUTED_VALUE"""),18518.0)</f>
        <v>18518</v>
      </c>
      <c r="L103" s="235">
        <f>IFERROR(__xludf.DUMMYFUNCTION("""COMPUTED_VALUE"""),2085.0)</f>
        <v>2085</v>
      </c>
      <c r="M103" s="235">
        <f>IFERROR(__xludf.DUMMYFUNCTION("""COMPUTED_VALUE"""),177331.0)</f>
        <v>177331</v>
      </c>
      <c r="N103" s="235">
        <f>IFERROR(__xludf.DUMMYFUNCTION("""COMPUTED_VALUE"""),195849.0)</f>
        <v>195849</v>
      </c>
      <c r="O103" s="235">
        <f>IFERROR(__xludf.DUMMYFUNCTION("""COMPUTED_VALUE"""),7.0)</f>
        <v>7</v>
      </c>
      <c r="P103" s="235">
        <f>IFERROR(__xludf.DUMMYFUNCTION("""COMPUTED_VALUE"""),2216.0)</f>
        <v>2216</v>
      </c>
      <c r="Q103" s="235">
        <f>IFERROR(__xludf.DUMMYFUNCTION("""COMPUTED_VALUE"""),7.0)</f>
        <v>7</v>
      </c>
      <c r="R103" s="235">
        <f>IFERROR(__xludf.DUMMYFUNCTION("""COMPUTED_VALUE"""),1843.0)</f>
        <v>1843</v>
      </c>
      <c r="S103" s="235">
        <f>IFERROR(__xludf.DUMMYFUNCTION("""COMPUTED_VALUE"""),0.0)</f>
        <v>0</v>
      </c>
      <c r="T103" s="235">
        <f>IFERROR(__xludf.DUMMYFUNCTION("""COMPUTED_VALUE"""),315.0)</f>
        <v>315</v>
      </c>
      <c r="U103" s="235">
        <f>IFERROR(__xludf.DUMMYFUNCTION("""COMPUTED_VALUE"""),58.0)</f>
        <v>58</v>
      </c>
      <c r="V103" s="235">
        <f>IFERROR(__xludf.DUMMYFUNCTION("""COMPUTED_VALUE"""),58.0)</f>
        <v>58</v>
      </c>
      <c r="W103" s="235">
        <f>IFERROR(__xludf.DUMMYFUNCTION("""COMPUTED_VALUE"""),10.0)</f>
        <v>10</v>
      </c>
      <c r="X103" s="235">
        <f>IFERROR(__xludf.DUMMYFUNCTION("""COMPUTED_VALUE"""),8.0)</f>
        <v>8</v>
      </c>
      <c r="Y103" s="235">
        <f>IFERROR(__xludf.DUMMYFUNCTION("""COMPUTED_VALUE"""),3.0)</f>
        <v>3</v>
      </c>
      <c r="Z103" s="235">
        <f>IFERROR(__xludf.DUMMYFUNCTION("""COMPUTED_VALUE"""),1020.0)</f>
        <v>1020</v>
      </c>
    </row>
    <row r="104">
      <c r="A104" s="234">
        <f>IFERROR(__xludf.DUMMYFUNCTION("""COMPUTED_VALUE"""),44038.0)</f>
        <v>44038</v>
      </c>
      <c r="B104" s="235">
        <f>IFERROR(__xludf.DUMMYFUNCTION("""COMPUTED_VALUE"""),62.0)</f>
        <v>62</v>
      </c>
      <c r="C104" s="235">
        <f>IFERROR(__xludf.DUMMYFUNCTION("""COMPUTED_VALUE"""),123.0)</f>
        <v>123</v>
      </c>
      <c r="D104" s="235">
        <f>IFERROR(__xludf.DUMMYFUNCTION("""COMPUTED_VALUE"""),27146.0)</f>
        <v>27146</v>
      </c>
      <c r="E104" s="235">
        <f>IFERROR(__xludf.DUMMYFUNCTION("""COMPUTED_VALUE"""),3027.0)</f>
        <v>3027</v>
      </c>
      <c r="F104" s="172">
        <f>IFERROR(__xludf.DUMMYFUNCTION("""COMPUTED_VALUE"""),323246.0)</f>
        <v>323246</v>
      </c>
      <c r="G104" s="172">
        <f>IFERROR(__xludf.DUMMYFUNCTION("""COMPUTED_VALUE"""),3089.0)</f>
        <v>3089</v>
      </c>
      <c r="H104" s="172">
        <f>IFERROR(__xludf.DUMMYFUNCTION("""COMPUTED_VALUE"""),350392.0)</f>
        <v>350392</v>
      </c>
      <c r="I104" s="235">
        <f>IFERROR(__xludf.DUMMYFUNCTION("""COMPUTED_VALUE"""),54.0)</f>
        <v>54</v>
      </c>
      <c r="J104" s="235">
        <f>IFERROR(__xludf.DUMMYFUNCTION("""COMPUTED_VALUE"""),94.0)</f>
        <v>94</v>
      </c>
      <c r="K104" s="235">
        <f>IFERROR(__xludf.DUMMYFUNCTION("""COMPUTED_VALUE"""),18572.0)</f>
        <v>18572</v>
      </c>
      <c r="L104" s="235">
        <f>IFERROR(__xludf.DUMMYFUNCTION("""COMPUTED_VALUE"""),1327.0)</f>
        <v>1327</v>
      </c>
      <c r="M104" s="235">
        <f>IFERROR(__xludf.DUMMYFUNCTION("""COMPUTED_VALUE"""),178658.0)</f>
        <v>178658</v>
      </c>
      <c r="N104" s="235">
        <f>IFERROR(__xludf.DUMMYFUNCTION("""COMPUTED_VALUE"""),197230.0)</f>
        <v>197230</v>
      </c>
      <c r="O104" s="235">
        <f>IFERROR(__xludf.DUMMYFUNCTION("""COMPUTED_VALUE"""),8.0)</f>
        <v>8</v>
      </c>
      <c r="P104" s="235">
        <f>IFERROR(__xludf.DUMMYFUNCTION("""COMPUTED_VALUE"""),2224.0)</f>
        <v>2224</v>
      </c>
      <c r="Q104" s="235">
        <f>IFERROR(__xludf.DUMMYFUNCTION("""COMPUTED_VALUE"""),9.0)</f>
        <v>9</v>
      </c>
      <c r="R104" s="235">
        <f>IFERROR(__xludf.DUMMYFUNCTION("""COMPUTED_VALUE"""),1852.0)</f>
        <v>1852</v>
      </c>
      <c r="S104" s="235">
        <f>IFERROR(__xludf.DUMMYFUNCTION("""COMPUTED_VALUE"""),0.0)</f>
        <v>0</v>
      </c>
      <c r="T104" s="235">
        <f>IFERROR(__xludf.DUMMYFUNCTION("""COMPUTED_VALUE"""),315.0)</f>
        <v>315</v>
      </c>
      <c r="U104" s="235">
        <f>IFERROR(__xludf.DUMMYFUNCTION("""COMPUTED_VALUE"""),57.0)</f>
        <v>57</v>
      </c>
      <c r="V104" s="235">
        <f>IFERROR(__xludf.DUMMYFUNCTION("""COMPUTED_VALUE"""),58.0)</f>
        <v>58</v>
      </c>
      <c r="W104" s="235">
        <f>IFERROR(__xludf.DUMMYFUNCTION("""COMPUTED_VALUE"""),11.0)</f>
        <v>11</v>
      </c>
      <c r="X104" s="235">
        <f>IFERROR(__xludf.DUMMYFUNCTION("""COMPUTED_VALUE"""),7.0)</f>
        <v>7</v>
      </c>
      <c r="Y104" s="235">
        <f>IFERROR(__xludf.DUMMYFUNCTION("""COMPUTED_VALUE"""),1.0)</f>
        <v>1</v>
      </c>
      <c r="Z104" s="235">
        <f>IFERROR(__xludf.DUMMYFUNCTION("""COMPUTED_VALUE"""),1021.0)</f>
        <v>1021</v>
      </c>
    </row>
    <row r="105">
      <c r="A105" s="234">
        <f>IFERROR(__xludf.DUMMYFUNCTION("""COMPUTED_VALUE"""),44039.0)</f>
        <v>44039</v>
      </c>
      <c r="B105" s="235">
        <f>IFERROR(__xludf.DUMMYFUNCTION("""COMPUTED_VALUE"""),188.0)</f>
        <v>188</v>
      </c>
      <c r="C105" s="235">
        <f>IFERROR(__xludf.DUMMYFUNCTION("""COMPUTED_VALUE"""),128.0)</f>
        <v>128</v>
      </c>
      <c r="D105" s="235">
        <f>IFERROR(__xludf.DUMMYFUNCTION("""COMPUTED_VALUE"""),27334.0)</f>
        <v>27334</v>
      </c>
      <c r="E105" s="235">
        <f>IFERROR(__xludf.DUMMYFUNCTION("""COMPUTED_VALUE"""),4190.0)</f>
        <v>4190</v>
      </c>
      <c r="F105" s="172">
        <f>IFERROR(__xludf.DUMMYFUNCTION("""COMPUTED_VALUE"""),327436.0)</f>
        <v>327436</v>
      </c>
      <c r="G105" s="172">
        <f>IFERROR(__xludf.DUMMYFUNCTION("""COMPUTED_VALUE"""),4378.0)</f>
        <v>4378</v>
      </c>
      <c r="H105" s="172">
        <f>IFERROR(__xludf.DUMMYFUNCTION("""COMPUTED_VALUE"""),354770.0)</f>
        <v>354770</v>
      </c>
      <c r="I105" s="235">
        <f>IFERROR(__xludf.DUMMYFUNCTION("""COMPUTED_VALUE"""),138.0)</f>
        <v>138</v>
      </c>
      <c r="J105" s="235">
        <f>IFERROR(__xludf.DUMMYFUNCTION("""COMPUTED_VALUE"""),100.0)</f>
        <v>100</v>
      </c>
      <c r="K105" s="235">
        <f>IFERROR(__xludf.DUMMYFUNCTION("""COMPUTED_VALUE"""),18710.0)</f>
        <v>18710</v>
      </c>
      <c r="L105" s="235">
        <f>IFERROR(__xludf.DUMMYFUNCTION("""COMPUTED_VALUE"""),2334.0)</f>
        <v>2334</v>
      </c>
      <c r="M105" s="235">
        <f>IFERROR(__xludf.DUMMYFUNCTION("""COMPUTED_VALUE"""),180992.0)</f>
        <v>180992</v>
      </c>
      <c r="N105" s="235">
        <f>IFERROR(__xludf.DUMMYFUNCTION("""COMPUTED_VALUE"""),199702.0)</f>
        <v>199702</v>
      </c>
      <c r="O105" s="235">
        <f>IFERROR(__xludf.DUMMYFUNCTION("""COMPUTED_VALUE"""),12.0)</f>
        <v>12</v>
      </c>
      <c r="P105" s="235">
        <f>IFERROR(__xludf.DUMMYFUNCTION("""COMPUTED_VALUE"""),2236.0)</f>
        <v>2236</v>
      </c>
      <c r="Q105" s="235">
        <f>IFERROR(__xludf.DUMMYFUNCTION("""COMPUTED_VALUE"""),7.0)</f>
        <v>7</v>
      </c>
      <c r="R105" s="235">
        <f>IFERROR(__xludf.DUMMYFUNCTION("""COMPUTED_VALUE"""),1859.0)</f>
        <v>1859</v>
      </c>
      <c r="S105" s="235">
        <f>IFERROR(__xludf.DUMMYFUNCTION("""COMPUTED_VALUE"""),0.0)</f>
        <v>0</v>
      </c>
      <c r="T105" s="235">
        <f>IFERROR(__xludf.DUMMYFUNCTION("""COMPUTED_VALUE"""),315.0)</f>
        <v>315</v>
      </c>
      <c r="U105" s="235">
        <f>IFERROR(__xludf.DUMMYFUNCTION("""COMPUTED_VALUE"""),62.0)</f>
        <v>62</v>
      </c>
      <c r="V105" s="235">
        <f>IFERROR(__xludf.DUMMYFUNCTION("""COMPUTED_VALUE"""),59.0)</f>
        <v>59</v>
      </c>
      <c r="W105" s="235">
        <f>IFERROR(__xludf.DUMMYFUNCTION("""COMPUTED_VALUE"""),13.0)</f>
        <v>13</v>
      </c>
      <c r="X105" s="235">
        <f>IFERROR(__xludf.DUMMYFUNCTION("""COMPUTED_VALUE"""),8.0)</f>
        <v>8</v>
      </c>
      <c r="Y105" s="235">
        <f>IFERROR(__xludf.DUMMYFUNCTION("""COMPUTED_VALUE"""),1.0)</f>
        <v>1</v>
      </c>
      <c r="Z105" s="235">
        <f>IFERROR(__xludf.DUMMYFUNCTION("""COMPUTED_VALUE"""),1022.0)</f>
        <v>1022</v>
      </c>
    </row>
    <row r="106">
      <c r="A106" s="234">
        <f>IFERROR(__xludf.DUMMYFUNCTION("""COMPUTED_VALUE"""),44040.0)</f>
        <v>44040</v>
      </c>
      <c r="B106" s="235">
        <f>IFERROR(__xludf.DUMMYFUNCTION("""COMPUTED_VALUE"""),105.0)</f>
        <v>105</v>
      </c>
      <c r="C106" s="235">
        <f>IFERROR(__xludf.DUMMYFUNCTION("""COMPUTED_VALUE"""),118.0)</f>
        <v>118</v>
      </c>
      <c r="D106" s="235">
        <f>IFERROR(__xludf.DUMMYFUNCTION("""COMPUTED_VALUE"""),27439.0)</f>
        <v>27439</v>
      </c>
      <c r="E106" s="235">
        <f>IFERROR(__xludf.DUMMYFUNCTION("""COMPUTED_VALUE"""),3834.0)</f>
        <v>3834</v>
      </c>
      <c r="F106" s="172">
        <f>IFERROR(__xludf.DUMMYFUNCTION("""COMPUTED_VALUE"""),331270.0)</f>
        <v>331270</v>
      </c>
      <c r="G106" s="172">
        <f>IFERROR(__xludf.DUMMYFUNCTION("""COMPUTED_VALUE"""),3939.0)</f>
        <v>3939</v>
      </c>
      <c r="H106" s="172">
        <f>IFERROR(__xludf.DUMMYFUNCTION("""COMPUTED_VALUE"""),358709.0)</f>
        <v>358709</v>
      </c>
      <c r="I106" s="235">
        <f>IFERROR(__xludf.DUMMYFUNCTION("""COMPUTED_VALUE"""),95.0)</f>
        <v>95</v>
      </c>
      <c r="J106" s="235">
        <f>IFERROR(__xludf.DUMMYFUNCTION("""COMPUTED_VALUE"""),96.0)</f>
        <v>96</v>
      </c>
      <c r="K106" s="235">
        <f>IFERROR(__xludf.DUMMYFUNCTION("""COMPUTED_VALUE"""),18805.0)</f>
        <v>18805</v>
      </c>
      <c r="L106" s="235">
        <f>IFERROR(__xludf.DUMMYFUNCTION("""COMPUTED_VALUE"""),1626.0)</f>
        <v>1626</v>
      </c>
      <c r="M106" s="235">
        <f>IFERROR(__xludf.DUMMYFUNCTION("""COMPUTED_VALUE"""),182618.0)</f>
        <v>182618</v>
      </c>
      <c r="N106" s="235">
        <f>IFERROR(__xludf.DUMMYFUNCTION("""COMPUTED_VALUE"""),201423.0)</f>
        <v>201423</v>
      </c>
      <c r="O106" s="235">
        <f>IFERROR(__xludf.DUMMYFUNCTION("""COMPUTED_VALUE"""),5.0)</f>
        <v>5</v>
      </c>
      <c r="P106" s="235">
        <f>IFERROR(__xludf.DUMMYFUNCTION("""COMPUTED_VALUE"""),2241.0)</f>
        <v>2241</v>
      </c>
      <c r="Q106" s="235">
        <f>IFERROR(__xludf.DUMMYFUNCTION("""COMPUTED_VALUE"""),5.0)</f>
        <v>5</v>
      </c>
      <c r="R106" s="235">
        <f>IFERROR(__xludf.DUMMYFUNCTION("""COMPUTED_VALUE"""),1864.0)</f>
        <v>1864</v>
      </c>
      <c r="S106" s="235">
        <f>IFERROR(__xludf.DUMMYFUNCTION("""COMPUTED_VALUE"""),0.0)</f>
        <v>0</v>
      </c>
      <c r="T106" s="235">
        <f>IFERROR(__xludf.DUMMYFUNCTION("""COMPUTED_VALUE"""),315.0)</f>
        <v>315</v>
      </c>
      <c r="U106" s="235">
        <f>IFERROR(__xludf.DUMMYFUNCTION("""COMPUTED_VALUE"""),62.0)</f>
        <v>62</v>
      </c>
      <c r="V106" s="235">
        <f>IFERROR(__xludf.DUMMYFUNCTION("""COMPUTED_VALUE"""),60.0)</f>
        <v>60</v>
      </c>
      <c r="W106" s="235">
        <f>IFERROR(__xludf.DUMMYFUNCTION("""COMPUTED_VALUE"""),14.0)</f>
        <v>14</v>
      </c>
      <c r="X106" s="235">
        <f>IFERROR(__xludf.DUMMYFUNCTION("""COMPUTED_VALUE"""),7.0)</f>
        <v>7</v>
      </c>
      <c r="Y106" s="235">
        <f>IFERROR(__xludf.DUMMYFUNCTION("""COMPUTED_VALUE"""),1.0)</f>
        <v>1</v>
      </c>
      <c r="Z106" s="235">
        <f>IFERROR(__xludf.DUMMYFUNCTION("""COMPUTED_VALUE"""),1023.0)</f>
        <v>1023</v>
      </c>
    </row>
    <row r="107">
      <c r="A107" s="234">
        <f>IFERROR(__xludf.DUMMYFUNCTION("""COMPUTED_VALUE"""),44041.0)</f>
        <v>44041</v>
      </c>
      <c r="B107" s="235">
        <f>IFERROR(__xludf.DUMMYFUNCTION("""COMPUTED_VALUE"""),190.0)</f>
        <v>190</v>
      </c>
      <c r="C107" s="235">
        <f>IFERROR(__xludf.DUMMYFUNCTION("""COMPUTED_VALUE"""),161.0)</f>
        <v>161</v>
      </c>
      <c r="D107" s="235">
        <f>IFERROR(__xludf.DUMMYFUNCTION("""COMPUTED_VALUE"""),27629.0)</f>
        <v>27629</v>
      </c>
      <c r="E107" s="235">
        <f>IFERROR(__xludf.DUMMYFUNCTION("""COMPUTED_VALUE"""),5137.0)</f>
        <v>5137</v>
      </c>
      <c r="F107" s="172">
        <f>IFERROR(__xludf.DUMMYFUNCTION("""COMPUTED_VALUE"""),336407.0)</f>
        <v>336407</v>
      </c>
      <c r="G107" s="172">
        <f>IFERROR(__xludf.DUMMYFUNCTION("""COMPUTED_VALUE"""),5327.0)</f>
        <v>5327</v>
      </c>
      <c r="H107" s="172">
        <f>IFERROR(__xludf.DUMMYFUNCTION("""COMPUTED_VALUE"""),364036.0)</f>
        <v>364036</v>
      </c>
      <c r="I107" s="235">
        <f>IFERROR(__xludf.DUMMYFUNCTION("""COMPUTED_VALUE"""),154.0)</f>
        <v>154</v>
      </c>
      <c r="J107" s="235">
        <f>IFERROR(__xludf.DUMMYFUNCTION("""COMPUTED_VALUE"""),129.0)</f>
        <v>129</v>
      </c>
      <c r="K107" s="235">
        <f>IFERROR(__xludf.DUMMYFUNCTION("""COMPUTED_VALUE"""),18959.0)</f>
        <v>18959</v>
      </c>
      <c r="L107" s="235">
        <f>IFERROR(__xludf.DUMMYFUNCTION("""COMPUTED_VALUE"""),2303.0)</f>
        <v>2303</v>
      </c>
      <c r="M107" s="235">
        <f>IFERROR(__xludf.DUMMYFUNCTION("""COMPUTED_VALUE"""),184921.0)</f>
        <v>184921</v>
      </c>
      <c r="N107" s="235">
        <f>IFERROR(__xludf.DUMMYFUNCTION("""COMPUTED_VALUE"""),203880.0)</f>
        <v>203880</v>
      </c>
      <c r="O107" s="235">
        <f>IFERROR(__xludf.DUMMYFUNCTION("""COMPUTED_VALUE"""),11.0)</f>
        <v>11</v>
      </c>
      <c r="P107" s="235">
        <f>IFERROR(__xludf.DUMMYFUNCTION("""COMPUTED_VALUE"""),2252.0)</f>
        <v>2252</v>
      </c>
      <c r="Q107" s="235">
        <f>IFERROR(__xludf.DUMMYFUNCTION("""COMPUTED_VALUE"""),12.0)</f>
        <v>12</v>
      </c>
      <c r="R107" s="235">
        <f>IFERROR(__xludf.DUMMYFUNCTION("""COMPUTED_VALUE"""),1876.0)</f>
        <v>1876</v>
      </c>
      <c r="S107" s="235">
        <f>IFERROR(__xludf.DUMMYFUNCTION("""COMPUTED_VALUE"""),0.0)</f>
        <v>0</v>
      </c>
      <c r="T107" s="235">
        <f>IFERROR(__xludf.DUMMYFUNCTION("""COMPUTED_VALUE"""),315.0)</f>
        <v>315</v>
      </c>
      <c r="U107" s="235">
        <f>IFERROR(__xludf.DUMMYFUNCTION("""COMPUTED_VALUE"""),61.0)</f>
        <v>61</v>
      </c>
      <c r="V107" s="235">
        <f>IFERROR(__xludf.DUMMYFUNCTION("""COMPUTED_VALUE"""),62.0)</f>
        <v>62</v>
      </c>
      <c r="W107" s="235">
        <f>IFERROR(__xludf.DUMMYFUNCTION("""COMPUTED_VALUE"""),15.0)</f>
        <v>15</v>
      </c>
      <c r="X107" s="235">
        <f>IFERROR(__xludf.DUMMYFUNCTION("""COMPUTED_VALUE"""),7.0)</f>
        <v>7</v>
      </c>
      <c r="Y107" s="235">
        <f>IFERROR(__xludf.DUMMYFUNCTION("""COMPUTED_VALUE"""),0.0)</f>
        <v>0</v>
      </c>
      <c r="Z107" s="235">
        <f>IFERROR(__xludf.DUMMYFUNCTION("""COMPUTED_VALUE"""),1023.0)</f>
        <v>1023</v>
      </c>
    </row>
    <row r="108">
      <c r="A108" s="234">
        <f>IFERROR(__xludf.DUMMYFUNCTION("""COMPUTED_VALUE"""),44042.0)</f>
        <v>44042</v>
      </c>
      <c r="B108" s="235">
        <f>IFERROR(__xludf.DUMMYFUNCTION("""COMPUTED_VALUE"""),121.0)</f>
        <v>121</v>
      </c>
      <c r="C108" s="235">
        <f>IFERROR(__xludf.DUMMYFUNCTION("""COMPUTED_VALUE"""),139.0)</f>
        <v>139</v>
      </c>
      <c r="D108" s="235">
        <f>IFERROR(__xludf.DUMMYFUNCTION("""COMPUTED_VALUE"""),27750.0)</f>
        <v>27750</v>
      </c>
      <c r="E108" s="235">
        <f>IFERROR(__xludf.DUMMYFUNCTION("""COMPUTED_VALUE"""),4344.0)</f>
        <v>4344</v>
      </c>
      <c r="F108" s="172">
        <f>IFERROR(__xludf.DUMMYFUNCTION("""COMPUTED_VALUE"""),340751.0)</f>
        <v>340751</v>
      </c>
      <c r="G108" s="172">
        <f>IFERROR(__xludf.DUMMYFUNCTION("""COMPUTED_VALUE"""),4465.0)</f>
        <v>4465</v>
      </c>
      <c r="H108" s="172">
        <f>IFERROR(__xludf.DUMMYFUNCTION("""COMPUTED_VALUE"""),368501.0)</f>
        <v>368501</v>
      </c>
      <c r="I108" s="235">
        <f>IFERROR(__xludf.DUMMYFUNCTION("""COMPUTED_VALUE"""),97.0)</f>
        <v>97</v>
      </c>
      <c r="J108" s="235">
        <f>IFERROR(__xludf.DUMMYFUNCTION("""COMPUTED_VALUE"""),115.0)</f>
        <v>115</v>
      </c>
      <c r="K108" s="235">
        <f>IFERROR(__xludf.DUMMYFUNCTION("""COMPUTED_VALUE"""),19056.0)</f>
        <v>19056</v>
      </c>
      <c r="L108" s="235">
        <f>IFERROR(__xludf.DUMMYFUNCTION("""COMPUTED_VALUE"""),1640.0)</f>
        <v>1640</v>
      </c>
      <c r="M108" s="235">
        <f>IFERROR(__xludf.DUMMYFUNCTION("""COMPUTED_VALUE"""),186561.0)</f>
        <v>186561</v>
      </c>
      <c r="N108" s="235">
        <f>IFERROR(__xludf.DUMMYFUNCTION("""COMPUTED_VALUE"""),205617.0)</f>
        <v>205617</v>
      </c>
      <c r="O108" s="235">
        <f>IFERROR(__xludf.DUMMYFUNCTION("""COMPUTED_VALUE"""),6.0)</f>
        <v>6</v>
      </c>
      <c r="P108" s="235">
        <f>IFERROR(__xludf.DUMMYFUNCTION("""COMPUTED_VALUE"""),2258.0)</f>
        <v>2258</v>
      </c>
      <c r="Q108" s="235">
        <f>IFERROR(__xludf.DUMMYFUNCTION("""COMPUTED_VALUE"""),2.0)</f>
        <v>2</v>
      </c>
      <c r="R108" s="235">
        <f>IFERROR(__xludf.DUMMYFUNCTION("""COMPUTED_VALUE"""),1878.0)</f>
        <v>1878</v>
      </c>
      <c r="S108" s="235">
        <f>IFERROR(__xludf.DUMMYFUNCTION("""COMPUTED_VALUE"""),1.0)</f>
        <v>1</v>
      </c>
      <c r="T108" s="235">
        <f>IFERROR(__xludf.DUMMYFUNCTION("""COMPUTED_VALUE"""),316.0)</f>
        <v>316</v>
      </c>
      <c r="U108" s="235">
        <f>IFERROR(__xludf.DUMMYFUNCTION("""COMPUTED_VALUE"""),64.0)</f>
        <v>64</v>
      </c>
      <c r="V108" s="235">
        <f>IFERROR(__xludf.DUMMYFUNCTION("""COMPUTED_VALUE"""),62.0)</f>
        <v>62</v>
      </c>
      <c r="W108" s="235">
        <f>IFERROR(__xludf.DUMMYFUNCTION("""COMPUTED_VALUE"""),15.0)</f>
        <v>15</v>
      </c>
      <c r="X108" s="235">
        <f>IFERROR(__xludf.DUMMYFUNCTION("""COMPUTED_VALUE"""),6.0)</f>
        <v>6</v>
      </c>
      <c r="Y108" s="235">
        <f>IFERROR(__xludf.DUMMYFUNCTION("""COMPUTED_VALUE"""),1.0)</f>
        <v>1</v>
      </c>
      <c r="Z108" s="235">
        <f>IFERROR(__xludf.DUMMYFUNCTION("""COMPUTED_VALUE"""),1024.0)</f>
        <v>1024</v>
      </c>
    </row>
    <row r="109">
      <c r="A109" s="234">
        <f>IFERROR(__xludf.DUMMYFUNCTION("""COMPUTED_VALUE"""),44043.0)</f>
        <v>44043</v>
      </c>
      <c r="B109" s="235">
        <f>IFERROR(__xludf.DUMMYFUNCTION("""COMPUTED_VALUE"""),131.0)</f>
        <v>131</v>
      </c>
      <c r="C109" s="235">
        <f>IFERROR(__xludf.DUMMYFUNCTION("""COMPUTED_VALUE"""),147.0)</f>
        <v>147</v>
      </c>
      <c r="D109" s="235">
        <f>IFERROR(__xludf.DUMMYFUNCTION("""COMPUTED_VALUE"""),27881.0)</f>
        <v>27881</v>
      </c>
      <c r="E109" s="235">
        <f>IFERROR(__xludf.DUMMYFUNCTION("""COMPUTED_VALUE"""),5509.0)</f>
        <v>5509</v>
      </c>
      <c r="F109" s="172">
        <f>IFERROR(__xludf.DUMMYFUNCTION("""COMPUTED_VALUE"""),346260.0)</f>
        <v>346260</v>
      </c>
      <c r="G109" s="172">
        <f>IFERROR(__xludf.DUMMYFUNCTION("""COMPUTED_VALUE"""),5640.0)</f>
        <v>5640</v>
      </c>
      <c r="H109" s="172">
        <f>IFERROR(__xludf.DUMMYFUNCTION("""COMPUTED_VALUE"""),374141.0)</f>
        <v>374141</v>
      </c>
      <c r="I109" s="235">
        <f>IFERROR(__xludf.DUMMYFUNCTION("""COMPUTED_VALUE"""),89.0)</f>
        <v>89</v>
      </c>
      <c r="J109" s="235">
        <f>IFERROR(__xludf.DUMMYFUNCTION("""COMPUTED_VALUE"""),113.0)</f>
        <v>113</v>
      </c>
      <c r="K109" s="235">
        <f>IFERROR(__xludf.DUMMYFUNCTION("""COMPUTED_VALUE"""),19145.0)</f>
        <v>19145</v>
      </c>
      <c r="L109" s="235">
        <f>IFERROR(__xludf.DUMMYFUNCTION("""COMPUTED_VALUE"""),1841.0)</f>
        <v>1841</v>
      </c>
      <c r="M109" s="235">
        <f>IFERROR(__xludf.DUMMYFUNCTION("""COMPUTED_VALUE"""),188402.0)</f>
        <v>188402</v>
      </c>
      <c r="N109" s="235">
        <f>IFERROR(__xludf.DUMMYFUNCTION("""COMPUTED_VALUE"""),207547.0)</f>
        <v>207547</v>
      </c>
      <c r="O109" s="235">
        <f>IFERROR(__xludf.DUMMYFUNCTION("""COMPUTED_VALUE"""),8.0)</f>
        <v>8</v>
      </c>
      <c r="P109" s="235">
        <f>IFERROR(__xludf.DUMMYFUNCTION("""COMPUTED_VALUE"""),2266.0)</f>
        <v>2266</v>
      </c>
      <c r="Q109" s="235">
        <f>IFERROR(__xludf.DUMMYFUNCTION("""COMPUTED_VALUE"""),10.0)</f>
        <v>10</v>
      </c>
      <c r="R109" s="235">
        <f>IFERROR(__xludf.DUMMYFUNCTION("""COMPUTED_VALUE"""),1888.0)</f>
        <v>1888</v>
      </c>
      <c r="S109" s="235">
        <f>IFERROR(__xludf.DUMMYFUNCTION("""COMPUTED_VALUE"""),0.0)</f>
        <v>0</v>
      </c>
      <c r="T109" s="235">
        <f>IFERROR(__xludf.DUMMYFUNCTION("""COMPUTED_VALUE"""),316.0)</f>
        <v>316</v>
      </c>
      <c r="U109" s="235">
        <f>IFERROR(__xludf.DUMMYFUNCTION("""COMPUTED_VALUE"""),62.0)</f>
        <v>62</v>
      </c>
      <c r="V109" s="235">
        <f>IFERROR(__xludf.DUMMYFUNCTION("""COMPUTED_VALUE"""),62.0)</f>
        <v>62</v>
      </c>
      <c r="W109" s="235">
        <f>IFERROR(__xludf.DUMMYFUNCTION("""COMPUTED_VALUE"""),15.0)</f>
        <v>15</v>
      </c>
      <c r="X109" s="235">
        <f>IFERROR(__xludf.DUMMYFUNCTION("""COMPUTED_VALUE"""),7.0)</f>
        <v>7</v>
      </c>
      <c r="Y109" s="235">
        <f>IFERROR(__xludf.DUMMYFUNCTION("""COMPUTED_VALUE"""),1.0)</f>
        <v>1</v>
      </c>
      <c r="Z109" s="235">
        <f>IFERROR(__xludf.DUMMYFUNCTION("""COMPUTED_VALUE"""),1025.0)</f>
        <v>1025</v>
      </c>
    </row>
    <row r="110">
      <c r="A110" s="234">
        <f>IFERROR(__xludf.DUMMYFUNCTION("""COMPUTED_VALUE"""),44044.0)</f>
        <v>44044</v>
      </c>
      <c r="B110" s="235">
        <f>IFERROR(__xludf.DUMMYFUNCTION("""COMPUTED_VALUE"""),108.0)</f>
        <v>108</v>
      </c>
      <c r="C110" s="235">
        <f>IFERROR(__xludf.DUMMYFUNCTION("""COMPUTED_VALUE"""),120.0)</f>
        <v>120</v>
      </c>
      <c r="D110" s="235">
        <f>IFERROR(__xludf.DUMMYFUNCTION("""COMPUTED_VALUE"""),27989.0)</f>
        <v>27989</v>
      </c>
      <c r="E110" s="235">
        <f>IFERROR(__xludf.DUMMYFUNCTION("""COMPUTED_VALUE"""),4292.0)</f>
        <v>4292</v>
      </c>
      <c r="F110" s="172">
        <f>IFERROR(__xludf.DUMMYFUNCTION("""COMPUTED_VALUE"""),350552.0)</f>
        <v>350552</v>
      </c>
      <c r="G110" s="172">
        <f>IFERROR(__xludf.DUMMYFUNCTION("""COMPUTED_VALUE"""),4400.0)</f>
        <v>4400</v>
      </c>
      <c r="H110" s="172">
        <f>IFERROR(__xludf.DUMMYFUNCTION("""COMPUTED_VALUE"""),378541.0)</f>
        <v>378541</v>
      </c>
      <c r="I110" s="235">
        <f>IFERROR(__xludf.DUMMYFUNCTION("""COMPUTED_VALUE"""),88.0)</f>
        <v>88</v>
      </c>
      <c r="J110" s="235">
        <f>IFERROR(__xludf.DUMMYFUNCTION("""COMPUTED_VALUE"""),91.0)</f>
        <v>91</v>
      </c>
      <c r="K110" s="235">
        <f>IFERROR(__xludf.DUMMYFUNCTION("""COMPUTED_VALUE"""),19233.0)</f>
        <v>19233</v>
      </c>
      <c r="L110" s="235">
        <f>IFERROR(__xludf.DUMMYFUNCTION("""COMPUTED_VALUE"""),1552.0)</f>
        <v>1552</v>
      </c>
      <c r="M110" s="235">
        <f>IFERROR(__xludf.DUMMYFUNCTION("""COMPUTED_VALUE"""),189954.0)</f>
        <v>189954</v>
      </c>
      <c r="N110" s="235">
        <f>IFERROR(__xludf.DUMMYFUNCTION("""COMPUTED_VALUE"""),209187.0)</f>
        <v>209187</v>
      </c>
      <c r="O110" s="235">
        <f>IFERROR(__xludf.DUMMYFUNCTION("""COMPUTED_VALUE"""),7.0)</f>
        <v>7</v>
      </c>
      <c r="P110" s="235">
        <f>IFERROR(__xludf.DUMMYFUNCTION("""COMPUTED_VALUE"""),2273.0)</f>
        <v>2273</v>
      </c>
      <c r="Q110" s="235">
        <f>IFERROR(__xludf.DUMMYFUNCTION("""COMPUTED_VALUE"""),2.0)</f>
        <v>2</v>
      </c>
      <c r="R110" s="235">
        <f>IFERROR(__xludf.DUMMYFUNCTION("""COMPUTED_VALUE"""),1890.0)</f>
        <v>1890</v>
      </c>
      <c r="S110" s="235">
        <f>IFERROR(__xludf.DUMMYFUNCTION("""COMPUTED_VALUE"""),0.0)</f>
        <v>0</v>
      </c>
      <c r="T110" s="235">
        <f>IFERROR(__xludf.DUMMYFUNCTION("""COMPUTED_VALUE"""),316.0)</f>
        <v>316</v>
      </c>
      <c r="U110" s="235">
        <f>IFERROR(__xludf.DUMMYFUNCTION("""COMPUTED_VALUE"""),67.0)</f>
        <v>67</v>
      </c>
      <c r="V110" s="235">
        <f>IFERROR(__xludf.DUMMYFUNCTION("""COMPUTED_VALUE"""),64.0)</f>
        <v>64</v>
      </c>
      <c r="W110" s="235">
        <f>IFERROR(__xludf.DUMMYFUNCTION("""COMPUTED_VALUE"""),14.0)</f>
        <v>14</v>
      </c>
      <c r="X110" s="235">
        <f>IFERROR(__xludf.DUMMYFUNCTION("""COMPUTED_VALUE"""),7.0)</f>
        <v>7</v>
      </c>
      <c r="Y110" s="235">
        <f>IFERROR(__xludf.DUMMYFUNCTION("""COMPUTED_VALUE"""),1.0)</f>
        <v>1</v>
      </c>
      <c r="Z110" s="235">
        <f>IFERROR(__xludf.DUMMYFUNCTION("""COMPUTED_VALUE"""),1026.0)</f>
        <v>1026</v>
      </c>
    </row>
    <row r="111">
      <c r="A111" s="234">
        <f>IFERROR(__xludf.DUMMYFUNCTION("""COMPUTED_VALUE"""),44045.0)</f>
        <v>44045</v>
      </c>
      <c r="B111" s="235">
        <f>IFERROR(__xludf.DUMMYFUNCTION("""COMPUTED_VALUE"""),84.0)</f>
        <v>84</v>
      </c>
      <c r="C111" s="235">
        <f>IFERROR(__xludf.DUMMYFUNCTION("""COMPUTED_VALUE"""),108.0)</f>
        <v>108</v>
      </c>
      <c r="D111" s="235">
        <f>IFERROR(__xludf.DUMMYFUNCTION("""COMPUTED_VALUE"""),28073.0)</f>
        <v>28073</v>
      </c>
      <c r="E111" s="235">
        <f>IFERROR(__xludf.DUMMYFUNCTION("""COMPUTED_VALUE"""),2802.0)</f>
        <v>2802</v>
      </c>
      <c r="F111" s="172">
        <f>IFERROR(__xludf.DUMMYFUNCTION("""COMPUTED_VALUE"""),353354.0)</f>
        <v>353354</v>
      </c>
      <c r="G111" s="172">
        <f>IFERROR(__xludf.DUMMYFUNCTION("""COMPUTED_VALUE"""),2886.0)</f>
        <v>2886</v>
      </c>
      <c r="H111" s="172">
        <f>IFERROR(__xludf.DUMMYFUNCTION("""COMPUTED_VALUE"""),381427.0)</f>
        <v>381427</v>
      </c>
      <c r="I111" s="235">
        <f>IFERROR(__xludf.DUMMYFUNCTION("""COMPUTED_VALUE"""),62.0)</f>
        <v>62</v>
      </c>
      <c r="J111" s="235">
        <f>IFERROR(__xludf.DUMMYFUNCTION("""COMPUTED_VALUE"""),80.0)</f>
        <v>80</v>
      </c>
      <c r="K111" s="235">
        <f>IFERROR(__xludf.DUMMYFUNCTION("""COMPUTED_VALUE"""),19295.0)</f>
        <v>19295</v>
      </c>
      <c r="L111" s="235">
        <f>IFERROR(__xludf.DUMMYFUNCTION("""COMPUTED_VALUE"""),1265.0)</f>
        <v>1265</v>
      </c>
      <c r="M111" s="235">
        <f>IFERROR(__xludf.DUMMYFUNCTION("""COMPUTED_VALUE"""),191219.0)</f>
        <v>191219</v>
      </c>
      <c r="N111" s="235">
        <f>IFERROR(__xludf.DUMMYFUNCTION("""COMPUTED_VALUE"""),210514.0)</f>
        <v>210514</v>
      </c>
      <c r="O111" s="235">
        <f>IFERROR(__xludf.DUMMYFUNCTION("""COMPUTED_VALUE"""),12.0)</f>
        <v>12</v>
      </c>
      <c r="P111" s="235">
        <f>IFERROR(__xludf.DUMMYFUNCTION("""COMPUTED_VALUE"""),2285.0)</f>
        <v>2285</v>
      </c>
      <c r="Q111" s="235">
        <f>IFERROR(__xludf.DUMMYFUNCTION("""COMPUTED_VALUE"""),12.0)</f>
        <v>12</v>
      </c>
      <c r="R111" s="235">
        <f>IFERROR(__xludf.DUMMYFUNCTION("""COMPUTED_VALUE"""),1902.0)</f>
        <v>1902</v>
      </c>
      <c r="S111" s="235">
        <f>IFERROR(__xludf.DUMMYFUNCTION("""COMPUTED_VALUE"""),2.0)</f>
        <v>2</v>
      </c>
      <c r="T111" s="235">
        <f>IFERROR(__xludf.DUMMYFUNCTION("""COMPUTED_VALUE"""),318.0)</f>
        <v>318</v>
      </c>
      <c r="U111" s="235">
        <f>IFERROR(__xludf.DUMMYFUNCTION("""COMPUTED_VALUE"""),65.0)</f>
        <v>65</v>
      </c>
      <c r="V111" s="235">
        <f>IFERROR(__xludf.DUMMYFUNCTION("""COMPUTED_VALUE"""),65.0)</f>
        <v>65</v>
      </c>
      <c r="W111" s="235">
        <f>IFERROR(__xludf.DUMMYFUNCTION("""COMPUTED_VALUE"""),14.0)</f>
        <v>14</v>
      </c>
      <c r="X111" s="235">
        <f>IFERROR(__xludf.DUMMYFUNCTION("""COMPUTED_VALUE"""),8.0)</f>
        <v>8</v>
      </c>
      <c r="Y111" s="235">
        <f>IFERROR(__xludf.DUMMYFUNCTION("""COMPUTED_VALUE"""),2.0)</f>
        <v>2</v>
      </c>
      <c r="Z111" s="235">
        <f>IFERROR(__xludf.DUMMYFUNCTION("""COMPUTED_VALUE"""),1028.0)</f>
        <v>1028</v>
      </c>
    </row>
    <row r="112">
      <c r="A112" s="234">
        <f>IFERROR(__xludf.DUMMYFUNCTION("""COMPUTED_VALUE"""),44046.0)</f>
        <v>44046</v>
      </c>
      <c r="B112" s="235">
        <f>IFERROR(__xludf.DUMMYFUNCTION("""COMPUTED_VALUE"""),186.0)</f>
        <v>186</v>
      </c>
      <c r="C112" s="235">
        <f>IFERROR(__xludf.DUMMYFUNCTION("""COMPUTED_VALUE"""),126.0)</f>
        <v>126</v>
      </c>
      <c r="D112" s="235">
        <f>IFERROR(__xludf.DUMMYFUNCTION("""COMPUTED_VALUE"""),28259.0)</f>
        <v>28259</v>
      </c>
      <c r="E112" s="235">
        <f>IFERROR(__xludf.DUMMYFUNCTION("""COMPUTED_VALUE"""),5238.0)</f>
        <v>5238</v>
      </c>
      <c r="F112" s="172">
        <f>IFERROR(__xludf.DUMMYFUNCTION("""COMPUTED_VALUE"""),358592.0)</f>
        <v>358592</v>
      </c>
      <c r="G112" s="172">
        <f>IFERROR(__xludf.DUMMYFUNCTION("""COMPUTED_VALUE"""),5424.0)</f>
        <v>5424</v>
      </c>
      <c r="H112" s="172">
        <f>IFERROR(__xludf.DUMMYFUNCTION("""COMPUTED_VALUE"""),386851.0)</f>
        <v>386851</v>
      </c>
      <c r="I112" s="235">
        <f>IFERROR(__xludf.DUMMYFUNCTION("""COMPUTED_VALUE"""),149.0)</f>
        <v>149</v>
      </c>
      <c r="J112" s="235">
        <f>IFERROR(__xludf.DUMMYFUNCTION("""COMPUTED_VALUE"""),100.0)</f>
        <v>100</v>
      </c>
      <c r="K112" s="235">
        <f>IFERROR(__xludf.DUMMYFUNCTION("""COMPUTED_VALUE"""),19444.0)</f>
        <v>19444</v>
      </c>
      <c r="L112" s="235">
        <f>IFERROR(__xludf.DUMMYFUNCTION("""COMPUTED_VALUE"""),2185.0)</f>
        <v>2185</v>
      </c>
      <c r="M112" s="235">
        <f>IFERROR(__xludf.DUMMYFUNCTION("""COMPUTED_VALUE"""),193404.0)</f>
        <v>193404</v>
      </c>
      <c r="N112" s="235">
        <f>IFERROR(__xludf.DUMMYFUNCTION("""COMPUTED_VALUE"""),212848.0)</f>
        <v>212848</v>
      </c>
      <c r="O112" s="235">
        <f>IFERROR(__xludf.DUMMYFUNCTION("""COMPUTED_VALUE"""),13.0)</f>
        <v>13</v>
      </c>
      <c r="P112" s="235">
        <f>IFERROR(__xludf.DUMMYFUNCTION("""COMPUTED_VALUE"""),2298.0)</f>
        <v>2298</v>
      </c>
      <c r="Q112" s="235">
        <f>IFERROR(__xludf.DUMMYFUNCTION("""COMPUTED_VALUE"""),12.0)</f>
        <v>12</v>
      </c>
      <c r="R112" s="235">
        <f>IFERROR(__xludf.DUMMYFUNCTION("""COMPUTED_VALUE"""),1914.0)</f>
        <v>1914</v>
      </c>
      <c r="S112" s="235">
        <f>IFERROR(__xludf.DUMMYFUNCTION("""COMPUTED_VALUE"""),0.0)</f>
        <v>0</v>
      </c>
      <c r="T112" s="235">
        <f>IFERROR(__xludf.DUMMYFUNCTION("""COMPUTED_VALUE"""),318.0)</f>
        <v>318</v>
      </c>
      <c r="U112" s="235">
        <f>IFERROR(__xludf.DUMMYFUNCTION("""COMPUTED_VALUE"""),66.0)</f>
        <v>66</v>
      </c>
      <c r="V112" s="235">
        <f>IFERROR(__xludf.DUMMYFUNCTION("""COMPUTED_VALUE"""),66.0)</f>
        <v>66</v>
      </c>
      <c r="W112" s="235">
        <f>IFERROR(__xludf.DUMMYFUNCTION("""COMPUTED_VALUE"""),16.0)</f>
        <v>16</v>
      </c>
      <c r="X112" s="235">
        <f>IFERROR(__xludf.DUMMYFUNCTION("""COMPUTED_VALUE"""),7.0)</f>
        <v>7</v>
      </c>
      <c r="Y112" s="235">
        <f>IFERROR(__xludf.DUMMYFUNCTION("""COMPUTED_VALUE"""),1.0)</f>
        <v>1</v>
      </c>
      <c r="Z112" s="235">
        <f>IFERROR(__xludf.DUMMYFUNCTION("""COMPUTED_VALUE"""),1029.0)</f>
        <v>1029</v>
      </c>
    </row>
    <row r="113">
      <c r="A113" s="234">
        <f>IFERROR(__xludf.DUMMYFUNCTION("""COMPUTED_VALUE"""),44047.0)</f>
        <v>44047</v>
      </c>
      <c r="B113" s="235">
        <f>IFERROR(__xludf.DUMMYFUNCTION("""COMPUTED_VALUE"""),125.0)</f>
        <v>125</v>
      </c>
      <c r="C113" s="235">
        <f>IFERROR(__xludf.DUMMYFUNCTION("""COMPUTED_VALUE"""),132.0)</f>
        <v>132</v>
      </c>
      <c r="D113" s="235">
        <f>IFERROR(__xludf.DUMMYFUNCTION("""COMPUTED_VALUE"""),28384.0)</f>
        <v>28384</v>
      </c>
      <c r="E113" s="235">
        <f>IFERROR(__xludf.DUMMYFUNCTION("""COMPUTED_VALUE"""),3691.0)</f>
        <v>3691</v>
      </c>
      <c r="F113" s="172">
        <f>IFERROR(__xludf.DUMMYFUNCTION("""COMPUTED_VALUE"""),362283.0)</f>
        <v>362283</v>
      </c>
      <c r="G113" s="172">
        <f>IFERROR(__xludf.DUMMYFUNCTION("""COMPUTED_VALUE"""),3816.0)</f>
        <v>3816</v>
      </c>
      <c r="H113" s="172">
        <f>IFERROR(__xludf.DUMMYFUNCTION("""COMPUTED_VALUE"""),390667.0)</f>
        <v>390667</v>
      </c>
      <c r="I113" s="235">
        <f>IFERROR(__xludf.DUMMYFUNCTION("""COMPUTED_VALUE"""),99.0)</f>
        <v>99</v>
      </c>
      <c r="J113" s="235">
        <f>IFERROR(__xludf.DUMMYFUNCTION("""COMPUTED_VALUE"""),103.0)</f>
        <v>103</v>
      </c>
      <c r="K113" s="235">
        <f>IFERROR(__xludf.DUMMYFUNCTION("""COMPUTED_VALUE"""),19543.0)</f>
        <v>19543</v>
      </c>
      <c r="L113" s="235">
        <f>IFERROR(__xludf.DUMMYFUNCTION("""COMPUTED_VALUE"""),1765.0)</f>
        <v>1765</v>
      </c>
      <c r="M113" s="235">
        <f>IFERROR(__xludf.DUMMYFUNCTION("""COMPUTED_VALUE"""),195169.0)</f>
        <v>195169</v>
      </c>
      <c r="N113" s="235">
        <f>IFERROR(__xludf.DUMMYFUNCTION("""COMPUTED_VALUE"""),214712.0)</f>
        <v>214712</v>
      </c>
      <c r="O113" s="235">
        <f>IFERROR(__xludf.DUMMYFUNCTION("""COMPUTED_VALUE"""),9.0)</f>
        <v>9</v>
      </c>
      <c r="P113" s="235">
        <f>IFERROR(__xludf.DUMMYFUNCTION("""COMPUTED_VALUE"""),2307.0)</f>
        <v>2307</v>
      </c>
      <c r="Q113" s="235">
        <f>IFERROR(__xludf.DUMMYFUNCTION("""COMPUTED_VALUE"""),6.0)</f>
        <v>6</v>
      </c>
      <c r="R113" s="235">
        <f>IFERROR(__xludf.DUMMYFUNCTION("""COMPUTED_VALUE"""),1920.0)</f>
        <v>1920</v>
      </c>
      <c r="S113" s="235">
        <f>IFERROR(__xludf.DUMMYFUNCTION("""COMPUTED_VALUE"""),1.0)</f>
        <v>1</v>
      </c>
      <c r="T113" s="235">
        <f>IFERROR(__xludf.DUMMYFUNCTION("""COMPUTED_VALUE"""),319.0)</f>
        <v>319</v>
      </c>
      <c r="U113" s="235">
        <f>IFERROR(__xludf.DUMMYFUNCTION("""COMPUTED_VALUE"""),68.0)</f>
        <v>68</v>
      </c>
      <c r="V113" s="235">
        <f>IFERROR(__xludf.DUMMYFUNCTION("""COMPUTED_VALUE"""),66.0)</f>
        <v>66</v>
      </c>
      <c r="W113" s="235">
        <f>IFERROR(__xludf.DUMMYFUNCTION("""COMPUTED_VALUE"""),12.0)</f>
        <v>12</v>
      </c>
      <c r="X113" s="235">
        <f>IFERROR(__xludf.DUMMYFUNCTION("""COMPUTED_VALUE"""),5.0)</f>
        <v>5</v>
      </c>
      <c r="Y113" s="235">
        <f>IFERROR(__xludf.DUMMYFUNCTION("""COMPUTED_VALUE"""),2.0)</f>
        <v>2</v>
      </c>
      <c r="Z113" s="235">
        <f>IFERROR(__xludf.DUMMYFUNCTION("""COMPUTED_VALUE"""),1031.0)</f>
        <v>1031</v>
      </c>
    </row>
    <row r="114">
      <c r="A114" s="234">
        <f>IFERROR(__xludf.DUMMYFUNCTION("""COMPUTED_VALUE"""),44048.0)</f>
        <v>44048</v>
      </c>
      <c r="B114" s="235">
        <f>IFERROR(__xludf.DUMMYFUNCTION("""COMPUTED_VALUE"""),147.0)</f>
        <v>147</v>
      </c>
      <c r="C114" s="235">
        <f>IFERROR(__xludf.DUMMYFUNCTION("""COMPUTED_VALUE"""),153.0)</f>
        <v>153</v>
      </c>
      <c r="D114" s="235">
        <f>IFERROR(__xludf.DUMMYFUNCTION("""COMPUTED_VALUE"""),28531.0)</f>
        <v>28531</v>
      </c>
      <c r="E114" s="235">
        <f>IFERROR(__xludf.DUMMYFUNCTION("""COMPUTED_VALUE"""),5934.0)</f>
        <v>5934</v>
      </c>
      <c r="F114" s="172">
        <f>IFERROR(__xludf.DUMMYFUNCTION("""COMPUTED_VALUE"""),368217.0)</f>
        <v>368217</v>
      </c>
      <c r="G114" s="172">
        <f>IFERROR(__xludf.DUMMYFUNCTION("""COMPUTED_VALUE"""),6081.0)</f>
        <v>6081</v>
      </c>
      <c r="H114" s="172">
        <f>IFERROR(__xludf.DUMMYFUNCTION("""COMPUTED_VALUE"""),396748.0)</f>
        <v>396748</v>
      </c>
      <c r="I114" s="235">
        <f>IFERROR(__xludf.DUMMYFUNCTION("""COMPUTED_VALUE"""),118.0)</f>
        <v>118</v>
      </c>
      <c r="J114" s="235">
        <f>IFERROR(__xludf.DUMMYFUNCTION("""COMPUTED_VALUE"""),122.0)</f>
        <v>122</v>
      </c>
      <c r="K114" s="235">
        <f>IFERROR(__xludf.DUMMYFUNCTION("""COMPUTED_VALUE"""),19661.0)</f>
        <v>19661</v>
      </c>
      <c r="L114" s="235">
        <f>IFERROR(__xludf.DUMMYFUNCTION("""COMPUTED_VALUE"""),2459.0)</f>
        <v>2459</v>
      </c>
      <c r="M114" s="235">
        <f>IFERROR(__xludf.DUMMYFUNCTION("""COMPUTED_VALUE"""),197628.0)</f>
        <v>197628</v>
      </c>
      <c r="N114" s="235">
        <f>IFERROR(__xludf.DUMMYFUNCTION("""COMPUTED_VALUE"""),217289.0)</f>
        <v>217289</v>
      </c>
      <c r="O114" s="235">
        <f>IFERROR(__xludf.DUMMYFUNCTION("""COMPUTED_VALUE"""),12.0)</f>
        <v>12</v>
      </c>
      <c r="P114" s="235">
        <f>IFERROR(__xludf.DUMMYFUNCTION("""COMPUTED_VALUE"""),2319.0)</f>
        <v>2319</v>
      </c>
      <c r="Q114" s="235">
        <f>IFERROR(__xludf.DUMMYFUNCTION("""COMPUTED_VALUE"""),10.0)</f>
        <v>10</v>
      </c>
      <c r="R114" s="235">
        <f>IFERROR(__xludf.DUMMYFUNCTION("""COMPUTED_VALUE"""),1930.0)</f>
        <v>1930</v>
      </c>
      <c r="S114" s="235">
        <f>IFERROR(__xludf.DUMMYFUNCTION("""COMPUTED_VALUE"""),1.0)</f>
        <v>1</v>
      </c>
      <c r="T114" s="235">
        <f>IFERROR(__xludf.DUMMYFUNCTION("""COMPUTED_VALUE"""),320.0)</f>
        <v>320</v>
      </c>
      <c r="U114" s="235">
        <f>IFERROR(__xludf.DUMMYFUNCTION("""COMPUTED_VALUE"""),69.0)</f>
        <v>69</v>
      </c>
      <c r="V114" s="235">
        <f>IFERROR(__xludf.DUMMYFUNCTION("""COMPUTED_VALUE"""),68.0)</f>
        <v>68</v>
      </c>
      <c r="W114" s="235">
        <f>IFERROR(__xludf.DUMMYFUNCTION("""COMPUTED_VALUE"""),10.0)</f>
        <v>10</v>
      </c>
      <c r="X114" s="235">
        <f>IFERROR(__xludf.DUMMYFUNCTION("""COMPUTED_VALUE"""),5.0)</f>
        <v>5</v>
      </c>
      <c r="Y114" s="235">
        <f>IFERROR(__xludf.DUMMYFUNCTION("""COMPUTED_VALUE"""),2.0)</f>
        <v>2</v>
      </c>
      <c r="Z114" s="235">
        <f>IFERROR(__xludf.DUMMYFUNCTION("""COMPUTED_VALUE"""),1033.0)</f>
        <v>1033</v>
      </c>
    </row>
    <row r="115">
      <c r="A115" s="234">
        <f>IFERROR(__xludf.DUMMYFUNCTION("""COMPUTED_VALUE"""),44049.0)</f>
        <v>44049</v>
      </c>
      <c r="B115" s="235">
        <f>IFERROR(__xludf.DUMMYFUNCTION("""COMPUTED_VALUE"""),169.0)</f>
        <v>169</v>
      </c>
      <c r="C115" s="235">
        <f>IFERROR(__xludf.DUMMYFUNCTION("""COMPUTED_VALUE"""),147.0)</f>
        <v>147</v>
      </c>
      <c r="D115" s="235">
        <f>IFERROR(__xludf.DUMMYFUNCTION("""COMPUTED_VALUE"""),28700.0)</f>
        <v>28700</v>
      </c>
      <c r="E115" s="235">
        <f>IFERROR(__xludf.DUMMYFUNCTION("""COMPUTED_VALUE"""),5533.0)</f>
        <v>5533</v>
      </c>
      <c r="F115" s="172">
        <f>IFERROR(__xludf.DUMMYFUNCTION("""COMPUTED_VALUE"""),373750.0)</f>
        <v>373750</v>
      </c>
      <c r="G115" s="172">
        <f>IFERROR(__xludf.DUMMYFUNCTION("""COMPUTED_VALUE"""),5702.0)</f>
        <v>5702</v>
      </c>
      <c r="H115" s="172">
        <f>IFERROR(__xludf.DUMMYFUNCTION("""COMPUTED_VALUE"""),402450.0)</f>
        <v>402450</v>
      </c>
      <c r="I115" s="235">
        <f>IFERROR(__xludf.DUMMYFUNCTION("""COMPUTED_VALUE"""),120.0)</f>
        <v>120</v>
      </c>
      <c r="J115" s="235">
        <f>IFERROR(__xludf.DUMMYFUNCTION("""COMPUTED_VALUE"""),112.0)</f>
        <v>112</v>
      </c>
      <c r="K115" s="235">
        <f>IFERROR(__xludf.DUMMYFUNCTION("""COMPUTED_VALUE"""),19781.0)</f>
        <v>19781</v>
      </c>
      <c r="L115" s="235">
        <f>IFERROR(__xludf.DUMMYFUNCTION("""COMPUTED_VALUE"""),2390.0)</f>
        <v>2390</v>
      </c>
      <c r="M115" s="235">
        <f>IFERROR(__xludf.DUMMYFUNCTION("""COMPUTED_VALUE"""),200018.0)</f>
        <v>200018</v>
      </c>
      <c r="N115" s="235">
        <f>IFERROR(__xludf.DUMMYFUNCTION("""COMPUTED_VALUE"""),219799.0)</f>
        <v>219799</v>
      </c>
      <c r="O115" s="235">
        <f>IFERROR(__xludf.DUMMYFUNCTION("""COMPUTED_VALUE"""),7.0)</f>
        <v>7</v>
      </c>
      <c r="P115" s="235">
        <f>IFERROR(__xludf.DUMMYFUNCTION("""COMPUTED_VALUE"""),2326.0)</f>
        <v>2326</v>
      </c>
      <c r="Q115" s="235">
        <f>IFERROR(__xludf.DUMMYFUNCTION("""COMPUTED_VALUE"""),9.0)</f>
        <v>9</v>
      </c>
      <c r="R115" s="235">
        <f>IFERROR(__xludf.DUMMYFUNCTION("""COMPUTED_VALUE"""),1939.0)</f>
        <v>1939</v>
      </c>
      <c r="S115" s="235">
        <f>IFERROR(__xludf.DUMMYFUNCTION("""COMPUTED_VALUE"""),0.0)</f>
        <v>0</v>
      </c>
      <c r="T115" s="235">
        <f>IFERROR(__xludf.DUMMYFUNCTION("""COMPUTED_VALUE"""),320.0)</f>
        <v>320</v>
      </c>
      <c r="U115" s="235">
        <f>IFERROR(__xludf.DUMMYFUNCTION("""COMPUTED_VALUE"""),67.0)</f>
        <v>67</v>
      </c>
      <c r="V115" s="235">
        <f>IFERROR(__xludf.DUMMYFUNCTION("""COMPUTED_VALUE"""),68.0)</f>
        <v>68</v>
      </c>
      <c r="W115" s="235">
        <f>IFERROR(__xludf.DUMMYFUNCTION("""COMPUTED_VALUE"""),9.0)</f>
        <v>9</v>
      </c>
      <c r="X115" s="235">
        <f>IFERROR(__xludf.DUMMYFUNCTION("""COMPUTED_VALUE"""),4.0)</f>
        <v>4</v>
      </c>
      <c r="Y115" s="235">
        <f>IFERROR(__xludf.DUMMYFUNCTION("""COMPUTED_VALUE"""),0.0)</f>
        <v>0</v>
      </c>
      <c r="Z115" s="235">
        <f>IFERROR(__xludf.DUMMYFUNCTION("""COMPUTED_VALUE"""),1033.0)</f>
        <v>1033</v>
      </c>
    </row>
    <row r="116">
      <c r="A116" s="234">
        <f>IFERROR(__xludf.DUMMYFUNCTION("""COMPUTED_VALUE"""),44050.0)</f>
        <v>44050</v>
      </c>
      <c r="B116" s="235">
        <f>IFERROR(__xludf.DUMMYFUNCTION("""COMPUTED_VALUE"""),121.0)</f>
        <v>121</v>
      </c>
      <c r="C116" s="235">
        <f>IFERROR(__xludf.DUMMYFUNCTION("""COMPUTED_VALUE"""),146.0)</f>
        <v>146</v>
      </c>
      <c r="D116" s="235">
        <f>IFERROR(__xludf.DUMMYFUNCTION("""COMPUTED_VALUE"""),28821.0)</f>
        <v>28821</v>
      </c>
      <c r="E116" s="235">
        <f>IFERROR(__xludf.DUMMYFUNCTION("""COMPUTED_VALUE"""),4847.0)</f>
        <v>4847</v>
      </c>
      <c r="F116" s="172">
        <f>IFERROR(__xludf.DUMMYFUNCTION("""COMPUTED_VALUE"""),378597.0)</f>
        <v>378597</v>
      </c>
      <c r="G116" s="172">
        <f>IFERROR(__xludf.DUMMYFUNCTION("""COMPUTED_VALUE"""),4968.0)</f>
        <v>4968</v>
      </c>
      <c r="H116" s="172">
        <f>IFERROR(__xludf.DUMMYFUNCTION("""COMPUTED_VALUE"""),407418.0)</f>
        <v>407418</v>
      </c>
      <c r="I116" s="235">
        <f>IFERROR(__xludf.DUMMYFUNCTION("""COMPUTED_VALUE"""),87.0)</f>
        <v>87</v>
      </c>
      <c r="J116" s="235">
        <f>IFERROR(__xludf.DUMMYFUNCTION("""COMPUTED_VALUE"""),108.0)</f>
        <v>108</v>
      </c>
      <c r="K116" s="235">
        <f>IFERROR(__xludf.DUMMYFUNCTION("""COMPUTED_VALUE"""),19868.0)</f>
        <v>19868</v>
      </c>
      <c r="L116" s="235">
        <f>IFERROR(__xludf.DUMMYFUNCTION("""COMPUTED_VALUE"""),2133.0)</f>
        <v>2133</v>
      </c>
      <c r="M116" s="235">
        <f>IFERROR(__xludf.DUMMYFUNCTION("""COMPUTED_VALUE"""),202151.0)</f>
        <v>202151</v>
      </c>
      <c r="N116" s="235">
        <f>IFERROR(__xludf.DUMMYFUNCTION("""COMPUTED_VALUE"""),222019.0)</f>
        <v>222019</v>
      </c>
      <c r="O116" s="235">
        <f>IFERROR(__xludf.DUMMYFUNCTION("""COMPUTED_VALUE"""),13.0)</f>
        <v>13</v>
      </c>
      <c r="P116" s="235">
        <f>IFERROR(__xludf.DUMMYFUNCTION("""COMPUTED_VALUE"""),2339.0)</f>
        <v>2339</v>
      </c>
      <c r="Q116" s="235">
        <f>IFERROR(__xludf.DUMMYFUNCTION("""COMPUTED_VALUE"""),10.0)</f>
        <v>10</v>
      </c>
      <c r="R116" s="235">
        <f>IFERROR(__xludf.DUMMYFUNCTION("""COMPUTED_VALUE"""),1949.0)</f>
        <v>1949</v>
      </c>
      <c r="S116" s="235">
        <f>IFERROR(__xludf.DUMMYFUNCTION("""COMPUTED_VALUE"""),1.0)</f>
        <v>1</v>
      </c>
      <c r="T116" s="235">
        <f>IFERROR(__xludf.DUMMYFUNCTION("""COMPUTED_VALUE"""),321.0)</f>
        <v>321</v>
      </c>
      <c r="U116" s="235">
        <f>IFERROR(__xludf.DUMMYFUNCTION("""COMPUTED_VALUE"""),69.0)</f>
        <v>69</v>
      </c>
      <c r="V116" s="235">
        <f>IFERROR(__xludf.DUMMYFUNCTION("""COMPUTED_VALUE"""),68.0)</f>
        <v>68</v>
      </c>
      <c r="W116" s="235">
        <f>IFERROR(__xludf.DUMMYFUNCTION("""COMPUTED_VALUE"""),9.0)</f>
        <v>9</v>
      </c>
      <c r="X116" s="235">
        <f>IFERROR(__xludf.DUMMYFUNCTION("""COMPUTED_VALUE"""),3.0)</f>
        <v>3</v>
      </c>
      <c r="Y116" s="235">
        <f>IFERROR(__xludf.DUMMYFUNCTION("""COMPUTED_VALUE"""),2.0)</f>
        <v>2</v>
      </c>
      <c r="Z116" s="235">
        <f>IFERROR(__xludf.DUMMYFUNCTION("""COMPUTED_VALUE"""),1035.0)</f>
        <v>1035</v>
      </c>
    </row>
    <row r="117">
      <c r="A117" s="234">
        <f>IFERROR(__xludf.DUMMYFUNCTION("""COMPUTED_VALUE"""),44051.0)</f>
        <v>44051</v>
      </c>
      <c r="B117" s="235">
        <f>IFERROR(__xludf.DUMMYFUNCTION("""COMPUTED_VALUE"""),123.0)</f>
        <v>123</v>
      </c>
      <c r="C117" s="235">
        <f>IFERROR(__xludf.DUMMYFUNCTION("""COMPUTED_VALUE"""),138.0)</f>
        <v>138</v>
      </c>
      <c r="D117" s="235">
        <f>IFERROR(__xludf.DUMMYFUNCTION("""COMPUTED_VALUE"""),28944.0)</f>
        <v>28944</v>
      </c>
      <c r="E117" s="235">
        <f>IFERROR(__xludf.DUMMYFUNCTION("""COMPUTED_VALUE"""),4107.0)</f>
        <v>4107</v>
      </c>
      <c r="F117" s="172">
        <f>IFERROR(__xludf.DUMMYFUNCTION("""COMPUTED_VALUE"""),382704.0)</f>
        <v>382704</v>
      </c>
      <c r="G117" s="172">
        <f>IFERROR(__xludf.DUMMYFUNCTION("""COMPUTED_VALUE"""),4230.0)</f>
        <v>4230</v>
      </c>
      <c r="H117" s="172">
        <f>IFERROR(__xludf.DUMMYFUNCTION("""COMPUTED_VALUE"""),411648.0)</f>
        <v>411648</v>
      </c>
      <c r="I117" s="235">
        <f>IFERROR(__xludf.DUMMYFUNCTION("""COMPUTED_VALUE"""),91.0)</f>
        <v>91</v>
      </c>
      <c r="J117" s="235">
        <f>IFERROR(__xludf.DUMMYFUNCTION("""COMPUTED_VALUE"""),99.0)</f>
        <v>99</v>
      </c>
      <c r="K117" s="235">
        <f>IFERROR(__xludf.DUMMYFUNCTION("""COMPUTED_VALUE"""),19959.0)</f>
        <v>19959</v>
      </c>
      <c r="L117" s="235">
        <f>IFERROR(__xludf.DUMMYFUNCTION("""COMPUTED_VALUE"""),1769.0)</f>
        <v>1769</v>
      </c>
      <c r="M117" s="235">
        <f>IFERROR(__xludf.DUMMYFUNCTION("""COMPUTED_VALUE"""),203920.0)</f>
        <v>203920</v>
      </c>
      <c r="N117" s="235">
        <f>IFERROR(__xludf.DUMMYFUNCTION("""COMPUTED_VALUE"""),223879.0)</f>
        <v>223879</v>
      </c>
      <c r="O117" s="235">
        <f>IFERROR(__xludf.DUMMYFUNCTION("""COMPUTED_VALUE"""),19.0)</f>
        <v>19</v>
      </c>
      <c r="P117" s="235">
        <f>IFERROR(__xludf.DUMMYFUNCTION("""COMPUTED_VALUE"""),2358.0)</f>
        <v>2358</v>
      </c>
      <c r="Q117" s="235">
        <f>IFERROR(__xludf.DUMMYFUNCTION("""COMPUTED_VALUE"""),6.0)</f>
        <v>6</v>
      </c>
      <c r="R117" s="235">
        <f>IFERROR(__xludf.DUMMYFUNCTION("""COMPUTED_VALUE"""),1955.0)</f>
        <v>1955</v>
      </c>
      <c r="S117" s="235">
        <f>IFERROR(__xludf.DUMMYFUNCTION("""COMPUTED_VALUE"""),1.0)</f>
        <v>1</v>
      </c>
      <c r="T117" s="235">
        <f>IFERROR(__xludf.DUMMYFUNCTION("""COMPUTED_VALUE"""),322.0)</f>
        <v>322</v>
      </c>
      <c r="U117" s="235">
        <f>IFERROR(__xludf.DUMMYFUNCTION("""COMPUTED_VALUE"""),81.0)</f>
        <v>81</v>
      </c>
      <c r="V117" s="235">
        <f>IFERROR(__xludf.DUMMYFUNCTION("""COMPUTED_VALUE"""),72.0)</f>
        <v>72</v>
      </c>
      <c r="W117" s="235">
        <f>IFERROR(__xludf.DUMMYFUNCTION("""COMPUTED_VALUE"""),8.0)</f>
        <v>8</v>
      </c>
      <c r="X117" s="235">
        <f>IFERROR(__xludf.DUMMYFUNCTION("""COMPUTED_VALUE"""),3.0)</f>
        <v>3</v>
      </c>
      <c r="Y117" s="235">
        <f>IFERROR(__xludf.DUMMYFUNCTION("""COMPUTED_VALUE"""),1.0)</f>
        <v>1</v>
      </c>
      <c r="Z117" s="235">
        <f>IFERROR(__xludf.DUMMYFUNCTION("""COMPUTED_VALUE"""),1036.0)</f>
        <v>1036</v>
      </c>
    </row>
    <row r="118">
      <c r="A118" s="234">
        <f>IFERROR(__xludf.DUMMYFUNCTION("""COMPUTED_VALUE"""),44052.0)</f>
        <v>44052</v>
      </c>
      <c r="B118" s="235">
        <f>IFERROR(__xludf.DUMMYFUNCTION("""COMPUTED_VALUE"""),42.0)</f>
        <v>42</v>
      </c>
      <c r="C118" s="235">
        <f>IFERROR(__xludf.DUMMYFUNCTION("""COMPUTED_VALUE"""),95.0)</f>
        <v>95</v>
      </c>
      <c r="D118" s="235">
        <f>IFERROR(__xludf.DUMMYFUNCTION("""COMPUTED_VALUE"""),28986.0)</f>
        <v>28986</v>
      </c>
      <c r="E118" s="235">
        <f>IFERROR(__xludf.DUMMYFUNCTION("""COMPUTED_VALUE"""),1722.0)</f>
        <v>1722</v>
      </c>
      <c r="F118" s="172">
        <f>IFERROR(__xludf.DUMMYFUNCTION("""COMPUTED_VALUE"""),384426.0)</f>
        <v>384426</v>
      </c>
      <c r="G118" s="172">
        <f>IFERROR(__xludf.DUMMYFUNCTION("""COMPUTED_VALUE"""),1764.0)</f>
        <v>1764</v>
      </c>
      <c r="H118" s="172">
        <f>IFERROR(__xludf.DUMMYFUNCTION("""COMPUTED_VALUE"""),413412.0)</f>
        <v>413412</v>
      </c>
      <c r="I118" s="235">
        <f>IFERROR(__xludf.DUMMYFUNCTION("""COMPUTED_VALUE"""),35.0)</f>
        <v>35</v>
      </c>
      <c r="J118" s="235">
        <f>IFERROR(__xludf.DUMMYFUNCTION("""COMPUTED_VALUE"""),71.0)</f>
        <v>71</v>
      </c>
      <c r="K118" s="235">
        <f>IFERROR(__xludf.DUMMYFUNCTION("""COMPUTED_VALUE"""),19994.0)</f>
        <v>19994</v>
      </c>
      <c r="L118" s="235">
        <f>IFERROR(__xludf.DUMMYFUNCTION("""COMPUTED_VALUE"""),1067.0)</f>
        <v>1067</v>
      </c>
      <c r="M118" s="235">
        <f>IFERROR(__xludf.DUMMYFUNCTION("""COMPUTED_VALUE"""),204987.0)</f>
        <v>204987</v>
      </c>
      <c r="N118" s="235">
        <f>IFERROR(__xludf.DUMMYFUNCTION("""COMPUTED_VALUE"""),224981.0)</f>
        <v>224981</v>
      </c>
      <c r="O118" s="235">
        <f>IFERROR(__xludf.DUMMYFUNCTION("""COMPUTED_VALUE"""),8.0)</f>
        <v>8</v>
      </c>
      <c r="P118" s="235">
        <f>IFERROR(__xludf.DUMMYFUNCTION("""COMPUTED_VALUE"""),2366.0)</f>
        <v>2366</v>
      </c>
      <c r="Q118" s="235">
        <f>IFERROR(__xludf.DUMMYFUNCTION("""COMPUTED_VALUE"""),10.0)</f>
        <v>10</v>
      </c>
      <c r="R118" s="235">
        <f>IFERROR(__xludf.DUMMYFUNCTION("""COMPUTED_VALUE"""),1965.0)</f>
        <v>1965</v>
      </c>
      <c r="S118" s="235">
        <f>IFERROR(__xludf.DUMMYFUNCTION("""COMPUTED_VALUE"""),0.0)</f>
        <v>0</v>
      </c>
      <c r="T118" s="235">
        <f>IFERROR(__xludf.DUMMYFUNCTION("""COMPUTED_VALUE"""),322.0)</f>
        <v>322</v>
      </c>
      <c r="U118" s="235">
        <f>IFERROR(__xludf.DUMMYFUNCTION("""COMPUTED_VALUE"""),79.0)</f>
        <v>79</v>
      </c>
      <c r="V118" s="235">
        <f>IFERROR(__xludf.DUMMYFUNCTION("""COMPUTED_VALUE"""),76.0)</f>
        <v>76</v>
      </c>
      <c r="W118" s="235">
        <f>IFERROR(__xludf.DUMMYFUNCTION("""COMPUTED_VALUE"""),9.0)</f>
        <v>9</v>
      </c>
      <c r="X118" s="235">
        <f>IFERROR(__xludf.DUMMYFUNCTION("""COMPUTED_VALUE"""),4.0)</f>
        <v>4</v>
      </c>
      <c r="Y118" s="235">
        <f>IFERROR(__xludf.DUMMYFUNCTION("""COMPUTED_VALUE"""),0.0)</f>
        <v>0</v>
      </c>
      <c r="Z118" s="235">
        <f>IFERROR(__xludf.DUMMYFUNCTION("""COMPUTED_VALUE"""),1036.0)</f>
        <v>1036</v>
      </c>
    </row>
    <row r="119">
      <c r="A119" s="234">
        <f>IFERROR(__xludf.DUMMYFUNCTION("""COMPUTED_VALUE"""),44053.0)</f>
        <v>44053</v>
      </c>
      <c r="B119" s="235">
        <f>IFERROR(__xludf.DUMMYFUNCTION("""COMPUTED_VALUE"""),149.0)</f>
        <v>149</v>
      </c>
      <c r="C119" s="235">
        <f>IFERROR(__xludf.DUMMYFUNCTION("""COMPUTED_VALUE"""),105.0)</f>
        <v>105</v>
      </c>
      <c r="D119" s="235">
        <f>IFERROR(__xludf.DUMMYFUNCTION("""COMPUTED_VALUE"""),29135.0)</f>
        <v>29135</v>
      </c>
      <c r="E119" s="235">
        <f>IFERROR(__xludf.DUMMYFUNCTION("""COMPUTED_VALUE"""),4584.0)</f>
        <v>4584</v>
      </c>
      <c r="F119" s="172">
        <f>IFERROR(__xludf.DUMMYFUNCTION("""COMPUTED_VALUE"""),389010.0)</f>
        <v>389010</v>
      </c>
      <c r="G119" s="172">
        <f>IFERROR(__xludf.DUMMYFUNCTION("""COMPUTED_VALUE"""),4733.0)</f>
        <v>4733</v>
      </c>
      <c r="H119" s="172">
        <f>IFERROR(__xludf.DUMMYFUNCTION("""COMPUTED_VALUE"""),418145.0)</f>
        <v>418145</v>
      </c>
      <c r="I119" s="235">
        <f>IFERROR(__xludf.DUMMYFUNCTION("""COMPUTED_VALUE"""),113.0)</f>
        <v>113</v>
      </c>
      <c r="J119" s="235">
        <f>IFERROR(__xludf.DUMMYFUNCTION("""COMPUTED_VALUE"""),80.0)</f>
        <v>80</v>
      </c>
      <c r="K119" s="235">
        <f>IFERROR(__xludf.DUMMYFUNCTION("""COMPUTED_VALUE"""),20107.0)</f>
        <v>20107</v>
      </c>
      <c r="L119" s="235">
        <f>IFERROR(__xludf.DUMMYFUNCTION("""COMPUTED_VALUE"""),2014.0)</f>
        <v>2014</v>
      </c>
      <c r="M119" s="235">
        <f>IFERROR(__xludf.DUMMYFUNCTION("""COMPUTED_VALUE"""),207001.0)</f>
        <v>207001</v>
      </c>
      <c r="N119" s="235">
        <f>IFERROR(__xludf.DUMMYFUNCTION("""COMPUTED_VALUE"""),227108.0)</f>
        <v>227108</v>
      </c>
      <c r="O119" s="235">
        <f>IFERROR(__xludf.DUMMYFUNCTION("""COMPUTED_VALUE"""),11.0)</f>
        <v>11</v>
      </c>
      <c r="P119" s="235">
        <f>IFERROR(__xludf.DUMMYFUNCTION("""COMPUTED_VALUE"""),2377.0)</f>
        <v>2377</v>
      </c>
      <c r="Q119" s="235">
        <f>IFERROR(__xludf.DUMMYFUNCTION("""COMPUTED_VALUE"""),12.0)</f>
        <v>12</v>
      </c>
      <c r="R119" s="235">
        <f>IFERROR(__xludf.DUMMYFUNCTION("""COMPUTED_VALUE"""),1977.0)</f>
        <v>1977</v>
      </c>
      <c r="S119" s="235">
        <f>IFERROR(__xludf.DUMMYFUNCTION("""COMPUTED_VALUE"""),0.0)</f>
        <v>0</v>
      </c>
      <c r="T119" s="235">
        <f>IFERROR(__xludf.DUMMYFUNCTION("""COMPUTED_VALUE"""),322.0)</f>
        <v>322</v>
      </c>
      <c r="U119" s="235">
        <f>IFERROR(__xludf.DUMMYFUNCTION("""COMPUTED_VALUE"""),78.0)</f>
        <v>78</v>
      </c>
      <c r="V119" s="235">
        <f>IFERROR(__xludf.DUMMYFUNCTION("""COMPUTED_VALUE"""),79.0)</f>
        <v>79</v>
      </c>
      <c r="W119" s="235">
        <f>IFERROR(__xludf.DUMMYFUNCTION("""COMPUTED_VALUE"""),9.0)</f>
        <v>9</v>
      </c>
      <c r="X119" s="235">
        <f>IFERROR(__xludf.DUMMYFUNCTION("""COMPUTED_VALUE"""),4.0)</f>
        <v>4</v>
      </c>
      <c r="Y119" s="235">
        <f>IFERROR(__xludf.DUMMYFUNCTION("""COMPUTED_VALUE"""),1.0)</f>
        <v>1</v>
      </c>
      <c r="Z119" s="235">
        <f>IFERROR(__xludf.DUMMYFUNCTION("""COMPUTED_VALUE"""),1037.0)</f>
        <v>1037</v>
      </c>
    </row>
    <row r="120">
      <c r="A120" s="234">
        <f>IFERROR(__xludf.DUMMYFUNCTION("""COMPUTED_VALUE"""),44054.0)</f>
        <v>44054</v>
      </c>
      <c r="B120" s="235">
        <f>IFERROR(__xludf.DUMMYFUNCTION("""COMPUTED_VALUE"""),105.0)</f>
        <v>105</v>
      </c>
      <c r="C120" s="235">
        <f>IFERROR(__xludf.DUMMYFUNCTION("""COMPUTED_VALUE"""),99.0)</f>
        <v>99</v>
      </c>
      <c r="D120" s="235">
        <f>IFERROR(__xludf.DUMMYFUNCTION("""COMPUTED_VALUE"""),29240.0)</f>
        <v>29240</v>
      </c>
      <c r="E120" s="235">
        <f>IFERROR(__xludf.DUMMYFUNCTION("""COMPUTED_VALUE"""),4329.0)</f>
        <v>4329</v>
      </c>
      <c r="F120" s="172">
        <f>IFERROR(__xludf.DUMMYFUNCTION("""COMPUTED_VALUE"""),393339.0)</f>
        <v>393339</v>
      </c>
      <c r="G120" s="172">
        <f>IFERROR(__xludf.DUMMYFUNCTION("""COMPUTED_VALUE"""),4434.0)</f>
        <v>4434</v>
      </c>
      <c r="H120" s="172">
        <f>IFERROR(__xludf.DUMMYFUNCTION("""COMPUTED_VALUE"""),422579.0)</f>
        <v>422579</v>
      </c>
      <c r="I120" s="235">
        <f>IFERROR(__xludf.DUMMYFUNCTION("""COMPUTED_VALUE"""),92.0)</f>
        <v>92</v>
      </c>
      <c r="J120" s="235">
        <f>IFERROR(__xludf.DUMMYFUNCTION("""COMPUTED_VALUE"""),80.0)</f>
        <v>80</v>
      </c>
      <c r="K120" s="235">
        <f>IFERROR(__xludf.DUMMYFUNCTION("""COMPUTED_VALUE"""),20199.0)</f>
        <v>20199</v>
      </c>
      <c r="L120" s="235">
        <f>IFERROR(__xludf.DUMMYFUNCTION("""COMPUTED_VALUE"""),2255.0)</f>
        <v>2255</v>
      </c>
      <c r="M120" s="235">
        <f>IFERROR(__xludf.DUMMYFUNCTION("""COMPUTED_VALUE"""),209256.0)</f>
        <v>209256</v>
      </c>
      <c r="N120" s="235">
        <f>IFERROR(__xludf.DUMMYFUNCTION("""COMPUTED_VALUE"""),229455.0)</f>
        <v>229455</v>
      </c>
      <c r="O120" s="235">
        <f>IFERROR(__xludf.DUMMYFUNCTION("""COMPUTED_VALUE"""),6.0)</f>
        <v>6</v>
      </c>
      <c r="P120" s="235">
        <f>IFERROR(__xludf.DUMMYFUNCTION("""COMPUTED_VALUE"""),2383.0)</f>
        <v>2383</v>
      </c>
      <c r="Q120" s="235">
        <f>IFERROR(__xludf.DUMMYFUNCTION("""COMPUTED_VALUE"""),14.0)</f>
        <v>14</v>
      </c>
      <c r="R120" s="235">
        <f>IFERROR(__xludf.DUMMYFUNCTION("""COMPUTED_VALUE"""),1991.0)</f>
        <v>1991</v>
      </c>
      <c r="S120" s="235">
        <f>IFERROR(__xludf.DUMMYFUNCTION("""COMPUTED_VALUE"""),0.0)</f>
        <v>0</v>
      </c>
      <c r="T120" s="235">
        <f>IFERROR(__xludf.DUMMYFUNCTION("""COMPUTED_VALUE"""),322.0)</f>
        <v>322</v>
      </c>
      <c r="U120" s="235">
        <f>IFERROR(__xludf.DUMMYFUNCTION("""COMPUTED_VALUE"""),70.0)</f>
        <v>70</v>
      </c>
      <c r="V120" s="235">
        <f>IFERROR(__xludf.DUMMYFUNCTION("""COMPUTED_VALUE"""),76.0)</f>
        <v>76</v>
      </c>
      <c r="W120" s="235">
        <f>IFERROR(__xludf.DUMMYFUNCTION("""COMPUTED_VALUE"""),10.0)</f>
        <v>10</v>
      </c>
      <c r="X120" s="235">
        <f>IFERROR(__xludf.DUMMYFUNCTION("""COMPUTED_VALUE"""),4.0)</f>
        <v>4</v>
      </c>
      <c r="Y120" s="235">
        <f>IFERROR(__xludf.DUMMYFUNCTION("""COMPUTED_VALUE"""),3.0)</f>
        <v>3</v>
      </c>
      <c r="Z120" s="235">
        <f>IFERROR(__xludf.DUMMYFUNCTION("""COMPUTED_VALUE"""),1040.0)</f>
        <v>1040</v>
      </c>
    </row>
    <row r="121">
      <c r="A121" s="234">
        <f>IFERROR(__xludf.DUMMYFUNCTION("""COMPUTED_VALUE"""),44055.0)</f>
        <v>44055</v>
      </c>
      <c r="B121" s="235">
        <f>IFERROR(__xludf.DUMMYFUNCTION("""COMPUTED_VALUE"""),121.0)</f>
        <v>121</v>
      </c>
      <c r="C121" s="235">
        <f>IFERROR(__xludf.DUMMYFUNCTION("""COMPUTED_VALUE"""),125.0)</f>
        <v>125</v>
      </c>
      <c r="D121" s="235">
        <f>IFERROR(__xludf.DUMMYFUNCTION("""COMPUTED_VALUE"""),29361.0)</f>
        <v>29361</v>
      </c>
      <c r="E121" s="235">
        <f>IFERROR(__xludf.DUMMYFUNCTION("""COMPUTED_VALUE"""),5186.0)</f>
        <v>5186</v>
      </c>
      <c r="F121" s="172">
        <f>IFERROR(__xludf.DUMMYFUNCTION("""COMPUTED_VALUE"""),398525.0)</f>
        <v>398525</v>
      </c>
      <c r="G121" s="172">
        <f>IFERROR(__xludf.DUMMYFUNCTION("""COMPUTED_VALUE"""),5307.0)</f>
        <v>5307</v>
      </c>
      <c r="H121" s="172">
        <f>IFERROR(__xludf.DUMMYFUNCTION("""COMPUTED_VALUE"""),427886.0)</f>
        <v>427886</v>
      </c>
      <c r="I121" s="235">
        <f>IFERROR(__xludf.DUMMYFUNCTION("""COMPUTED_VALUE"""),101.0)</f>
        <v>101</v>
      </c>
      <c r="J121" s="235">
        <f>IFERROR(__xludf.DUMMYFUNCTION("""COMPUTED_VALUE"""),102.0)</f>
        <v>102</v>
      </c>
      <c r="K121" s="235">
        <f>IFERROR(__xludf.DUMMYFUNCTION("""COMPUTED_VALUE"""),20300.0)</f>
        <v>20300</v>
      </c>
      <c r="L121" s="235">
        <f>IFERROR(__xludf.DUMMYFUNCTION("""COMPUTED_VALUE"""),2618.0)</f>
        <v>2618</v>
      </c>
      <c r="M121" s="235">
        <f>IFERROR(__xludf.DUMMYFUNCTION("""COMPUTED_VALUE"""),211874.0)</f>
        <v>211874</v>
      </c>
      <c r="N121" s="235">
        <f>IFERROR(__xludf.DUMMYFUNCTION("""COMPUTED_VALUE"""),232174.0)</f>
        <v>232174</v>
      </c>
      <c r="O121" s="235">
        <f>IFERROR(__xludf.DUMMYFUNCTION("""COMPUTED_VALUE"""),8.0)</f>
        <v>8</v>
      </c>
      <c r="P121" s="235">
        <f>IFERROR(__xludf.DUMMYFUNCTION("""COMPUTED_VALUE"""),2391.0)</f>
        <v>2391</v>
      </c>
      <c r="Q121" s="235">
        <f>IFERROR(__xludf.DUMMYFUNCTION("""COMPUTED_VALUE"""),11.0)</f>
        <v>11</v>
      </c>
      <c r="R121" s="235">
        <f>IFERROR(__xludf.DUMMYFUNCTION("""COMPUTED_VALUE"""),2002.0)</f>
        <v>2002</v>
      </c>
      <c r="S121" s="235">
        <f>IFERROR(__xludf.DUMMYFUNCTION("""COMPUTED_VALUE"""),0.0)</f>
        <v>0</v>
      </c>
      <c r="T121" s="235">
        <f>IFERROR(__xludf.DUMMYFUNCTION("""COMPUTED_VALUE"""),322.0)</f>
        <v>322</v>
      </c>
      <c r="U121" s="235">
        <f>IFERROR(__xludf.DUMMYFUNCTION("""COMPUTED_VALUE"""),67.0)</f>
        <v>67</v>
      </c>
      <c r="V121" s="235">
        <f>IFERROR(__xludf.DUMMYFUNCTION("""COMPUTED_VALUE"""),72.0)</f>
        <v>72</v>
      </c>
      <c r="W121" s="235">
        <f>IFERROR(__xludf.DUMMYFUNCTION("""COMPUTED_VALUE"""),9.0)</f>
        <v>9</v>
      </c>
      <c r="X121" s="235">
        <f>IFERROR(__xludf.DUMMYFUNCTION("""COMPUTED_VALUE"""),3.0)</f>
        <v>3</v>
      </c>
      <c r="Y121" s="235">
        <f>IFERROR(__xludf.DUMMYFUNCTION("""COMPUTED_VALUE"""),1.0)</f>
        <v>1</v>
      </c>
      <c r="Z121" s="235">
        <f>IFERROR(__xludf.DUMMYFUNCTION("""COMPUTED_VALUE"""),1041.0)</f>
        <v>1041</v>
      </c>
    </row>
    <row r="122">
      <c r="A122" s="234">
        <f>IFERROR(__xludf.DUMMYFUNCTION("""COMPUTED_VALUE"""),44056.0)</f>
        <v>44056</v>
      </c>
      <c r="B122" s="235">
        <f>IFERROR(__xludf.DUMMYFUNCTION("""COMPUTED_VALUE"""),135.0)</f>
        <v>135</v>
      </c>
      <c r="C122" s="235">
        <f>IFERROR(__xludf.DUMMYFUNCTION("""COMPUTED_VALUE"""),120.0)</f>
        <v>120</v>
      </c>
      <c r="D122" s="235">
        <f>IFERROR(__xludf.DUMMYFUNCTION("""COMPUTED_VALUE"""),29496.0)</f>
        <v>29496</v>
      </c>
      <c r="E122" s="235">
        <f>IFERROR(__xludf.DUMMYFUNCTION("""COMPUTED_VALUE"""),4192.0)</f>
        <v>4192</v>
      </c>
      <c r="F122" s="172">
        <f>IFERROR(__xludf.DUMMYFUNCTION("""COMPUTED_VALUE"""),402717.0)</f>
        <v>402717</v>
      </c>
      <c r="G122" s="172">
        <f>IFERROR(__xludf.DUMMYFUNCTION("""COMPUTED_VALUE"""),4327.0)</f>
        <v>4327</v>
      </c>
      <c r="H122" s="172">
        <f>IFERROR(__xludf.DUMMYFUNCTION("""COMPUTED_VALUE"""),432213.0)</f>
        <v>432213</v>
      </c>
      <c r="I122" s="235">
        <f>IFERROR(__xludf.DUMMYFUNCTION("""COMPUTED_VALUE"""),95.0)</f>
        <v>95</v>
      </c>
      <c r="J122" s="235">
        <f>IFERROR(__xludf.DUMMYFUNCTION("""COMPUTED_VALUE"""),96.0)</f>
        <v>96</v>
      </c>
      <c r="K122" s="235">
        <f>IFERROR(__xludf.DUMMYFUNCTION("""COMPUTED_VALUE"""),20395.0)</f>
        <v>20395</v>
      </c>
      <c r="L122" s="235">
        <f>IFERROR(__xludf.DUMMYFUNCTION("""COMPUTED_VALUE"""),1894.0)</f>
        <v>1894</v>
      </c>
      <c r="M122" s="235">
        <f>IFERROR(__xludf.DUMMYFUNCTION("""COMPUTED_VALUE"""),213768.0)</f>
        <v>213768</v>
      </c>
      <c r="N122" s="235">
        <f>IFERROR(__xludf.DUMMYFUNCTION("""COMPUTED_VALUE"""),234163.0)</f>
        <v>234163</v>
      </c>
      <c r="O122" s="235">
        <f>IFERROR(__xludf.DUMMYFUNCTION("""COMPUTED_VALUE"""),13.0)</f>
        <v>13</v>
      </c>
      <c r="P122" s="235">
        <f>IFERROR(__xludf.DUMMYFUNCTION("""COMPUTED_VALUE"""),2404.0)</f>
        <v>2404</v>
      </c>
      <c r="Q122" s="235">
        <f>IFERROR(__xludf.DUMMYFUNCTION("""COMPUTED_VALUE"""),12.0)</f>
        <v>12</v>
      </c>
      <c r="R122" s="235">
        <f>IFERROR(__xludf.DUMMYFUNCTION("""COMPUTED_VALUE"""),2014.0)</f>
        <v>2014</v>
      </c>
      <c r="S122" s="235">
        <f>IFERROR(__xludf.DUMMYFUNCTION("""COMPUTED_VALUE"""),0.0)</f>
        <v>0</v>
      </c>
      <c r="T122" s="235">
        <f>IFERROR(__xludf.DUMMYFUNCTION("""COMPUTED_VALUE"""),322.0)</f>
        <v>322</v>
      </c>
      <c r="U122" s="235">
        <f>IFERROR(__xludf.DUMMYFUNCTION("""COMPUTED_VALUE"""),68.0)</f>
        <v>68</v>
      </c>
      <c r="V122" s="235">
        <f>IFERROR(__xludf.DUMMYFUNCTION("""COMPUTED_VALUE"""),68.0)</f>
        <v>68</v>
      </c>
      <c r="W122" s="235">
        <f>IFERROR(__xludf.DUMMYFUNCTION("""COMPUTED_VALUE"""),11.0)</f>
        <v>11</v>
      </c>
      <c r="X122" s="235">
        <f>IFERROR(__xludf.DUMMYFUNCTION("""COMPUTED_VALUE"""),3.0)</f>
        <v>3</v>
      </c>
      <c r="Y122" s="235">
        <f>IFERROR(__xludf.DUMMYFUNCTION("""COMPUTED_VALUE"""),0.0)</f>
        <v>0</v>
      </c>
      <c r="Z122" s="235">
        <f>IFERROR(__xludf.DUMMYFUNCTION("""COMPUTED_VALUE"""),1041.0)</f>
        <v>1041</v>
      </c>
    </row>
    <row r="123">
      <c r="A123" s="234">
        <f>IFERROR(__xludf.DUMMYFUNCTION("""COMPUTED_VALUE"""),44057.0)</f>
        <v>44057</v>
      </c>
      <c r="B123" s="235">
        <f>IFERROR(__xludf.DUMMYFUNCTION("""COMPUTED_VALUE"""),145.0)</f>
        <v>145</v>
      </c>
      <c r="C123" s="235">
        <f>IFERROR(__xludf.DUMMYFUNCTION("""COMPUTED_VALUE"""),134.0)</f>
        <v>134</v>
      </c>
      <c r="D123" s="235">
        <f>IFERROR(__xludf.DUMMYFUNCTION("""COMPUTED_VALUE"""),29641.0)</f>
        <v>29641</v>
      </c>
      <c r="E123" s="235">
        <f>IFERROR(__xludf.DUMMYFUNCTION("""COMPUTED_VALUE"""),5494.0)</f>
        <v>5494</v>
      </c>
      <c r="F123" s="172">
        <f>IFERROR(__xludf.DUMMYFUNCTION("""COMPUTED_VALUE"""),408211.0)</f>
        <v>408211</v>
      </c>
      <c r="G123" s="172">
        <f>IFERROR(__xludf.DUMMYFUNCTION("""COMPUTED_VALUE"""),5639.0)</f>
        <v>5639</v>
      </c>
      <c r="H123" s="172">
        <f>IFERROR(__xludf.DUMMYFUNCTION("""COMPUTED_VALUE"""),437852.0)</f>
        <v>437852</v>
      </c>
      <c r="I123" s="235">
        <f>IFERROR(__xludf.DUMMYFUNCTION("""COMPUTED_VALUE"""),99.0)</f>
        <v>99</v>
      </c>
      <c r="J123" s="235">
        <f>IFERROR(__xludf.DUMMYFUNCTION("""COMPUTED_VALUE"""),98.0)</f>
        <v>98</v>
      </c>
      <c r="K123" s="235">
        <f>IFERROR(__xludf.DUMMYFUNCTION("""COMPUTED_VALUE"""),20494.0)</f>
        <v>20494</v>
      </c>
      <c r="L123" s="235">
        <f>IFERROR(__xludf.DUMMYFUNCTION("""COMPUTED_VALUE"""),1968.0)</f>
        <v>1968</v>
      </c>
      <c r="M123" s="235">
        <f>IFERROR(__xludf.DUMMYFUNCTION("""COMPUTED_VALUE"""),215736.0)</f>
        <v>215736</v>
      </c>
      <c r="N123" s="235">
        <f>IFERROR(__xludf.DUMMYFUNCTION("""COMPUTED_VALUE"""),236230.0)</f>
        <v>236230</v>
      </c>
      <c r="O123" s="235">
        <f>IFERROR(__xludf.DUMMYFUNCTION("""COMPUTED_VALUE"""),13.0)</f>
        <v>13</v>
      </c>
      <c r="P123" s="235">
        <f>IFERROR(__xludf.DUMMYFUNCTION("""COMPUTED_VALUE"""),2417.0)</f>
        <v>2417</v>
      </c>
      <c r="Q123" s="235">
        <f>IFERROR(__xludf.DUMMYFUNCTION("""COMPUTED_VALUE"""),11.0)</f>
        <v>11</v>
      </c>
      <c r="R123" s="235">
        <f>IFERROR(__xludf.DUMMYFUNCTION("""COMPUTED_VALUE"""),2025.0)</f>
        <v>2025</v>
      </c>
      <c r="S123" s="235">
        <f>IFERROR(__xludf.DUMMYFUNCTION("""COMPUTED_VALUE"""),0.0)</f>
        <v>0</v>
      </c>
      <c r="T123" s="235">
        <f>IFERROR(__xludf.DUMMYFUNCTION("""COMPUTED_VALUE"""),322.0)</f>
        <v>322</v>
      </c>
      <c r="U123" s="235">
        <f>IFERROR(__xludf.DUMMYFUNCTION("""COMPUTED_VALUE"""),70.0)</f>
        <v>70</v>
      </c>
      <c r="V123" s="235">
        <f>IFERROR(__xludf.DUMMYFUNCTION("""COMPUTED_VALUE"""),68.0)</f>
        <v>68</v>
      </c>
      <c r="W123" s="235">
        <f>IFERROR(__xludf.DUMMYFUNCTION("""COMPUTED_VALUE"""),11.0)</f>
        <v>11</v>
      </c>
      <c r="X123" s="235">
        <f>IFERROR(__xludf.DUMMYFUNCTION("""COMPUTED_VALUE"""),4.0)</f>
        <v>4</v>
      </c>
      <c r="Y123" s="235">
        <f>IFERROR(__xludf.DUMMYFUNCTION("""COMPUTED_VALUE"""),3.0)</f>
        <v>3</v>
      </c>
      <c r="Z123" s="235">
        <f>IFERROR(__xludf.DUMMYFUNCTION("""COMPUTED_VALUE"""),1044.0)</f>
        <v>1044</v>
      </c>
    </row>
    <row r="124">
      <c r="A124" s="234">
        <f>IFERROR(__xludf.DUMMYFUNCTION("""COMPUTED_VALUE"""),44058.0)</f>
        <v>44058</v>
      </c>
      <c r="B124" s="235">
        <f>IFERROR(__xludf.DUMMYFUNCTION("""COMPUTED_VALUE"""),105.0)</f>
        <v>105</v>
      </c>
      <c r="C124" s="235">
        <f>IFERROR(__xludf.DUMMYFUNCTION("""COMPUTED_VALUE"""),128.0)</f>
        <v>128</v>
      </c>
      <c r="D124" s="235">
        <f>IFERROR(__xludf.DUMMYFUNCTION("""COMPUTED_VALUE"""),29746.0)</f>
        <v>29746</v>
      </c>
      <c r="E124" s="235">
        <f>IFERROR(__xludf.DUMMYFUNCTION("""COMPUTED_VALUE"""),4533.0)</f>
        <v>4533</v>
      </c>
      <c r="F124" s="172">
        <f>IFERROR(__xludf.DUMMYFUNCTION("""COMPUTED_VALUE"""),412744.0)</f>
        <v>412744</v>
      </c>
      <c r="G124" s="172">
        <f>IFERROR(__xludf.DUMMYFUNCTION("""COMPUTED_VALUE"""),4638.0)</f>
        <v>4638</v>
      </c>
      <c r="H124" s="172">
        <f>IFERROR(__xludf.DUMMYFUNCTION("""COMPUTED_VALUE"""),442490.0)</f>
        <v>442490</v>
      </c>
      <c r="I124" s="235">
        <f>IFERROR(__xludf.DUMMYFUNCTION("""COMPUTED_VALUE"""),88.0)</f>
        <v>88</v>
      </c>
      <c r="J124" s="235">
        <f>IFERROR(__xludf.DUMMYFUNCTION("""COMPUTED_VALUE"""),94.0)</f>
        <v>94</v>
      </c>
      <c r="K124" s="235">
        <f>IFERROR(__xludf.DUMMYFUNCTION("""COMPUTED_VALUE"""),20582.0)</f>
        <v>20582</v>
      </c>
      <c r="L124" s="235">
        <f>IFERROR(__xludf.DUMMYFUNCTION("""COMPUTED_VALUE"""),1683.0)</f>
        <v>1683</v>
      </c>
      <c r="M124" s="235">
        <f>IFERROR(__xludf.DUMMYFUNCTION("""COMPUTED_VALUE"""),217419.0)</f>
        <v>217419</v>
      </c>
      <c r="N124" s="235">
        <f>IFERROR(__xludf.DUMMYFUNCTION("""COMPUTED_VALUE"""),238001.0)</f>
        <v>238001</v>
      </c>
      <c r="O124" s="235">
        <f>IFERROR(__xludf.DUMMYFUNCTION("""COMPUTED_VALUE"""),9.0)</f>
        <v>9</v>
      </c>
      <c r="P124" s="235">
        <f>IFERROR(__xludf.DUMMYFUNCTION("""COMPUTED_VALUE"""),2426.0)</f>
        <v>2426</v>
      </c>
      <c r="Q124" s="235">
        <f>IFERROR(__xludf.DUMMYFUNCTION("""COMPUTED_VALUE"""),11.0)</f>
        <v>11</v>
      </c>
      <c r="R124" s="235">
        <f>IFERROR(__xludf.DUMMYFUNCTION("""COMPUTED_VALUE"""),2036.0)</f>
        <v>2036</v>
      </c>
      <c r="S124" s="235">
        <f>IFERROR(__xludf.DUMMYFUNCTION("""COMPUTED_VALUE"""),1.0)</f>
        <v>1</v>
      </c>
      <c r="T124" s="235">
        <f>IFERROR(__xludf.DUMMYFUNCTION("""COMPUTED_VALUE"""),323.0)</f>
        <v>323</v>
      </c>
      <c r="U124" s="235">
        <f>IFERROR(__xludf.DUMMYFUNCTION("""COMPUTED_VALUE"""),67.0)</f>
        <v>67</v>
      </c>
      <c r="V124" s="235">
        <f>IFERROR(__xludf.DUMMYFUNCTION("""COMPUTED_VALUE"""),68.0)</f>
        <v>68</v>
      </c>
      <c r="W124" s="235">
        <f>IFERROR(__xludf.DUMMYFUNCTION("""COMPUTED_VALUE"""),11.0)</f>
        <v>11</v>
      </c>
      <c r="X124" s="235">
        <f>IFERROR(__xludf.DUMMYFUNCTION("""COMPUTED_VALUE"""),5.0)</f>
        <v>5</v>
      </c>
      <c r="Y124" s="235">
        <f>IFERROR(__xludf.DUMMYFUNCTION("""COMPUTED_VALUE"""),0.0)</f>
        <v>0</v>
      </c>
      <c r="Z124" s="235">
        <f>IFERROR(__xludf.DUMMYFUNCTION("""COMPUTED_VALUE"""),1044.0)</f>
        <v>1044</v>
      </c>
    </row>
    <row r="125">
      <c r="A125" s="234">
        <f>IFERROR(__xludf.DUMMYFUNCTION("""COMPUTED_VALUE"""),44059.0)</f>
        <v>44059</v>
      </c>
      <c r="B125" s="235">
        <f>IFERROR(__xludf.DUMMYFUNCTION("""COMPUTED_VALUE"""),83.0)</f>
        <v>83</v>
      </c>
      <c r="C125" s="235">
        <f>IFERROR(__xludf.DUMMYFUNCTION("""COMPUTED_VALUE"""),111.0)</f>
        <v>111</v>
      </c>
      <c r="D125" s="235">
        <f>IFERROR(__xludf.DUMMYFUNCTION("""COMPUTED_VALUE"""),29829.0)</f>
        <v>29829</v>
      </c>
      <c r="E125" s="235">
        <f>IFERROR(__xludf.DUMMYFUNCTION("""COMPUTED_VALUE"""),2472.0)</f>
        <v>2472</v>
      </c>
      <c r="F125" s="172">
        <f>IFERROR(__xludf.DUMMYFUNCTION("""COMPUTED_VALUE"""),415216.0)</f>
        <v>415216</v>
      </c>
      <c r="G125" s="172">
        <f>IFERROR(__xludf.DUMMYFUNCTION("""COMPUTED_VALUE"""),2555.0)</f>
        <v>2555</v>
      </c>
      <c r="H125" s="172">
        <f>IFERROR(__xludf.DUMMYFUNCTION("""COMPUTED_VALUE"""),445045.0)</f>
        <v>445045</v>
      </c>
      <c r="I125" s="235">
        <f>IFERROR(__xludf.DUMMYFUNCTION("""COMPUTED_VALUE"""),70.0)</f>
        <v>70</v>
      </c>
      <c r="J125" s="235">
        <f>IFERROR(__xludf.DUMMYFUNCTION("""COMPUTED_VALUE"""),86.0)</f>
        <v>86</v>
      </c>
      <c r="K125" s="235">
        <f>IFERROR(__xludf.DUMMYFUNCTION("""COMPUTED_VALUE"""),20652.0)</f>
        <v>20652</v>
      </c>
      <c r="L125" s="235">
        <f>IFERROR(__xludf.DUMMYFUNCTION("""COMPUTED_VALUE"""),957.0)</f>
        <v>957</v>
      </c>
      <c r="M125" s="235">
        <f>IFERROR(__xludf.DUMMYFUNCTION("""COMPUTED_VALUE"""),218376.0)</f>
        <v>218376</v>
      </c>
      <c r="N125" s="235">
        <f>IFERROR(__xludf.DUMMYFUNCTION("""COMPUTED_VALUE"""),239028.0)</f>
        <v>239028</v>
      </c>
      <c r="O125" s="235">
        <f>IFERROR(__xludf.DUMMYFUNCTION("""COMPUTED_VALUE"""),7.0)</f>
        <v>7</v>
      </c>
      <c r="P125" s="235">
        <f>IFERROR(__xludf.DUMMYFUNCTION("""COMPUTED_VALUE"""),2433.0)</f>
        <v>2433</v>
      </c>
      <c r="Q125" s="235">
        <f>IFERROR(__xludf.DUMMYFUNCTION("""COMPUTED_VALUE"""),6.0)</f>
        <v>6</v>
      </c>
      <c r="R125" s="235">
        <f>IFERROR(__xludf.DUMMYFUNCTION("""COMPUTED_VALUE"""),2042.0)</f>
        <v>2042</v>
      </c>
      <c r="S125" s="235">
        <f>IFERROR(__xludf.DUMMYFUNCTION("""COMPUTED_VALUE"""),4.0)</f>
        <v>4</v>
      </c>
      <c r="T125" s="235">
        <f>IFERROR(__xludf.DUMMYFUNCTION("""COMPUTED_VALUE"""),327.0)</f>
        <v>327</v>
      </c>
      <c r="U125" s="235">
        <f>IFERROR(__xludf.DUMMYFUNCTION("""COMPUTED_VALUE"""),64.0)</f>
        <v>64</v>
      </c>
      <c r="V125" s="235">
        <f>IFERROR(__xludf.DUMMYFUNCTION("""COMPUTED_VALUE"""),67.0)</f>
        <v>67</v>
      </c>
      <c r="W125" s="235">
        <f>IFERROR(__xludf.DUMMYFUNCTION("""COMPUTED_VALUE"""),8.0)</f>
        <v>8</v>
      </c>
      <c r="X125" s="235">
        <f>IFERROR(__xludf.DUMMYFUNCTION("""COMPUTED_VALUE"""),4.0)</f>
        <v>4</v>
      </c>
      <c r="Y125" s="235">
        <f>IFERROR(__xludf.DUMMYFUNCTION("""COMPUTED_VALUE"""),6.0)</f>
        <v>6</v>
      </c>
      <c r="Z125" s="235">
        <f>IFERROR(__xludf.DUMMYFUNCTION("""COMPUTED_VALUE"""),1050.0)</f>
        <v>1050</v>
      </c>
    </row>
    <row r="126">
      <c r="A126" s="234">
        <f>IFERROR(__xludf.DUMMYFUNCTION("""COMPUTED_VALUE"""),44060.0)</f>
        <v>44060</v>
      </c>
      <c r="B126" s="235">
        <f>IFERROR(__xludf.DUMMYFUNCTION("""COMPUTED_VALUE"""),106.0)</f>
        <v>106</v>
      </c>
      <c r="C126" s="235">
        <f>IFERROR(__xludf.DUMMYFUNCTION("""COMPUTED_VALUE"""),98.0)</f>
        <v>98</v>
      </c>
      <c r="D126" s="235">
        <f>IFERROR(__xludf.DUMMYFUNCTION("""COMPUTED_VALUE"""),29935.0)</f>
        <v>29935</v>
      </c>
      <c r="E126" s="235">
        <f>IFERROR(__xludf.DUMMYFUNCTION("""COMPUTED_VALUE"""),4570.0)</f>
        <v>4570</v>
      </c>
      <c r="F126" s="172">
        <f>IFERROR(__xludf.DUMMYFUNCTION("""COMPUTED_VALUE"""),419786.0)</f>
        <v>419786</v>
      </c>
      <c r="G126" s="172">
        <f>IFERROR(__xludf.DUMMYFUNCTION("""COMPUTED_VALUE"""),4676.0)</f>
        <v>4676</v>
      </c>
      <c r="H126" s="172">
        <f>IFERROR(__xludf.DUMMYFUNCTION("""COMPUTED_VALUE"""),449721.0)</f>
        <v>449721</v>
      </c>
      <c r="I126" s="235">
        <f>IFERROR(__xludf.DUMMYFUNCTION("""COMPUTED_VALUE"""),87.0)</f>
        <v>87</v>
      </c>
      <c r="J126" s="235">
        <f>IFERROR(__xludf.DUMMYFUNCTION("""COMPUTED_VALUE"""),82.0)</f>
        <v>82</v>
      </c>
      <c r="K126" s="235">
        <f>IFERROR(__xludf.DUMMYFUNCTION("""COMPUTED_VALUE"""),20739.0)</f>
        <v>20739</v>
      </c>
      <c r="L126" s="235">
        <f>IFERROR(__xludf.DUMMYFUNCTION("""COMPUTED_VALUE"""),2382.0)</f>
        <v>2382</v>
      </c>
      <c r="M126" s="235">
        <f>IFERROR(__xludf.DUMMYFUNCTION("""COMPUTED_VALUE"""),220758.0)</f>
        <v>220758</v>
      </c>
      <c r="N126" s="235">
        <f>IFERROR(__xludf.DUMMYFUNCTION("""COMPUTED_VALUE"""),241497.0)</f>
        <v>241497</v>
      </c>
      <c r="O126" s="235">
        <f>IFERROR(__xludf.DUMMYFUNCTION("""COMPUTED_VALUE"""),10.0)</f>
        <v>10</v>
      </c>
      <c r="P126" s="235">
        <f>IFERROR(__xludf.DUMMYFUNCTION("""COMPUTED_VALUE"""),2443.0)</f>
        <v>2443</v>
      </c>
      <c r="Q126" s="235">
        <f>IFERROR(__xludf.DUMMYFUNCTION("""COMPUTED_VALUE"""),7.0)</f>
        <v>7</v>
      </c>
      <c r="R126" s="235">
        <f>IFERROR(__xludf.DUMMYFUNCTION("""COMPUTED_VALUE"""),2049.0)</f>
        <v>2049</v>
      </c>
      <c r="S126" s="235">
        <f>IFERROR(__xludf.DUMMYFUNCTION("""COMPUTED_VALUE"""),0.0)</f>
        <v>0</v>
      </c>
      <c r="T126" s="235">
        <f>IFERROR(__xludf.DUMMYFUNCTION("""COMPUTED_VALUE"""),327.0)</f>
        <v>327</v>
      </c>
      <c r="U126" s="235">
        <f>IFERROR(__xludf.DUMMYFUNCTION("""COMPUTED_VALUE"""),67.0)</f>
        <v>67</v>
      </c>
      <c r="V126" s="235">
        <f>IFERROR(__xludf.DUMMYFUNCTION("""COMPUTED_VALUE"""),66.0)</f>
        <v>66</v>
      </c>
      <c r="W126" s="235">
        <f>IFERROR(__xludf.DUMMYFUNCTION("""COMPUTED_VALUE"""),8.0)</f>
        <v>8</v>
      </c>
      <c r="X126" s="235">
        <f>IFERROR(__xludf.DUMMYFUNCTION("""COMPUTED_VALUE"""),5.0)</f>
        <v>5</v>
      </c>
      <c r="Y126" s="235">
        <f>IFERROR(__xludf.DUMMYFUNCTION("""COMPUTED_VALUE"""),2.0)</f>
        <v>2</v>
      </c>
      <c r="Z126" s="235">
        <f>IFERROR(__xludf.DUMMYFUNCTION("""COMPUTED_VALUE"""),1052.0)</f>
        <v>1052</v>
      </c>
    </row>
    <row r="127">
      <c r="A127" s="234">
        <f>IFERROR(__xludf.DUMMYFUNCTION("""COMPUTED_VALUE"""),44061.0)</f>
        <v>44061</v>
      </c>
      <c r="B127" s="235">
        <f>IFERROR(__xludf.DUMMYFUNCTION("""COMPUTED_VALUE"""),128.0)</f>
        <v>128</v>
      </c>
      <c r="C127" s="235">
        <f>IFERROR(__xludf.DUMMYFUNCTION("""COMPUTED_VALUE"""),106.0)</f>
        <v>106</v>
      </c>
      <c r="D127" s="235">
        <f>IFERROR(__xludf.DUMMYFUNCTION("""COMPUTED_VALUE"""),30063.0)</f>
        <v>30063</v>
      </c>
      <c r="E127" s="235">
        <f>IFERROR(__xludf.DUMMYFUNCTION("""COMPUTED_VALUE"""),4904.0)</f>
        <v>4904</v>
      </c>
      <c r="F127" s="172">
        <f>IFERROR(__xludf.DUMMYFUNCTION("""COMPUTED_VALUE"""),424690.0)</f>
        <v>424690</v>
      </c>
      <c r="G127" s="172">
        <f>IFERROR(__xludf.DUMMYFUNCTION("""COMPUTED_VALUE"""),5032.0)</f>
        <v>5032</v>
      </c>
      <c r="H127" s="172">
        <f>IFERROR(__xludf.DUMMYFUNCTION("""COMPUTED_VALUE"""),454753.0)</f>
        <v>454753</v>
      </c>
      <c r="I127" s="235">
        <f>IFERROR(__xludf.DUMMYFUNCTION("""COMPUTED_VALUE"""),94.0)</f>
        <v>94</v>
      </c>
      <c r="J127" s="235">
        <f>IFERROR(__xludf.DUMMYFUNCTION("""COMPUTED_VALUE"""),84.0)</f>
        <v>84</v>
      </c>
      <c r="K127" s="235">
        <f>IFERROR(__xludf.DUMMYFUNCTION("""COMPUTED_VALUE"""),20833.0)</f>
        <v>20833</v>
      </c>
      <c r="L127" s="235">
        <f>IFERROR(__xludf.DUMMYFUNCTION("""COMPUTED_VALUE"""),2740.0)</f>
        <v>2740</v>
      </c>
      <c r="M127" s="235">
        <f>IFERROR(__xludf.DUMMYFUNCTION("""COMPUTED_VALUE"""),223498.0)</f>
        <v>223498</v>
      </c>
      <c r="N127" s="235">
        <f>IFERROR(__xludf.DUMMYFUNCTION("""COMPUTED_VALUE"""),244331.0)</f>
        <v>244331</v>
      </c>
      <c r="O127" s="235">
        <f>IFERROR(__xludf.DUMMYFUNCTION("""COMPUTED_VALUE"""),11.0)</f>
        <v>11</v>
      </c>
      <c r="P127" s="235">
        <f>IFERROR(__xludf.DUMMYFUNCTION("""COMPUTED_VALUE"""),2454.0)</f>
        <v>2454</v>
      </c>
      <c r="Q127" s="235">
        <f>IFERROR(__xludf.DUMMYFUNCTION("""COMPUTED_VALUE"""),9.0)</f>
        <v>9</v>
      </c>
      <c r="R127" s="235">
        <f>IFERROR(__xludf.DUMMYFUNCTION("""COMPUTED_VALUE"""),2058.0)</f>
        <v>2058</v>
      </c>
      <c r="S127" s="235">
        <f>IFERROR(__xludf.DUMMYFUNCTION("""COMPUTED_VALUE"""),1.0)</f>
        <v>1</v>
      </c>
      <c r="T127" s="235">
        <f>IFERROR(__xludf.DUMMYFUNCTION("""COMPUTED_VALUE"""),328.0)</f>
        <v>328</v>
      </c>
      <c r="U127" s="235">
        <f>IFERROR(__xludf.DUMMYFUNCTION("""COMPUTED_VALUE"""),68.0)</f>
        <v>68</v>
      </c>
      <c r="V127" s="235">
        <f>IFERROR(__xludf.DUMMYFUNCTION("""COMPUTED_VALUE"""),66.0)</f>
        <v>66</v>
      </c>
      <c r="W127" s="235">
        <f>IFERROR(__xludf.DUMMYFUNCTION("""COMPUTED_VALUE"""),8.0)</f>
        <v>8</v>
      </c>
      <c r="X127" s="235">
        <f>IFERROR(__xludf.DUMMYFUNCTION("""COMPUTED_VALUE"""),4.0)</f>
        <v>4</v>
      </c>
      <c r="Y127" s="235">
        <f>IFERROR(__xludf.DUMMYFUNCTION("""COMPUTED_VALUE"""),5.0)</f>
        <v>5</v>
      </c>
      <c r="Z127" s="235">
        <f>IFERROR(__xludf.DUMMYFUNCTION("""COMPUTED_VALUE"""),1057.0)</f>
        <v>1057</v>
      </c>
    </row>
    <row r="128">
      <c r="A128" s="234">
        <f>IFERROR(__xludf.DUMMYFUNCTION("""COMPUTED_VALUE"""),44062.0)</f>
        <v>44062</v>
      </c>
      <c r="B128" s="235">
        <f>IFERROR(__xludf.DUMMYFUNCTION("""COMPUTED_VALUE"""),113.0)</f>
        <v>113</v>
      </c>
      <c r="C128" s="235">
        <f>IFERROR(__xludf.DUMMYFUNCTION("""COMPUTED_VALUE"""),116.0)</f>
        <v>116</v>
      </c>
      <c r="D128" s="235">
        <f>IFERROR(__xludf.DUMMYFUNCTION("""COMPUTED_VALUE"""),30176.0)</f>
        <v>30176</v>
      </c>
      <c r="E128" s="235">
        <f>IFERROR(__xludf.DUMMYFUNCTION("""COMPUTED_VALUE"""),5065.0)</f>
        <v>5065</v>
      </c>
      <c r="F128" s="172">
        <f>IFERROR(__xludf.DUMMYFUNCTION("""COMPUTED_VALUE"""),429755.0)</f>
        <v>429755</v>
      </c>
      <c r="G128" s="172">
        <f>IFERROR(__xludf.DUMMYFUNCTION("""COMPUTED_VALUE"""),5178.0)</f>
        <v>5178</v>
      </c>
      <c r="H128" s="172">
        <f>IFERROR(__xludf.DUMMYFUNCTION("""COMPUTED_VALUE"""),459931.0)</f>
        <v>459931</v>
      </c>
      <c r="I128" s="235">
        <f>IFERROR(__xludf.DUMMYFUNCTION("""COMPUTED_VALUE"""),90.0)</f>
        <v>90</v>
      </c>
      <c r="J128" s="235">
        <f>IFERROR(__xludf.DUMMYFUNCTION("""COMPUTED_VALUE"""),90.0)</f>
        <v>90</v>
      </c>
      <c r="K128" s="235">
        <f>IFERROR(__xludf.DUMMYFUNCTION("""COMPUTED_VALUE"""),20923.0)</f>
        <v>20923</v>
      </c>
      <c r="L128" s="235">
        <f>IFERROR(__xludf.DUMMYFUNCTION("""COMPUTED_VALUE"""),2630.0)</f>
        <v>2630</v>
      </c>
      <c r="M128" s="235">
        <f>IFERROR(__xludf.DUMMYFUNCTION("""COMPUTED_VALUE"""),226128.0)</f>
        <v>226128</v>
      </c>
      <c r="N128" s="235">
        <f>IFERROR(__xludf.DUMMYFUNCTION("""COMPUTED_VALUE"""),247051.0)</f>
        <v>247051</v>
      </c>
      <c r="O128" s="235">
        <f>IFERROR(__xludf.DUMMYFUNCTION("""COMPUTED_VALUE"""),8.0)</f>
        <v>8</v>
      </c>
      <c r="P128" s="235">
        <f>IFERROR(__xludf.DUMMYFUNCTION("""COMPUTED_VALUE"""),2462.0)</f>
        <v>2462</v>
      </c>
      <c r="Q128" s="235">
        <f>IFERROR(__xludf.DUMMYFUNCTION("""COMPUTED_VALUE"""),9.0)</f>
        <v>9</v>
      </c>
      <c r="R128" s="235">
        <f>IFERROR(__xludf.DUMMYFUNCTION("""COMPUTED_VALUE"""),2067.0)</f>
        <v>2067</v>
      </c>
      <c r="S128" s="235">
        <f>IFERROR(__xludf.DUMMYFUNCTION("""COMPUTED_VALUE"""),1.0)</f>
        <v>1</v>
      </c>
      <c r="T128" s="235">
        <f>IFERROR(__xludf.DUMMYFUNCTION("""COMPUTED_VALUE"""),329.0)</f>
        <v>329</v>
      </c>
      <c r="U128" s="235">
        <f>IFERROR(__xludf.DUMMYFUNCTION("""COMPUTED_VALUE"""),66.0)</f>
        <v>66</v>
      </c>
      <c r="V128" s="235">
        <f>IFERROR(__xludf.DUMMYFUNCTION("""COMPUTED_VALUE"""),67.0)</f>
        <v>67</v>
      </c>
      <c r="W128" s="235">
        <f>IFERROR(__xludf.DUMMYFUNCTION("""COMPUTED_VALUE"""),9.0)</f>
        <v>9</v>
      </c>
      <c r="X128" s="235">
        <f>IFERROR(__xludf.DUMMYFUNCTION("""COMPUTED_VALUE"""),5.0)</f>
        <v>5</v>
      </c>
      <c r="Y128" s="235">
        <f>IFERROR(__xludf.DUMMYFUNCTION("""COMPUTED_VALUE"""),0.0)</f>
        <v>0</v>
      </c>
      <c r="Z128" s="235">
        <f>IFERROR(__xludf.DUMMYFUNCTION("""COMPUTED_VALUE"""),1057.0)</f>
        <v>1057</v>
      </c>
    </row>
    <row r="129">
      <c r="A129" s="234">
        <f>IFERROR(__xludf.DUMMYFUNCTION("""COMPUTED_VALUE"""),44063.0)</f>
        <v>44063</v>
      </c>
      <c r="B129" s="235">
        <f>IFERROR(__xludf.DUMMYFUNCTION("""COMPUTED_VALUE"""),173.0)</f>
        <v>173</v>
      </c>
      <c r="C129" s="235">
        <f>IFERROR(__xludf.DUMMYFUNCTION("""COMPUTED_VALUE"""),138.0)</f>
        <v>138</v>
      </c>
      <c r="D129" s="235">
        <f>IFERROR(__xludf.DUMMYFUNCTION("""COMPUTED_VALUE"""),30349.0)</f>
        <v>30349</v>
      </c>
      <c r="E129" s="235">
        <f>IFERROR(__xludf.DUMMYFUNCTION("""COMPUTED_VALUE"""),7405.0)</f>
        <v>7405</v>
      </c>
      <c r="F129" s="172">
        <f>IFERROR(__xludf.DUMMYFUNCTION("""COMPUTED_VALUE"""),437160.0)</f>
        <v>437160</v>
      </c>
      <c r="G129" s="172">
        <f>IFERROR(__xludf.DUMMYFUNCTION("""COMPUTED_VALUE"""),7578.0)</f>
        <v>7578</v>
      </c>
      <c r="H129" s="172">
        <f>IFERROR(__xludf.DUMMYFUNCTION("""COMPUTED_VALUE"""),467509.0)</f>
        <v>467509</v>
      </c>
      <c r="I129" s="235">
        <f>IFERROR(__xludf.DUMMYFUNCTION("""COMPUTED_VALUE"""),139.0)</f>
        <v>139</v>
      </c>
      <c r="J129" s="235">
        <f>IFERROR(__xludf.DUMMYFUNCTION("""COMPUTED_VALUE"""),108.0)</f>
        <v>108</v>
      </c>
      <c r="K129" s="235">
        <f>IFERROR(__xludf.DUMMYFUNCTION("""COMPUTED_VALUE"""),21062.0)</f>
        <v>21062</v>
      </c>
      <c r="L129" s="235">
        <f>IFERROR(__xludf.DUMMYFUNCTION("""COMPUTED_VALUE"""),3509.0)</f>
        <v>3509</v>
      </c>
      <c r="M129" s="235">
        <f>IFERROR(__xludf.DUMMYFUNCTION("""COMPUTED_VALUE"""),229637.0)</f>
        <v>229637</v>
      </c>
      <c r="N129" s="235">
        <f>IFERROR(__xludf.DUMMYFUNCTION("""COMPUTED_VALUE"""),250699.0)</f>
        <v>250699</v>
      </c>
      <c r="O129" s="235">
        <f>IFERROR(__xludf.DUMMYFUNCTION("""COMPUTED_VALUE"""),12.0)</f>
        <v>12</v>
      </c>
      <c r="P129" s="235">
        <f>IFERROR(__xludf.DUMMYFUNCTION("""COMPUTED_VALUE"""),2474.0)</f>
        <v>2474</v>
      </c>
      <c r="Q129" s="235">
        <f>IFERROR(__xludf.DUMMYFUNCTION("""COMPUTED_VALUE"""),6.0)</f>
        <v>6</v>
      </c>
      <c r="R129" s="235">
        <f>IFERROR(__xludf.DUMMYFUNCTION("""COMPUTED_VALUE"""),2073.0)</f>
        <v>2073</v>
      </c>
      <c r="S129" s="235">
        <f>IFERROR(__xludf.DUMMYFUNCTION("""COMPUTED_VALUE"""),2.0)</f>
        <v>2</v>
      </c>
      <c r="T129" s="235">
        <f>IFERROR(__xludf.DUMMYFUNCTION("""COMPUTED_VALUE"""),331.0)</f>
        <v>331</v>
      </c>
      <c r="U129" s="235">
        <f>IFERROR(__xludf.DUMMYFUNCTION("""COMPUTED_VALUE"""),70.0)</f>
        <v>70</v>
      </c>
      <c r="V129" s="235">
        <f>IFERROR(__xludf.DUMMYFUNCTION("""COMPUTED_VALUE"""),68.0)</f>
        <v>68</v>
      </c>
      <c r="W129" s="235">
        <f>IFERROR(__xludf.DUMMYFUNCTION("""COMPUTED_VALUE"""),10.0)</f>
        <v>10</v>
      </c>
      <c r="X129" s="235">
        <f>IFERROR(__xludf.DUMMYFUNCTION("""COMPUTED_VALUE"""),5.0)</f>
        <v>5</v>
      </c>
      <c r="Y129" s="235">
        <f>IFERROR(__xludf.DUMMYFUNCTION("""COMPUTED_VALUE"""),3.0)</f>
        <v>3</v>
      </c>
      <c r="Z129" s="235">
        <f>IFERROR(__xludf.DUMMYFUNCTION("""COMPUTED_VALUE"""),1060.0)</f>
        <v>1060</v>
      </c>
    </row>
    <row r="130">
      <c r="A130" s="234">
        <f>IFERROR(__xludf.DUMMYFUNCTION("""COMPUTED_VALUE"""),44064.0)</f>
        <v>44064</v>
      </c>
      <c r="B130" s="235">
        <f>IFERROR(__xludf.DUMMYFUNCTION("""COMPUTED_VALUE"""),151.0)</f>
        <v>151</v>
      </c>
      <c r="C130" s="235">
        <f>IFERROR(__xludf.DUMMYFUNCTION("""COMPUTED_VALUE"""),146.0)</f>
        <v>146</v>
      </c>
      <c r="D130" s="235">
        <f>IFERROR(__xludf.DUMMYFUNCTION("""COMPUTED_VALUE"""),30500.0)</f>
        <v>30500</v>
      </c>
      <c r="E130" s="235">
        <f>IFERROR(__xludf.DUMMYFUNCTION("""COMPUTED_VALUE"""),6572.0)</f>
        <v>6572</v>
      </c>
      <c r="F130" s="172">
        <f>IFERROR(__xludf.DUMMYFUNCTION("""COMPUTED_VALUE"""),443732.0)</f>
        <v>443732</v>
      </c>
      <c r="G130" s="172">
        <f>IFERROR(__xludf.DUMMYFUNCTION("""COMPUTED_VALUE"""),6723.0)</f>
        <v>6723</v>
      </c>
      <c r="H130" s="172">
        <f>IFERROR(__xludf.DUMMYFUNCTION("""COMPUTED_VALUE"""),474232.0)</f>
        <v>474232</v>
      </c>
      <c r="I130" s="235">
        <f>IFERROR(__xludf.DUMMYFUNCTION("""COMPUTED_VALUE"""),125.0)</f>
        <v>125</v>
      </c>
      <c r="J130" s="235">
        <f>IFERROR(__xludf.DUMMYFUNCTION("""COMPUTED_VALUE"""),118.0)</f>
        <v>118</v>
      </c>
      <c r="K130" s="235">
        <f>IFERROR(__xludf.DUMMYFUNCTION("""COMPUTED_VALUE"""),21187.0)</f>
        <v>21187</v>
      </c>
      <c r="L130" s="235">
        <f>IFERROR(__xludf.DUMMYFUNCTION("""COMPUTED_VALUE"""),2939.0)</f>
        <v>2939</v>
      </c>
      <c r="M130" s="235">
        <f>IFERROR(__xludf.DUMMYFUNCTION("""COMPUTED_VALUE"""),232576.0)</f>
        <v>232576</v>
      </c>
      <c r="N130" s="235">
        <f>IFERROR(__xludf.DUMMYFUNCTION("""COMPUTED_VALUE"""),253763.0)</f>
        <v>253763</v>
      </c>
      <c r="O130" s="235">
        <f>IFERROR(__xludf.DUMMYFUNCTION("""COMPUTED_VALUE"""),8.0)</f>
        <v>8</v>
      </c>
      <c r="P130" s="235">
        <f>IFERROR(__xludf.DUMMYFUNCTION("""COMPUTED_VALUE"""),2482.0)</f>
        <v>2482</v>
      </c>
      <c r="Q130" s="235">
        <f>IFERROR(__xludf.DUMMYFUNCTION("""COMPUTED_VALUE"""),5.0)</f>
        <v>5</v>
      </c>
      <c r="R130" s="235">
        <f>IFERROR(__xludf.DUMMYFUNCTION("""COMPUTED_VALUE"""),2078.0)</f>
        <v>2078</v>
      </c>
      <c r="S130" s="235">
        <f>IFERROR(__xludf.DUMMYFUNCTION("""COMPUTED_VALUE"""),1.0)</f>
        <v>1</v>
      </c>
      <c r="T130" s="235">
        <f>IFERROR(__xludf.DUMMYFUNCTION("""COMPUTED_VALUE"""),332.0)</f>
        <v>332</v>
      </c>
      <c r="U130" s="235">
        <f>IFERROR(__xludf.DUMMYFUNCTION("""COMPUTED_VALUE"""),72.0)</f>
        <v>72</v>
      </c>
      <c r="V130" s="235">
        <f>IFERROR(__xludf.DUMMYFUNCTION("""COMPUTED_VALUE"""),69.0)</f>
        <v>69</v>
      </c>
      <c r="W130" s="235">
        <f>IFERROR(__xludf.DUMMYFUNCTION("""COMPUTED_VALUE"""),9.0)</f>
        <v>9</v>
      </c>
      <c r="X130" s="235">
        <f>IFERROR(__xludf.DUMMYFUNCTION("""COMPUTED_VALUE"""),4.0)</f>
        <v>4</v>
      </c>
      <c r="Y130" s="235">
        <f>IFERROR(__xludf.DUMMYFUNCTION("""COMPUTED_VALUE"""),2.0)</f>
        <v>2</v>
      </c>
      <c r="Z130" s="235">
        <f>IFERROR(__xludf.DUMMYFUNCTION("""COMPUTED_VALUE"""),1062.0)</f>
        <v>1062</v>
      </c>
    </row>
    <row r="131">
      <c r="A131" s="234">
        <f>IFERROR(__xludf.DUMMYFUNCTION("""COMPUTED_VALUE"""),44065.0)</f>
        <v>44065</v>
      </c>
      <c r="B131" s="235">
        <f>IFERROR(__xludf.DUMMYFUNCTION("""COMPUTED_VALUE"""),96.0)</f>
        <v>96</v>
      </c>
      <c r="C131" s="235">
        <f>IFERROR(__xludf.DUMMYFUNCTION("""COMPUTED_VALUE"""),140.0)</f>
        <v>140</v>
      </c>
      <c r="D131" s="235">
        <f>IFERROR(__xludf.DUMMYFUNCTION("""COMPUTED_VALUE"""),30596.0)</f>
        <v>30596</v>
      </c>
      <c r="E131" s="235">
        <f>IFERROR(__xludf.DUMMYFUNCTION("""COMPUTED_VALUE"""),5547.0)</f>
        <v>5547</v>
      </c>
      <c r="F131" s="172">
        <f>IFERROR(__xludf.DUMMYFUNCTION("""COMPUTED_VALUE"""),449279.0)</f>
        <v>449279</v>
      </c>
      <c r="G131" s="172">
        <f>IFERROR(__xludf.DUMMYFUNCTION("""COMPUTED_VALUE"""),5643.0)</f>
        <v>5643</v>
      </c>
      <c r="H131" s="172">
        <f>IFERROR(__xludf.DUMMYFUNCTION("""COMPUTED_VALUE"""),479875.0)</f>
        <v>479875</v>
      </c>
      <c r="I131" s="235">
        <f>IFERROR(__xludf.DUMMYFUNCTION("""COMPUTED_VALUE"""),84.0)</f>
        <v>84</v>
      </c>
      <c r="J131" s="235">
        <f>IFERROR(__xludf.DUMMYFUNCTION("""COMPUTED_VALUE"""),116.0)</f>
        <v>116</v>
      </c>
      <c r="K131" s="235">
        <f>IFERROR(__xludf.DUMMYFUNCTION("""COMPUTED_VALUE"""),21271.0)</f>
        <v>21271</v>
      </c>
      <c r="L131" s="235">
        <f>IFERROR(__xludf.DUMMYFUNCTION("""COMPUTED_VALUE"""),2597.0)</f>
        <v>2597</v>
      </c>
      <c r="M131" s="235">
        <f>IFERROR(__xludf.DUMMYFUNCTION("""COMPUTED_VALUE"""),235173.0)</f>
        <v>235173</v>
      </c>
      <c r="N131" s="235">
        <f>IFERROR(__xludf.DUMMYFUNCTION("""COMPUTED_VALUE"""),256444.0)</f>
        <v>256444</v>
      </c>
      <c r="O131" s="235">
        <f>IFERROR(__xludf.DUMMYFUNCTION("""COMPUTED_VALUE"""),10.0)</f>
        <v>10</v>
      </c>
      <c r="P131" s="235">
        <f>IFERROR(__xludf.DUMMYFUNCTION("""COMPUTED_VALUE"""),2492.0)</f>
        <v>2492</v>
      </c>
      <c r="Q131" s="235">
        <f>IFERROR(__xludf.DUMMYFUNCTION("""COMPUTED_VALUE"""),12.0)</f>
        <v>12</v>
      </c>
      <c r="R131" s="235">
        <f>IFERROR(__xludf.DUMMYFUNCTION("""COMPUTED_VALUE"""),2090.0)</f>
        <v>2090</v>
      </c>
      <c r="S131" s="235">
        <f>IFERROR(__xludf.DUMMYFUNCTION("""COMPUTED_VALUE"""),0.0)</f>
        <v>0</v>
      </c>
      <c r="T131" s="235">
        <f>IFERROR(__xludf.DUMMYFUNCTION("""COMPUTED_VALUE"""),332.0)</f>
        <v>332</v>
      </c>
      <c r="U131" s="235">
        <f>IFERROR(__xludf.DUMMYFUNCTION("""COMPUTED_VALUE"""),70.0)</f>
        <v>70</v>
      </c>
      <c r="V131" s="235">
        <f>IFERROR(__xludf.DUMMYFUNCTION("""COMPUTED_VALUE"""),71.0)</f>
        <v>71</v>
      </c>
      <c r="W131" s="235">
        <f>IFERROR(__xludf.DUMMYFUNCTION("""COMPUTED_VALUE"""),11.0)</f>
        <v>11</v>
      </c>
      <c r="X131" s="235">
        <f>IFERROR(__xludf.DUMMYFUNCTION("""COMPUTED_VALUE"""),4.0)</f>
        <v>4</v>
      </c>
      <c r="Y131" s="235">
        <f>IFERROR(__xludf.DUMMYFUNCTION("""COMPUTED_VALUE"""),1.0)</f>
        <v>1</v>
      </c>
      <c r="Z131" s="235">
        <f>IFERROR(__xludf.DUMMYFUNCTION("""COMPUTED_VALUE"""),1063.0)</f>
        <v>1063</v>
      </c>
    </row>
    <row r="132">
      <c r="A132" s="234">
        <f>IFERROR(__xludf.DUMMYFUNCTION("""COMPUTED_VALUE"""),44066.0)</f>
        <v>44066</v>
      </c>
      <c r="B132" s="235">
        <f>IFERROR(__xludf.DUMMYFUNCTION("""COMPUTED_VALUE"""),70.0)</f>
        <v>70</v>
      </c>
      <c r="C132" s="235">
        <f>IFERROR(__xludf.DUMMYFUNCTION("""COMPUTED_VALUE"""),106.0)</f>
        <v>106</v>
      </c>
      <c r="D132" s="235">
        <f>IFERROR(__xludf.DUMMYFUNCTION("""COMPUTED_VALUE"""),30666.0)</f>
        <v>30666</v>
      </c>
      <c r="E132" s="235">
        <f>IFERROR(__xludf.DUMMYFUNCTION("""COMPUTED_VALUE"""),4371.0)</f>
        <v>4371</v>
      </c>
      <c r="F132" s="172">
        <f>IFERROR(__xludf.DUMMYFUNCTION("""COMPUTED_VALUE"""),453650.0)</f>
        <v>453650</v>
      </c>
      <c r="G132" s="172">
        <f>IFERROR(__xludf.DUMMYFUNCTION("""COMPUTED_VALUE"""),4441.0)</f>
        <v>4441</v>
      </c>
      <c r="H132" s="172">
        <f>IFERROR(__xludf.DUMMYFUNCTION("""COMPUTED_VALUE"""),484316.0)</f>
        <v>484316</v>
      </c>
      <c r="I132" s="235">
        <f>IFERROR(__xludf.DUMMYFUNCTION("""COMPUTED_VALUE"""),56.0)</f>
        <v>56</v>
      </c>
      <c r="J132" s="235">
        <f>IFERROR(__xludf.DUMMYFUNCTION("""COMPUTED_VALUE"""),88.0)</f>
        <v>88</v>
      </c>
      <c r="K132" s="235">
        <f>IFERROR(__xludf.DUMMYFUNCTION("""COMPUTED_VALUE"""),21327.0)</f>
        <v>21327</v>
      </c>
      <c r="L132" s="235">
        <f>IFERROR(__xludf.DUMMYFUNCTION("""COMPUTED_VALUE"""),2465.0)</f>
        <v>2465</v>
      </c>
      <c r="M132" s="235">
        <f>IFERROR(__xludf.DUMMYFUNCTION("""COMPUTED_VALUE"""),237638.0)</f>
        <v>237638</v>
      </c>
      <c r="N132" s="235">
        <f>IFERROR(__xludf.DUMMYFUNCTION("""COMPUTED_VALUE"""),258965.0)</f>
        <v>258965</v>
      </c>
      <c r="O132" s="235">
        <f>IFERROR(__xludf.DUMMYFUNCTION("""COMPUTED_VALUE"""),11.0)</f>
        <v>11</v>
      </c>
      <c r="P132" s="235">
        <f>IFERROR(__xludf.DUMMYFUNCTION("""COMPUTED_VALUE"""),2503.0)</f>
        <v>2503</v>
      </c>
      <c r="Q132" s="235">
        <f>IFERROR(__xludf.DUMMYFUNCTION("""COMPUTED_VALUE"""),6.0)</f>
        <v>6</v>
      </c>
      <c r="R132" s="235">
        <f>IFERROR(__xludf.DUMMYFUNCTION("""COMPUTED_VALUE"""),2096.0)</f>
        <v>2096</v>
      </c>
      <c r="S132" s="235">
        <f>IFERROR(__xludf.DUMMYFUNCTION("""COMPUTED_VALUE"""),0.0)</f>
        <v>0</v>
      </c>
      <c r="T132" s="235">
        <f>IFERROR(__xludf.DUMMYFUNCTION("""COMPUTED_VALUE"""),332.0)</f>
        <v>332</v>
      </c>
      <c r="U132" s="235">
        <f>IFERROR(__xludf.DUMMYFUNCTION("""COMPUTED_VALUE"""),75.0)</f>
        <v>75</v>
      </c>
      <c r="V132" s="235">
        <f>IFERROR(__xludf.DUMMYFUNCTION("""COMPUTED_VALUE"""),72.0)</f>
        <v>72</v>
      </c>
      <c r="W132" s="235">
        <f>IFERROR(__xludf.DUMMYFUNCTION("""COMPUTED_VALUE"""),11.0)</f>
        <v>11</v>
      </c>
      <c r="X132" s="235">
        <f>IFERROR(__xludf.DUMMYFUNCTION("""COMPUTED_VALUE"""),2.0)</f>
        <v>2</v>
      </c>
      <c r="Y132" s="235">
        <f>IFERROR(__xludf.DUMMYFUNCTION("""COMPUTED_VALUE"""),1.0)</f>
        <v>1</v>
      </c>
      <c r="Z132" s="235">
        <f>IFERROR(__xludf.DUMMYFUNCTION("""COMPUTED_VALUE"""),1064.0)</f>
        <v>1064</v>
      </c>
    </row>
    <row r="133">
      <c r="A133" s="234">
        <f>IFERROR(__xludf.DUMMYFUNCTION("""COMPUTED_VALUE"""),44067.0)</f>
        <v>44067</v>
      </c>
      <c r="B133" s="235">
        <f>IFERROR(__xludf.DUMMYFUNCTION("""COMPUTED_VALUE"""),105.0)</f>
        <v>105</v>
      </c>
      <c r="C133" s="235">
        <f>IFERROR(__xludf.DUMMYFUNCTION("""COMPUTED_VALUE"""),90.0)</f>
        <v>90</v>
      </c>
      <c r="D133" s="235">
        <f>IFERROR(__xludf.DUMMYFUNCTION("""COMPUTED_VALUE"""),30771.0)</f>
        <v>30771</v>
      </c>
      <c r="E133" s="235">
        <f>IFERROR(__xludf.DUMMYFUNCTION("""COMPUTED_VALUE"""),5776.0)</f>
        <v>5776</v>
      </c>
      <c r="F133" s="172">
        <f>IFERROR(__xludf.DUMMYFUNCTION("""COMPUTED_VALUE"""),459426.0)</f>
        <v>459426</v>
      </c>
      <c r="G133" s="172">
        <f>IFERROR(__xludf.DUMMYFUNCTION("""COMPUTED_VALUE"""),5881.0)</f>
        <v>5881</v>
      </c>
      <c r="H133" s="172">
        <f>IFERROR(__xludf.DUMMYFUNCTION("""COMPUTED_VALUE"""),490197.0)</f>
        <v>490197</v>
      </c>
      <c r="I133" s="235">
        <f>IFERROR(__xludf.DUMMYFUNCTION("""COMPUTED_VALUE"""),77.0)</f>
        <v>77</v>
      </c>
      <c r="J133" s="235">
        <f>IFERROR(__xludf.DUMMYFUNCTION("""COMPUTED_VALUE"""),72.0)</f>
        <v>72</v>
      </c>
      <c r="K133" s="235">
        <f>IFERROR(__xludf.DUMMYFUNCTION("""COMPUTED_VALUE"""),21404.0)</f>
        <v>21404</v>
      </c>
      <c r="L133" s="235">
        <f>IFERROR(__xludf.DUMMYFUNCTION("""COMPUTED_VALUE"""),3142.0)</f>
        <v>3142</v>
      </c>
      <c r="M133" s="235">
        <f>IFERROR(__xludf.DUMMYFUNCTION("""COMPUTED_VALUE"""),240780.0)</f>
        <v>240780</v>
      </c>
      <c r="N133" s="235">
        <f>IFERROR(__xludf.DUMMYFUNCTION("""COMPUTED_VALUE"""),262184.0)</f>
        <v>262184</v>
      </c>
      <c r="O133" s="235">
        <f>IFERROR(__xludf.DUMMYFUNCTION("""COMPUTED_VALUE"""),7.0)</f>
        <v>7</v>
      </c>
      <c r="P133" s="235">
        <f>IFERROR(__xludf.DUMMYFUNCTION("""COMPUTED_VALUE"""),2510.0)</f>
        <v>2510</v>
      </c>
      <c r="Q133" s="235">
        <f>IFERROR(__xludf.DUMMYFUNCTION("""COMPUTED_VALUE"""),10.0)</f>
        <v>10</v>
      </c>
      <c r="R133" s="235">
        <f>IFERROR(__xludf.DUMMYFUNCTION("""COMPUTED_VALUE"""),2106.0)</f>
        <v>2106</v>
      </c>
      <c r="S133" s="235">
        <f>IFERROR(__xludf.DUMMYFUNCTION("""COMPUTED_VALUE"""),1.0)</f>
        <v>1</v>
      </c>
      <c r="T133" s="235">
        <f>IFERROR(__xludf.DUMMYFUNCTION("""COMPUTED_VALUE"""),333.0)</f>
        <v>333</v>
      </c>
      <c r="U133" s="235">
        <f>IFERROR(__xludf.DUMMYFUNCTION("""COMPUTED_VALUE"""),71.0)</f>
        <v>71</v>
      </c>
      <c r="V133" s="235">
        <f>IFERROR(__xludf.DUMMYFUNCTION("""COMPUTED_VALUE"""),72.0)</f>
        <v>72</v>
      </c>
      <c r="W133" s="235">
        <f>IFERROR(__xludf.DUMMYFUNCTION("""COMPUTED_VALUE"""),13.0)</f>
        <v>13</v>
      </c>
      <c r="X133" s="235">
        <f>IFERROR(__xludf.DUMMYFUNCTION("""COMPUTED_VALUE"""),4.0)</f>
        <v>4</v>
      </c>
      <c r="Y133" s="235">
        <f>IFERROR(__xludf.DUMMYFUNCTION("""COMPUTED_VALUE"""),1.0)</f>
        <v>1</v>
      </c>
      <c r="Z133" s="235">
        <f>IFERROR(__xludf.DUMMYFUNCTION("""COMPUTED_VALUE"""),1065.0)</f>
        <v>1065</v>
      </c>
    </row>
    <row r="134">
      <c r="A134" s="234">
        <f>IFERROR(__xludf.DUMMYFUNCTION("""COMPUTED_VALUE"""),44068.0)</f>
        <v>44068</v>
      </c>
      <c r="B134" s="235">
        <f>IFERROR(__xludf.DUMMYFUNCTION("""COMPUTED_VALUE"""),108.0)</f>
        <v>108</v>
      </c>
      <c r="C134" s="235">
        <f>IFERROR(__xludf.DUMMYFUNCTION("""COMPUTED_VALUE"""),94.0)</f>
        <v>94</v>
      </c>
      <c r="D134" s="235">
        <f>IFERROR(__xludf.DUMMYFUNCTION("""COMPUTED_VALUE"""),30879.0)</f>
        <v>30879</v>
      </c>
      <c r="E134" s="235">
        <f>IFERROR(__xludf.DUMMYFUNCTION("""COMPUTED_VALUE"""),4759.0)</f>
        <v>4759</v>
      </c>
      <c r="F134" s="172">
        <f>IFERROR(__xludf.DUMMYFUNCTION("""COMPUTED_VALUE"""),464185.0)</f>
        <v>464185</v>
      </c>
      <c r="G134" s="172">
        <f>IFERROR(__xludf.DUMMYFUNCTION("""COMPUTED_VALUE"""),4867.0)</f>
        <v>4867</v>
      </c>
      <c r="H134" s="172">
        <f>IFERROR(__xludf.DUMMYFUNCTION("""COMPUTED_VALUE"""),495064.0)</f>
        <v>495064</v>
      </c>
      <c r="I134" s="235">
        <f>IFERROR(__xludf.DUMMYFUNCTION("""COMPUTED_VALUE"""),92.0)</f>
        <v>92</v>
      </c>
      <c r="J134" s="235">
        <f>IFERROR(__xludf.DUMMYFUNCTION("""COMPUTED_VALUE"""),75.0)</f>
        <v>75</v>
      </c>
      <c r="K134" s="235">
        <f>IFERROR(__xludf.DUMMYFUNCTION("""COMPUTED_VALUE"""),21496.0)</f>
        <v>21496</v>
      </c>
      <c r="L134" s="235">
        <f>IFERROR(__xludf.DUMMYFUNCTION("""COMPUTED_VALUE"""),2282.0)</f>
        <v>2282</v>
      </c>
      <c r="M134" s="235">
        <f>IFERROR(__xludf.DUMMYFUNCTION("""COMPUTED_VALUE"""),243062.0)</f>
        <v>243062</v>
      </c>
      <c r="N134" s="235">
        <f>IFERROR(__xludf.DUMMYFUNCTION("""COMPUTED_VALUE"""),264558.0)</f>
        <v>264558</v>
      </c>
      <c r="O134" s="235">
        <f>IFERROR(__xludf.DUMMYFUNCTION("""COMPUTED_VALUE"""),10.0)</f>
        <v>10</v>
      </c>
      <c r="P134" s="235">
        <f>IFERROR(__xludf.DUMMYFUNCTION("""COMPUTED_VALUE"""),2520.0)</f>
        <v>2520</v>
      </c>
      <c r="Q134" s="235">
        <f>IFERROR(__xludf.DUMMYFUNCTION("""COMPUTED_VALUE"""),4.0)</f>
        <v>4</v>
      </c>
      <c r="R134" s="235">
        <f>IFERROR(__xludf.DUMMYFUNCTION("""COMPUTED_VALUE"""),2110.0)</f>
        <v>2110</v>
      </c>
      <c r="S134" s="235">
        <f>IFERROR(__xludf.DUMMYFUNCTION("""COMPUTED_VALUE"""),1.0)</f>
        <v>1</v>
      </c>
      <c r="T134" s="235">
        <f>IFERROR(__xludf.DUMMYFUNCTION("""COMPUTED_VALUE"""),334.0)</f>
        <v>334</v>
      </c>
      <c r="U134" s="235">
        <f>IFERROR(__xludf.DUMMYFUNCTION("""COMPUTED_VALUE"""),76.0)</f>
        <v>76</v>
      </c>
      <c r="V134" s="235">
        <f>IFERROR(__xludf.DUMMYFUNCTION("""COMPUTED_VALUE"""),74.0)</f>
        <v>74</v>
      </c>
      <c r="W134" s="235">
        <f>IFERROR(__xludf.DUMMYFUNCTION("""COMPUTED_VALUE"""),11.0)</f>
        <v>11</v>
      </c>
      <c r="X134" s="235">
        <f>IFERROR(__xludf.DUMMYFUNCTION("""COMPUTED_VALUE"""),4.0)</f>
        <v>4</v>
      </c>
      <c r="Y134" s="235">
        <f>IFERROR(__xludf.DUMMYFUNCTION("""COMPUTED_VALUE"""),1.0)</f>
        <v>1</v>
      </c>
      <c r="Z134" s="235">
        <f>IFERROR(__xludf.DUMMYFUNCTION("""COMPUTED_VALUE"""),1066.0)</f>
        <v>1066</v>
      </c>
    </row>
    <row r="135">
      <c r="A135" s="234">
        <f>IFERROR(__xludf.DUMMYFUNCTION("""COMPUTED_VALUE"""),44069.0)</f>
        <v>44069</v>
      </c>
      <c r="B135" s="235">
        <f>IFERROR(__xludf.DUMMYFUNCTION("""COMPUTED_VALUE"""),170.0)</f>
        <v>170</v>
      </c>
      <c r="C135" s="235">
        <f>IFERROR(__xludf.DUMMYFUNCTION("""COMPUTED_VALUE"""),128.0)</f>
        <v>128</v>
      </c>
      <c r="D135" s="235">
        <f>IFERROR(__xludf.DUMMYFUNCTION("""COMPUTED_VALUE"""),31049.0)</f>
        <v>31049</v>
      </c>
      <c r="E135" s="235">
        <f>IFERROR(__xludf.DUMMYFUNCTION("""COMPUTED_VALUE"""),9477.0)</f>
        <v>9477</v>
      </c>
      <c r="F135" s="172">
        <f>IFERROR(__xludf.DUMMYFUNCTION("""COMPUTED_VALUE"""),473662.0)</f>
        <v>473662</v>
      </c>
      <c r="G135" s="172">
        <f>IFERROR(__xludf.DUMMYFUNCTION("""COMPUTED_VALUE"""),9647.0)</f>
        <v>9647</v>
      </c>
      <c r="H135" s="172">
        <f>IFERROR(__xludf.DUMMYFUNCTION("""COMPUTED_VALUE"""),504711.0)</f>
        <v>504711</v>
      </c>
      <c r="I135" s="235">
        <f>IFERROR(__xludf.DUMMYFUNCTION("""COMPUTED_VALUE"""),127.0)</f>
        <v>127</v>
      </c>
      <c r="J135" s="235">
        <f>IFERROR(__xludf.DUMMYFUNCTION("""COMPUTED_VALUE"""),99.0)</f>
        <v>99</v>
      </c>
      <c r="K135" s="235">
        <f>IFERROR(__xludf.DUMMYFUNCTION("""COMPUTED_VALUE"""),21623.0)</f>
        <v>21623</v>
      </c>
      <c r="L135" s="235">
        <f>IFERROR(__xludf.DUMMYFUNCTION("""COMPUTED_VALUE"""),3078.0)</f>
        <v>3078</v>
      </c>
      <c r="M135" s="235">
        <f>IFERROR(__xludf.DUMMYFUNCTION("""COMPUTED_VALUE"""),246140.0)</f>
        <v>246140</v>
      </c>
      <c r="N135" s="235">
        <f>IFERROR(__xludf.DUMMYFUNCTION("""COMPUTED_VALUE"""),267763.0)</f>
        <v>267763</v>
      </c>
      <c r="O135" s="235">
        <f>IFERROR(__xludf.DUMMYFUNCTION("""COMPUTED_VALUE"""),4.0)</f>
        <v>4</v>
      </c>
      <c r="P135" s="235">
        <f>IFERROR(__xludf.DUMMYFUNCTION("""COMPUTED_VALUE"""),2524.0)</f>
        <v>2524</v>
      </c>
      <c r="Q135" s="235">
        <f>IFERROR(__xludf.DUMMYFUNCTION("""COMPUTED_VALUE"""),8.0)</f>
        <v>8</v>
      </c>
      <c r="R135" s="235">
        <f>IFERROR(__xludf.DUMMYFUNCTION("""COMPUTED_VALUE"""),2118.0)</f>
        <v>2118</v>
      </c>
      <c r="S135" s="235">
        <f>IFERROR(__xludf.DUMMYFUNCTION("""COMPUTED_VALUE"""),0.0)</f>
        <v>0</v>
      </c>
      <c r="T135" s="235">
        <f>IFERROR(__xludf.DUMMYFUNCTION("""COMPUTED_VALUE"""),334.0)</f>
        <v>334</v>
      </c>
      <c r="U135" s="235">
        <f>IFERROR(__xludf.DUMMYFUNCTION("""COMPUTED_VALUE"""),72.0)</f>
        <v>72</v>
      </c>
      <c r="V135" s="235">
        <f>IFERROR(__xludf.DUMMYFUNCTION("""COMPUTED_VALUE"""),73.0)</f>
        <v>73</v>
      </c>
      <c r="W135" s="235">
        <f>IFERROR(__xludf.DUMMYFUNCTION("""COMPUTED_VALUE"""),9.0)</f>
        <v>9</v>
      </c>
      <c r="X135" s="235">
        <f>IFERROR(__xludf.DUMMYFUNCTION("""COMPUTED_VALUE"""),5.0)</f>
        <v>5</v>
      </c>
      <c r="Y135" s="235">
        <f>IFERROR(__xludf.DUMMYFUNCTION("""COMPUTED_VALUE"""),1.0)</f>
        <v>1</v>
      </c>
      <c r="Z135" s="235">
        <f>IFERROR(__xludf.DUMMYFUNCTION("""COMPUTED_VALUE"""),1067.0)</f>
        <v>1067</v>
      </c>
    </row>
    <row r="136">
      <c r="A136" s="234">
        <f>IFERROR(__xludf.DUMMYFUNCTION("""COMPUTED_VALUE"""),44070.0)</f>
        <v>44070</v>
      </c>
      <c r="B136" s="235">
        <f>IFERROR(__xludf.DUMMYFUNCTION("""COMPUTED_VALUE"""),92.0)</f>
        <v>92</v>
      </c>
      <c r="C136" s="235">
        <f>IFERROR(__xludf.DUMMYFUNCTION("""COMPUTED_VALUE"""),123.0)</f>
        <v>123</v>
      </c>
      <c r="D136" s="235">
        <f>IFERROR(__xludf.DUMMYFUNCTION("""COMPUTED_VALUE"""),31141.0)</f>
        <v>31141</v>
      </c>
      <c r="E136" s="235">
        <f>IFERROR(__xludf.DUMMYFUNCTION("""COMPUTED_VALUE"""),8564.0)</f>
        <v>8564</v>
      </c>
      <c r="F136" s="172">
        <f>IFERROR(__xludf.DUMMYFUNCTION("""COMPUTED_VALUE"""),482226.0)</f>
        <v>482226</v>
      </c>
      <c r="G136" s="172">
        <f>IFERROR(__xludf.DUMMYFUNCTION("""COMPUTED_VALUE"""),8656.0)</f>
        <v>8656</v>
      </c>
      <c r="H136" s="172">
        <f>IFERROR(__xludf.DUMMYFUNCTION("""COMPUTED_VALUE"""),513367.0)</f>
        <v>513367</v>
      </c>
      <c r="I136" s="235">
        <f>IFERROR(__xludf.DUMMYFUNCTION("""COMPUTED_VALUE"""),70.0)</f>
        <v>70</v>
      </c>
      <c r="J136" s="235">
        <f>IFERROR(__xludf.DUMMYFUNCTION("""COMPUTED_VALUE"""),96.0)</f>
        <v>96</v>
      </c>
      <c r="K136" s="235">
        <f>IFERROR(__xludf.DUMMYFUNCTION("""COMPUTED_VALUE"""),21693.0)</f>
        <v>21693</v>
      </c>
      <c r="L136" s="235">
        <f>IFERROR(__xludf.DUMMYFUNCTION("""COMPUTED_VALUE"""),3157.0)</f>
        <v>3157</v>
      </c>
      <c r="M136" s="235">
        <f>IFERROR(__xludf.DUMMYFUNCTION("""COMPUTED_VALUE"""),249297.0)</f>
        <v>249297</v>
      </c>
      <c r="N136" s="235">
        <f>IFERROR(__xludf.DUMMYFUNCTION("""COMPUTED_VALUE"""),270990.0)</f>
        <v>270990</v>
      </c>
      <c r="O136" s="235">
        <f>IFERROR(__xludf.DUMMYFUNCTION("""COMPUTED_VALUE"""),6.0)</f>
        <v>6</v>
      </c>
      <c r="P136" s="235">
        <f>IFERROR(__xludf.DUMMYFUNCTION("""COMPUTED_VALUE"""),2530.0)</f>
        <v>2530</v>
      </c>
      <c r="Q136" s="235">
        <f>IFERROR(__xludf.DUMMYFUNCTION("""COMPUTED_VALUE"""),13.0)</f>
        <v>13</v>
      </c>
      <c r="R136" s="235">
        <f>IFERROR(__xludf.DUMMYFUNCTION("""COMPUTED_VALUE"""),2131.0)</f>
        <v>2131</v>
      </c>
      <c r="S136" s="235">
        <f>IFERROR(__xludf.DUMMYFUNCTION("""COMPUTED_VALUE"""),1.0)</f>
        <v>1</v>
      </c>
      <c r="T136" s="235">
        <f>IFERROR(__xludf.DUMMYFUNCTION("""COMPUTED_VALUE"""),335.0)</f>
        <v>335</v>
      </c>
      <c r="U136" s="235">
        <f>IFERROR(__xludf.DUMMYFUNCTION("""COMPUTED_VALUE"""),64.0)</f>
        <v>64</v>
      </c>
      <c r="V136" s="235">
        <f>IFERROR(__xludf.DUMMYFUNCTION("""COMPUTED_VALUE"""),71.0)</f>
        <v>71</v>
      </c>
      <c r="W136" s="235">
        <f>IFERROR(__xludf.DUMMYFUNCTION("""COMPUTED_VALUE"""),6.0)</f>
        <v>6</v>
      </c>
      <c r="X136" s="235">
        <f>IFERROR(__xludf.DUMMYFUNCTION("""COMPUTED_VALUE"""),5.0)</f>
        <v>5</v>
      </c>
      <c r="Y136" s="235">
        <f>IFERROR(__xludf.DUMMYFUNCTION("""COMPUTED_VALUE"""),2.0)</f>
        <v>2</v>
      </c>
      <c r="Z136" s="235">
        <f>IFERROR(__xludf.DUMMYFUNCTION("""COMPUTED_VALUE"""),1069.0)</f>
        <v>1069</v>
      </c>
    </row>
    <row r="137">
      <c r="A137" s="234">
        <f>IFERROR(__xludf.DUMMYFUNCTION("""COMPUTED_VALUE"""),44071.0)</f>
        <v>44071</v>
      </c>
      <c r="B137" s="235">
        <f>IFERROR(__xludf.DUMMYFUNCTION("""COMPUTED_VALUE"""),112.0)</f>
        <v>112</v>
      </c>
      <c r="C137" s="235">
        <f>IFERROR(__xludf.DUMMYFUNCTION("""COMPUTED_VALUE"""),125.0)</f>
        <v>125</v>
      </c>
      <c r="D137" s="235">
        <f>IFERROR(__xludf.DUMMYFUNCTION("""COMPUTED_VALUE"""),31253.0)</f>
        <v>31253</v>
      </c>
      <c r="E137" s="235">
        <f>IFERROR(__xludf.DUMMYFUNCTION("""COMPUTED_VALUE"""),7991.0)</f>
        <v>7991</v>
      </c>
      <c r="F137" s="172">
        <f>IFERROR(__xludf.DUMMYFUNCTION("""COMPUTED_VALUE"""),490217.0)</f>
        <v>490217</v>
      </c>
      <c r="G137" s="172">
        <f>IFERROR(__xludf.DUMMYFUNCTION("""COMPUTED_VALUE"""),8103.0)</f>
        <v>8103</v>
      </c>
      <c r="H137" s="172">
        <f>IFERROR(__xludf.DUMMYFUNCTION("""COMPUTED_VALUE"""),521470.0)</f>
        <v>521470</v>
      </c>
      <c r="I137" s="235">
        <f>IFERROR(__xludf.DUMMYFUNCTION("""COMPUTED_VALUE"""),87.0)</f>
        <v>87</v>
      </c>
      <c r="J137" s="235">
        <f>IFERROR(__xludf.DUMMYFUNCTION("""COMPUTED_VALUE"""),95.0)</f>
        <v>95</v>
      </c>
      <c r="K137" s="235">
        <f>IFERROR(__xludf.DUMMYFUNCTION("""COMPUTED_VALUE"""),21780.0)</f>
        <v>21780</v>
      </c>
      <c r="L137" s="235">
        <f>IFERROR(__xludf.DUMMYFUNCTION("""COMPUTED_VALUE"""),2424.0)</f>
        <v>2424</v>
      </c>
      <c r="M137" s="235">
        <f>IFERROR(__xludf.DUMMYFUNCTION("""COMPUTED_VALUE"""),251721.0)</f>
        <v>251721</v>
      </c>
      <c r="N137" s="235">
        <f>IFERROR(__xludf.DUMMYFUNCTION("""COMPUTED_VALUE"""),273501.0)</f>
        <v>273501</v>
      </c>
      <c r="O137" s="235">
        <f>IFERROR(__xludf.DUMMYFUNCTION("""COMPUTED_VALUE"""),14.0)</f>
        <v>14</v>
      </c>
      <c r="P137" s="235">
        <f>IFERROR(__xludf.DUMMYFUNCTION("""COMPUTED_VALUE"""),2544.0)</f>
        <v>2544</v>
      </c>
      <c r="Q137" s="235">
        <f>IFERROR(__xludf.DUMMYFUNCTION("""COMPUTED_VALUE"""),4.0)</f>
        <v>4</v>
      </c>
      <c r="R137" s="235">
        <f>IFERROR(__xludf.DUMMYFUNCTION("""COMPUTED_VALUE"""),2135.0)</f>
        <v>2135</v>
      </c>
      <c r="S137" s="235">
        <f>IFERROR(__xludf.DUMMYFUNCTION("""COMPUTED_VALUE"""),0.0)</f>
        <v>0</v>
      </c>
      <c r="T137" s="235">
        <f>IFERROR(__xludf.DUMMYFUNCTION("""COMPUTED_VALUE"""),335.0)</f>
        <v>335</v>
      </c>
      <c r="U137" s="235">
        <f>IFERROR(__xludf.DUMMYFUNCTION("""COMPUTED_VALUE"""),74.0)</f>
        <v>74</v>
      </c>
      <c r="V137" s="235">
        <f>IFERROR(__xludf.DUMMYFUNCTION("""COMPUTED_VALUE"""),70.0)</f>
        <v>70</v>
      </c>
      <c r="W137" s="235">
        <f>IFERROR(__xludf.DUMMYFUNCTION("""COMPUTED_VALUE"""),9.0)</f>
        <v>9</v>
      </c>
      <c r="X137" s="235">
        <f>IFERROR(__xludf.DUMMYFUNCTION("""COMPUTED_VALUE"""),7.0)</f>
        <v>7</v>
      </c>
      <c r="Y137" s="235">
        <f>IFERROR(__xludf.DUMMYFUNCTION("""COMPUTED_VALUE"""),2.0)</f>
        <v>2</v>
      </c>
      <c r="Z137" s="235">
        <f>IFERROR(__xludf.DUMMYFUNCTION("""COMPUTED_VALUE"""),1071.0)</f>
        <v>1071</v>
      </c>
    </row>
    <row r="138">
      <c r="A138" s="234">
        <f>IFERROR(__xludf.DUMMYFUNCTION("""COMPUTED_VALUE"""),44072.0)</f>
        <v>44072</v>
      </c>
      <c r="B138" s="235">
        <f>IFERROR(__xludf.DUMMYFUNCTION("""COMPUTED_VALUE"""),65.0)</f>
        <v>65</v>
      </c>
      <c r="C138" s="235">
        <f>IFERROR(__xludf.DUMMYFUNCTION("""COMPUTED_VALUE"""),90.0)</f>
        <v>90</v>
      </c>
      <c r="D138" s="235">
        <f>IFERROR(__xludf.DUMMYFUNCTION("""COMPUTED_VALUE"""),31318.0)</f>
        <v>31318</v>
      </c>
      <c r="E138" s="235">
        <f>IFERROR(__xludf.DUMMYFUNCTION("""COMPUTED_VALUE"""),5368.0)</f>
        <v>5368</v>
      </c>
      <c r="F138" s="172">
        <f>IFERROR(__xludf.DUMMYFUNCTION("""COMPUTED_VALUE"""),495585.0)</f>
        <v>495585</v>
      </c>
      <c r="G138" s="172">
        <f>IFERROR(__xludf.DUMMYFUNCTION("""COMPUTED_VALUE"""),5433.0)</f>
        <v>5433</v>
      </c>
      <c r="H138" s="172">
        <f>IFERROR(__xludf.DUMMYFUNCTION("""COMPUTED_VALUE"""),526903.0)</f>
        <v>526903</v>
      </c>
      <c r="I138" s="235">
        <f>IFERROR(__xludf.DUMMYFUNCTION("""COMPUTED_VALUE"""),51.0)</f>
        <v>51</v>
      </c>
      <c r="J138" s="235">
        <f>IFERROR(__xludf.DUMMYFUNCTION("""COMPUTED_VALUE"""),69.0)</f>
        <v>69</v>
      </c>
      <c r="K138" s="235">
        <f>IFERROR(__xludf.DUMMYFUNCTION("""COMPUTED_VALUE"""),21831.0)</f>
        <v>21831</v>
      </c>
      <c r="L138" s="235">
        <f>IFERROR(__xludf.DUMMYFUNCTION("""COMPUTED_VALUE"""),1908.0)</f>
        <v>1908</v>
      </c>
      <c r="M138" s="235">
        <f>IFERROR(__xludf.DUMMYFUNCTION("""COMPUTED_VALUE"""),253629.0)</f>
        <v>253629</v>
      </c>
      <c r="N138" s="235">
        <f>IFERROR(__xludf.DUMMYFUNCTION("""COMPUTED_VALUE"""),275460.0)</f>
        <v>275460</v>
      </c>
      <c r="O138" s="235">
        <f>IFERROR(__xludf.DUMMYFUNCTION("""COMPUTED_VALUE"""),6.0)</f>
        <v>6</v>
      </c>
      <c r="P138" s="235">
        <f>IFERROR(__xludf.DUMMYFUNCTION("""COMPUTED_VALUE"""),2550.0)</f>
        <v>2550</v>
      </c>
      <c r="Q138" s="235">
        <f>IFERROR(__xludf.DUMMYFUNCTION("""COMPUTED_VALUE"""),8.0)</f>
        <v>8</v>
      </c>
      <c r="R138" s="235">
        <f>IFERROR(__xludf.DUMMYFUNCTION("""COMPUTED_VALUE"""),2143.0)</f>
        <v>2143</v>
      </c>
      <c r="S138" s="235">
        <f>IFERROR(__xludf.DUMMYFUNCTION("""COMPUTED_VALUE"""),1.0)</f>
        <v>1</v>
      </c>
      <c r="T138" s="235">
        <f>IFERROR(__xludf.DUMMYFUNCTION("""COMPUTED_VALUE"""),336.0)</f>
        <v>336</v>
      </c>
      <c r="U138" s="235">
        <f>IFERROR(__xludf.DUMMYFUNCTION("""COMPUTED_VALUE"""),71.0)</f>
        <v>71</v>
      </c>
      <c r="V138" s="235">
        <f>IFERROR(__xludf.DUMMYFUNCTION("""COMPUTED_VALUE"""),70.0)</f>
        <v>70</v>
      </c>
      <c r="W138" s="235">
        <f>IFERROR(__xludf.DUMMYFUNCTION("""COMPUTED_VALUE"""),10.0)</f>
        <v>10</v>
      </c>
      <c r="X138" s="235">
        <f>IFERROR(__xludf.DUMMYFUNCTION("""COMPUTED_VALUE"""),6.0)</f>
        <v>6</v>
      </c>
      <c r="Y138" s="235">
        <f>IFERROR(__xludf.DUMMYFUNCTION("""COMPUTED_VALUE"""),2.0)</f>
        <v>2</v>
      </c>
      <c r="Z138" s="235">
        <f>IFERROR(__xludf.DUMMYFUNCTION("""COMPUTED_VALUE"""),1073.0)</f>
        <v>1073</v>
      </c>
    </row>
    <row r="139">
      <c r="A139" s="234">
        <f>IFERROR(__xludf.DUMMYFUNCTION("""COMPUTED_VALUE"""),44073.0)</f>
        <v>44073</v>
      </c>
      <c r="B139" s="235">
        <f>IFERROR(__xludf.DUMMYFUNCTION("""COMPUTED_VALUE"""),66.0)</f>
        <v>66</v>
      </c>
      <c r="C139" s="235">
        <f>IFERROR(__xludf.DUMMYFUNCTION("""COMPUTED_VALUE"""),81.0)</f>
        <v>81</v>
      </c>
      <c r="D139" s="235">
        <f>IFERROR(__xludf.DUMMYFUNCTION("""COMPUTED_VALUE"""),31384.0)</f>
        <v>31384</v>
      </c>
      <c r="E139" s="235">
        <f>IFERROR(__xludf.DUMMYFUNCTION("""COMPUTED_VALUE"""),4320.0)</f>
        <v>4320</v>
      </c>
      <c r="F139" s="172">
        <f>IFERROR(__xludf.DUMMYFUNCTION("""COMPUTED_VALUE"""),499905.0)</f>
        <v>499905</v>
      </c>
      <c r="G139" s="172">
        <f>IFERROR(__xludf.DUMMYFUNCTION("""COMPUTED_VALUE"""),4386.0)</f>
        <v>4386</v>
      </c>
      <c r="H139" s="172">
        <f>IFERROR(__xludf.DUMMYFUNCTION("""COMPUTED_VALUE"""),531289.0)</f>
        <v>531289</v>
      </c>
      <c r="I139" s="235">
        <f>IFERROR(__xludf.DUMMYFUNCTION("""COMPUTED_VALUE"""),48.0)</f>
        <v>48</v>
      </c>
      <c r="J139" s="235">
        <f>IFERROR(__xludf.DUMMYFUNCTION("""COMPUTED_VALUE"""),62.0)</f>
        <v>62</v>
      </c>
      <c r="K139" s="235">
        <f>IFERROR(__xludf.DUMMYFUNCTION("""COMPUTED_VALUE"""),21879.0)</f>
        <v>21879</v>
      </c>
      <c r="L139" s="235">
        <f>IFERROR(__xludf.DUMMYFUNCTION("""COMPUTED_VALUE"""),1992.0)</f>
        <v>1992</v>
      </c>
      <c r="M139" s="235">
        <f>IFERROR(__xludf.DUMMYFUNCTION("""COMPUTED_VALUE"""),255621.0)</f>
        <v>255621</v>
      </c>
      <c r="N139" s="235">
        <f>IFERROR(__xludf.DUMMYFUNCTION("""COMPUTED_VALUE"""),277500.0)</f>
        <v>277500</v>
      </c>
      <c r="O139" s="235">
        <f>IFERROR(__xludf.DUMMYFUNCTION("""COMPUTED_VALUE"""),7.0)</f>
        <v>7</v>
      </c>
      <c r="P139" s="235">
        <f>IFERROR(__xludf.DUMMYFUNCTION("""COMPUTED_VALUE"""),2557.0)</f>
        <v>2557</v>
      </c>
      <c r="Q139" s="235">
        <f>IFERROR(__xludf.DUMMYFUNCTION("""COMPUTED_VALUE"""),4.0)</f>
        <v>4</v>
      </c>
      <c r="R139" s="235">
        <f>IFERROR(__xludf.DUMMYFUNCTION("""COMPUTED_VALUE"""),2147.0)</f>
        <v>2147</v>
      </c>
      <c r="S139" s="235">
        <f>IFERROR(__xludf.DUMMYFUNCTION("""COMPUTED_VALUE"""),0.0)</f>
        <v>0</v>
      </c>
      <c r="T139" s="235">
        <f>IFERROR(__xludf.DUMMYFUNCTION("""COMPUTED_VALUE"""),336.0)</f>
        <v>336</v>
      </c>
      <c r="U139" s="235">
        <f>IFERROR(__xludf.DUMMYFUNCTION("""COMPUTED_VALUE"""),74.0)</f>
        <v>74</v>
      </c>
      <c r="V139" s="235">
        <f>IFERROR(__xludf.DUMMYFUNCTION("""COMPUTED_VALUE"""),73.0)</f>
        <v>73</v>
      </c>
      <c r="W139" s="235">
        <f>IFERROR(__xludf.DUMMYFUNCTION("""COMPUTED_VALUE"""),8.0)</f>
        <v>8</v>
      </c>
      <c r="X139" s="235">
        <f>IFERROR(__xludf.DUMMYFUNCTION("""COMPUTED_VALUE"""),5.0)</f>
        <v>5</v>
      </c>
      <c r="Y139" s="235">
        <f>IFERROR(__xludf.DUMMYFUNCTION("""COMPUTED_VALUE"""),2.0)</f>
        <v>2</v>
      </c>
      <c r="Z139" s="235">
        <f>IFERROR(__xludf.DUMMYFUNCTION("""COMPUTED_VALUE"""),1075.0)</f>
        <v>1075</v>
      </c>
    </row>
    <row r="140">
      <c r="A140" s="234">
        <f>IFERROR(__xludf.DUMMYFUNCTION("""COMPUTED_VALUE"""),44074.0)</f>
        <v>44074</v>
      </c>
      <c r="B140" s="235">
        <f>IFERROR(__xludf.DUMMYFUNCTION("""COMPUTED_VALUE"""),105.0)</f>
        <v>105</v>
      </c>
      <c r="C140" s="235">
        <f>IFERROR(__xludf.DUMMYFUNCTION("""COMPUTED_VALUE"""),79.0)</f>
        <v>79</v>
      </c>
      <c r="D140" s="235">
        <f>IFERROR(__xludf.DUMMYFUNCTION("""COMPUTED_VALUE"""),31489.0)</f>
        <v>31489</v>
      </c>
      <c r="E140" s="235">
        <f>IFERROR(__xludf.DUMMYFUNCTION("""COMPUTED_VALUE"""),4863.0)</f>
        <v>4863</v>
      </c>
      <c r="F140" s="172">
        <f>IFERROR(__xludf.DUMMYFUNCTION("""COMPUTED_VALUE"""),504768.0)</f>
        <v>504768</v>
      </c>
      <c r="G140" s="172">
        <f>IFERROR(__xludf.DUMMYFUNCTION("""COMPUTED_VALUE"""),4968.0)</f>
        <v>4968</v>
      </c>
      <c r="H140" s="172">
        <f>IFERROR(__xludf.DUMMYFUNCTION("""COMPUTED_VALUE"""),536257.0)</f>
        <v>536257</v>
      </c>
      <c r="I140" s="235">
        <f>IFERROR(__xludf.DUMMYFUNCTION("""COMPUTED_VALUE"""),81.0)</f>
        <v>81</v>
      </c>
      <c r="J140" s="235">
        <f>IFERROR(__xludf.DUMMYFUNCTION("""COMPUTED_VALUE"""),60.0)</f>
        <v>60</v>
      </c>
      <c r="K140" s="235">
        <f>IFERROR(__xludf.DUMMYFUNCTION("""COMPUTED_VALUE"""),21960.0)</f>
        <v>21960</v>
      </c>
      <c r="L140" s="235">
        <f>IFERROR(__xludf.DUMMYFUNCTION("""COMPUTED_VALUE"""),2183.0)</f>
        <v>2183</v>
      </c>
      <c r="M140" s="235">
        <f>IFERROR(__xludf.DUMMYFUNCTION("""COMPUTED_VALUE"""),257804.0)</f>
        <v>257804</v>
      </c>
      <c r="N140" s="235">
        <f>IFERROR(__xludf.DUMMYFUNCTION("""COMPUTED_VALUE"""),279764.0)</f>
        <v>279764</v>
      </c>
      <c r="O140" s="235">
        <f>IFERROR(__xludf.DUMMYFUNCTION("""COMPUTED_VALUE"""),12.0)</f>
        <v>12</v>
      </c>
      <c r="P140" s="235">
        <f>IFERROR(__xludf.DUMMYFUNCTION("""COMPUTED_VALUE"""),2569.0)</f>
        <v>2569</v>
      </c>
      <c r="Q140" s="235">
        <f>IFERROR(__xludf.DUMMYFUNCTION("""COMPUTED_VALUE"""),15.0)</f>
        <v>15</v>
      </c>
      <c r="R140" s="235">
        <f>IFERROR(__xludf.DUMMYFUNCTION("""COMPUTED_VALUE"""),2162.0)</f>
        <v>2162</v>
      </c>
      <c r="S140" s="235">
        <f>IFERROR(__xludf.DUMMYFUNCTION("""COMPUTED_VALUE"""),0.0)</f>
        <v>0</v>
      </c>
      <c r="T140" s="235">
        <f>IFERROR(__xludf.DUMMYFUNCTION("""COMPUTED_VALUE"""),336.0)</f>
        <v>336</v>
      </c>
      <c r="U140" s="235">
        <f>IFERROR(__xludf.DUMMYFUNCTION("""COMPUTED_VALUE"""),71.0)</f>
        <v>71</v>
      </c>
      <c r="V140" s="235">
        <f>IFERROR(__xludf.DUMMYFUNCTION("""COMPUTED_VALUE"""),72.0)</f>
        <v>72</v>
      </c>
      <c r="W140" s="235">
        <f>IFERROR(__xludf.DUMMYFUNCTION("""COMPUTED_VALUE"""),8.0)</f>
        <v>8</v>
      </c>
      <c r="X140" s="235">
        <f>IFERROR(__xludf.DUMMYFUNCTION("""COMPUTED_VALUE"""),4.0)</f>
        <v>4</v>
      </c>
      <c r="Y140" s="235">
        <f>IFERROR(__xludf.DUMMYFUNCTION("""COMPUTED_VALUE"""),1.0)</f>
        <v>1</v>
      </c>
      <c r="Z140" s="235">
        <f>IFERROR(__xludf.DUMMYFUNCTION("""COMPUTED_VALUE"""),1076.0)</f>
        <v>1076</v>
      </c>
    </row>
    <row r="141">
      <c r="A141" s="234">
        <f>IFERROR(__xludf.DUMMYFUNCTION("""COMPUTED_VALUE"""),44075.0)</f>
        <v>44075</v>
      </c>
      <c r="B141" s="235">
        <f>IFERROR(__xludf.DUMMYFUNCTION("""COMPUTED_VALUE"""),97.0)</f>
        <v>97</v>
      </c>
      <c r="C141" s="235">
        <f>IFERROR(__xludf.DUMMYFUNCTION("""COMPUTED_VALUE"""),89.0)</f>
        <v>89</v>
      </c>
      <c r="D141" s="235">
        <f>IFERROR(__xludf.DUMMYFUNCTION("""COMPUTED_VALUE"""),31586.0)</f>
        <v>31586</v>
      </c>
      <c r="E141" s="235">
        <f>IFERROR(__xludf.DUMMYFUNCTION("""COMPUTED_VALUE"""),7109.0)</f>
        <v>7109</v>
      </c>
      <c r="F141" s="172">
        <f>IFERROR(__xludf.DUMMYFUNCTION("""COMPUTED_VALUE"""),511877.0)</f>
        <v>511877</v>
      </c>
      <c r="G141" s="172">
        <f>IFERROR(__xludf.DUMMYFUNCTION("""COMPUTED_VALUE"""),7206.0)</f>
        <v>7206</v>
      </c>
      <c r="H141" s="172">
        <f>IFERROR(__xludf.DUMMYFUNCTION("""COMPUTED_VALUE"""),543463.0)</f>
        <v>543463</v>
      </c>
      <c r="I141" s="235">
        <f>IFERROR(__xludf.DUMMYFUNCTION("""COMPUTED_VALUE"""),65.0)</f>
        <v>65</v>
      </c>
      <c r="J141" s="235">
        <f>IFERROR(__xludf.DUMMYFUNCTION("""COMPUTED_VALUE"""),65.0)</f>
        <v>65</v>
      </c>
      <c r="K141" s="235">
        <f>IFERROR(__xludf.DUMMYFUNCTION("""COMPUTED_VALUE"""),22025.0)</f>
        <v>22025</v>
      </c>
      <c r="L141" s="235">
        <f>IFERROR(__xludf.DUMMYFUNCTION("""COMPUTED_VALUE"""),2375.0)</f>
        <v>2375</v>
      </c>
      <c r="M141" s="235">
        <f>IFERROR(__xludf.DUMMYFUNCTION("""COMPUTED_VALUE"""),260179.0)</f>
        <v>260179</v>
      </c>
      <c r="N141" s="235">
        <f>IFERROR(__xludf.DUMMYFUNCTION("""COMPUTED_VALUE"""),282204.0)</f>
        <v>282204</v>
      </c>
      <c r="O141" s="235">
        <f>IFERROR(__xludf.DUMMYFUNCTION("""COMPUTED_VALUE"""),6.0)</f>
        <v>6</v>
      </c>
      <c r="P141" s="235">
        <f>IFERROR(__xludf.DUMMYFUNCTION("""COMPUTED_VALUE"""),2575.0)</f>
        <v>2575</v>
      </c>
      <c r="Q141" s="235">
        <f>IFERROR(__xludf.DUMMYFUNCTION("""COMPUTED_VALUE"""),9.0)</f>
        <v>9</v>
      </c>
      <c r="R141" s="235">
        <f>IFERROR(__xludf.DUMMYFUNCTION("""COMPUTED_VALUE"""),2171.0)</f>
        <v>2171</v>
      </c>
      <c r="S141" s="235">
        <f>IFERROR(__xludf.DUMMYFUNCTION("""COMPUTED_VALUE"""),1.0)</f>
        <v>1</v>
      </c>
      <c r="T141" s="235">
        <f>IFERROR(__xludf.DUMMYFUNCTION("""COMPUTED_VALUE"""),337.0)</f>
        <v>337</v>
      </c>
      <c r="U141" s="235">
        <f>IFERROR(__xludf.DUMMYFUNCTION("""COMPUTED_VALUE"""),67.0)</f>
        <v>67</v>
      </c>
      <c r="V141" s="235">
        <f>IFERROR(__xludf.DUMMYFUNCTION("""COMPUTED_VALUE"""),71.0)</f>
        <v>71</v>
      </c>
      <c r="W141" s="235">
        <f>IFERROR(__xludf.DUMMYFUNCTION("""COMPUTED_VALUE"""),7.0)</f>
        <v>7</v>
      </c>
      <c r="X141" s="235">
        <f>IFERROR(__xludf.DUMMYFUNCTION("""COMPUTED_VALUE"""),4.0)</f>
        <v>4</v>
      </c>
      <c r="Y141" s="235">
        <f>IFERROR(__xludf.DUMMYFUNCTION("""COMPUTED_VALUE"""),2.0)</f>
        <v>2</v>
      </c>
      <c r="Z141" s="235">
        <f>IFERROR(__xludf.DUMMYFUNCTION("""COMPUTED_VALUE"""),1078.0)</f>
        <v>1078</v>
      </c>
    </row>
    <row r="142">
      <c r="A142" s="234">
        <f>IFERROR(__xludf.DUMMYFUNCTION("""COMPUTED_VALUE"""),44076.0)</f>
        <v>44076</v>
      </c>
      <c r="B142" s="235">
        <f>IFERROR(__xludf.DUMMYFUNCTION("""COMPUTED_VALUE"""),125.0)</f>
        <v>125</v>
      </c>
      <c r="C142" s="235">
        <f>IFERROR(__xludf.DUMMYFUNCTION("""COMPUTED_VALUE"""),109.0)</f>
        <v>109</v>
      </c>
      <c r="D142" s="235">
        <f>IFERROR(__xludf.DUMMYFUNCTION("""COMPUTED_VALUE"""),31711.0)</f>
        <v>31711</v>
      </c>
      <c r="E142" s="235">
        <f>IFERROR(__xludf.DUMMYFUNCTION("""COMPUTED_VALUE"""),10524.0)</f>
        <v>10524</v>
      </c>
      <c r="F142" s="172">
        <f>IFERROR(__xludf.DUMMYFUNCTION("""COMPUTED_VALUE"""),522401.0)</f>
        <v>522401</v>
      </c>
      <c r="G142" s="172">
        <f>IFERROR(__xludf.DUMMYFUNCTION("""COMPUTED_VALUE"""),10649.0)</f>
        <v>10649</v>
      </c>
      <c r="H142" s="172">
        <f>IFERROR(__xludf.DUMMYFUNCTION("""COMPUTED_VALUE"""),554112.0)</f>
        <v>554112</v>
      </c>
      <c r="I142" s="235">
        <f>IFERROR(__xludf.DUMMYFUNCTION("""COMPUTED_VALUE"""),104.0)</f>
        <v>104</v>
      </c>
      <c r="J142" s="235">
        <f>IFERROR(__xludf.DUMMYFUNCTION("""COMPUTED_VALUE"""),83.0)</f>
        <v>83</v>
      </c>
      <c r="K142" s="235">
        <f>IFERROR(__xludf.DUMMYFUNCTION("""COMPUTED_VALUE"""),22129.0)</f>
        <v>22129</v>
      </c>
      <c r="L142" s="235">
        <f>IFERROR(__xludf.DUMMYFUNCTION("""COMPUTED_VALUE"""),3048.0)</f>
        <v>3048</v>
      </c>
      <c r="M142" s="235">
        <f>IFERROR(__xludf.DUMMYFUNCTION("""COMPUTED_VALUE"""),263227.0)</f>
        <v>263227</v>
      </c>
      <c r="N142" s="235">
        <f>IFERROR(__xludf.DUMMYFUNCTION("""COMPUTED_VALUE"""),285356.0)</f>
        <v>285356</v>
      </c>
      <c r="O142" s="235">
        <f>IFERROR(__xludf.DUMMYFUNCTION("""COMPUTED_VALUE"""),9.0)</f>
        <v>9</v>
      </c>
      <c r="P142" s="235">
        <f>IFERROR(__xludf.DUMMYFUNCTION("""COMPUTED_VALUE"""),2584.0)</f>
        <v>2584</v>
      </c>
      <c r="Q142" s="235">
        <f>IFERROR(__xludf.DUMMYFUNCTION("""COMPUTED_VALUE"""),10.0)</f>
        <v>10</v>
      </c>
      <c r="R142" s="235">
        <f>IFERROR(__xludf.DUMMYFUNCTION("""COMPUTED_VALUE"""),2181.0)</f>
        <v>2181</v>
      </c>
      <c r="S142" s="235">
        <f>IFERROR(__xludf.DUMMYFUNCTION("""COMPUTED_VALUE"""),1.0)</f>
        <v>1</v>
      </c>
      <c r="T142" s="235">
        <f>IFERROR(__xludf.DUMMYFUNCTION("""COMPUTED_VALUE"""),338.0)</f>
        <v>338</v>
      </c>
      <c r="U142" s="235">
        <f>IFERROR(__xludf.DUMMYFUNCTION("""COMPUTED_VALUE"""),65.0)</f>
        <v>65</v>
      </c>
      <c r="V142" s="235">
        <f>IFERROR(__xludf.DUMMYFUNCTION("""COMPUTED_VALUE"""),68.0)</f>
        <v>68</v>
      </c>
      <c r="W142" s="235">
        <f>IFERROR(__xludf.DUMMYFUNCTION("""COMPUTED_VALUE"""),8.0)</f>
        <v>8</v>
      </c>
      <c r="X142" s="235">
        <f>IFERROR(__xludf.DUMMYFUNCTION("""COMPUTED_VALUE"""),4.0)</f>
        <v>4</v>
      </c>
      <c r="Y142" s="235">
        <f>IFERROR(__xludf.DUMMYFUNCTION("""COMPUTED_VALUE"""),2.0)</f>
        <v>2</v>
      </c>
      <c r="Z142" s="235">
        <f>IFERROR(__xludf.DUMMYFUNCTION("""COMPUTED_VALUE"""),1080.0)</f>
        <v>1080</v>
      </c>
    </row>
    <row r="143">
      <c r="A143" s="234">
        <f>IFERROR(__xludf.DUMMYFUNCTION("""COMPUTED_VALUE"""),44077.0)</f>
        <v>44077</v>
      </c>
      <c r="B143" s="235">
        <f>IFERROR(__xludf.DUMMYFUNCTION("""COMPUTED_VALUE"""),90.0)</f>
        <v>90</v>
      </c>
      <c r="C143" s="235">
        <f>IFERROR(__xludf.DUMMYFUNCTION("""COMPUTED_VALUE"""),104.0)</f>
        <v>104</v>
      </c>
      <c r="D143" s="235">
        <f>IFERROR(__xludf.DUMMYFUNCTION("""COMPUTED_VALUE"""),31801.0)</f>
        <v>31801</v>
      </c>
      <c r="E143" s="235">
        <f>IFERROR(__xludf.DUMMYFUNCTION("""COMPUTED_VALUE"""),11065.0)</f>
        <v>11065</v>
      </c>
      <c r="F143" s="172">
        <f>IFERROR(__xludf.DUMMYFUNCTION("""COMPUTED_VALUE"""),533466.0)</f>
        <v>533466</v>
      </c>
      <c r="G143" s="172">
        <f>IFERROR(__xludf.DUMMYFUNCTION("""COMPUTED_VALUE"""),11155.0)</f>
        <v>11155</v>
      </c>
      <c r="H143" s="172">
        <f>IFERROR(__xludf.DUMMYFUNCTION("""COMPUTED_VALUE"""),565267.0)</f>
        <v>565267</v>
      </c>
      <c r="I143" s="235">
        <f>IFERROR(__xludf.DUMMYFUNCTION("""COMPUTED_VALUE"""),73.0)</f>
        <v>73</v>
      </c>
      <c r="J143" s="235">
        <f>IFERROR(__xludf.DUMMYFUNCTION("""COMPUTED_VALUE"""),81.0)</f>
        <v>81</v>
      </c>
      <c r="K143" s="235">
        <f>IFERROR(__xludf.DUMMYFUNCTION("""COMPUTED_VALUE"""),22202.0)</f>
        <v>22202</v>
      </c>
      <c r="L143" s="235">
        <f>IFERROR(__xludf.DUMMYFUNCTION("""COMPUTED_VALUE"""),2579.0)</f>
        <v>2579</v>
      </c>
      <c r="M143" s="235">
        <f>IFERROR(__xludf.DUMMYFUNCTION("""COMPUTED_VALUE"""),265806.0)</f>
        <v>265806</v>
      </c>
      <c r="N143" s="235">
        <f>IFERROR(__xludf.DUMMYFUNCTION("""COMPUTED_VALUE"""),288008.0)</f>
        <v>288008</v>
      </c>
      <c r="O143" s="235">
        <f>IFERROR(__xludf.DUMMYFUNCTION("""COMPUTED_VALUE"""),8.0)</f>
        <v>8</v>
      </c>
      <c r="P143" s="235">
        <f>IFERROR(__xludf.DUMMYFUNCTION("""COMPUTED_VALUE"""),2592.0)</f>
        <v>2592</v>
      </c>
      <c r="Q143" s="235">
        <f>IFERROR(__xludf.DUMMYFUNCTION("""COMPUTED_VALUE"""),8.0)</f>
        <v>8</v>
      </c>
      <c r="R143" s="235">
        <f>IFERROR(__xludf.DUMMYFUNCTION("""COMPUTED_VALUE"""),2189.0)</f>
        <v>2189</v>
      </c>
      <c r="S143" s="235">
        <f>IFERROR(__xludf.DUMMYFUNCTION("""COMPUTED_VALUE"""),0.0)</f>
        <v>0</v>
      </c>
      <c r="T143" s="235">
        <f>IFERROR(__xludf.DUMMYFUNCTION("""COMPUTED_VALUE"""),338.0)</f>
        <v>338</v>
      </c>
      <c r="U143" s="235">
        <f>IFERROR(__xludf.DUMMYFUNCTION("""COMPUTED_VALUE"""),65.0)</f>
        <v>65</v>
      </c>
      <c r="V143" s="235">
        <f>IFERROR(__xludf.DUMMYFUNCTION("""COMPUTED_VALUE"""),66.0)</f>
        <v>66</v>
      </c>
      <c r="W143" s="235">
        <f>IFERROR(__xludf.DUMMYFUNCTION("""COMPUTED_VALUE"""),9.0)</f>
        <v>9</v>
      </c>
      <c r="X143" s="235">
        <f>IFERROR(__xludf.DUMMYFUNCTION("""COMPUTED_VALUE"""),4.0)</f>
        <v>4</v>
      </c>
      <c r="Y143" s="235">
        <f>IFERROR(__xludf.DUMMYFUNCTION("""COMPUTED_VALUE"""),3.0)</f>
        <v>3</v>
      </c>
      <c r="Z143" s="235">
        <f>IFERROR(__xludf.DUMMYFUNCTION("""COMPUTED_VALUE"""),1083.0)</f>
        <v>1083</v>
      </c>
    </row>
    <row r="144">
      <c r="A144" s="234">
        <f>IFERROR(__xludf.DUMMYFUNCTION("""COMPUTED_VALUE"""),44078.0)</f>
        <v>44078</v>
      </c>
      <c r="B144" s="235">
        <f>IFERROR(__xludf.DUMMYFUNCTION("""COMPUTED_VALUE"""),102.0)</f>
        <v>102</v>
      </c>
      <c r="C144" s="235">
        <f>IFERROR(__xludf.DUMMYFUNCTION("""COMPUTED_VALUE"""),106.0)</f>
        <v>106</v>
      </c>
      <c r="D144" s="235">
        <f>IFERROR(__xludf.DUMMYFUNCTION("""COMPUTED_VALUE"""),31903.0)</f>
        <v>31903</v>
      </c>
      <c r="E144" s="235">
        <f>IFERROR(__xludf.DUMMYFUNCTION("""COMPUTED_VALUE"""),8953.0)</f>
        <v>8953</v>
      </c>
      <c r="F144" s="172">
        <f>IFERROR(__xludf.DUMMYFUNCTION("""COMPUTED_VALUE"""),542419.0)</f>
        <v>542419</v>
      </c>
      <c r="G144" s="172">
        <f>IFERROR(__xludf.DUMMYFUNCTION("""COMPUTED_VALUE"""),9055.0)</f>
        <v>9055</v>
      </c>
      <c r="H144" s="172">
        <f>IFERROR(__xludf.DUMMYFUNCTION("""COMPUTED_VALUE"""),574322.0)</f>
        <v>574322</v>
      </c>
      <c r="I144" s="235">
        <f>IFERROR(__xludf.DUMMYFUNCTION("""COMPUTED_VALUE"""),84.0)</f>
        <v>84</v>
      </c>
      <c r="J144" s="235">
        <f>IFERROR(__xludf.DUMMYFUNCTION("""COMPUTED_VALUE"""),87.0)</f>
        <v>87</v>
      </c>
      <c r="K144" s="235">
        <f>IFERROR(__xludf.DUMMYFUNCTION("""COMPUTED_VALUE"""),22286.0)</f>
        <v>22286</v>
      </c>
      <c r="L144" s="235">
        <f>IFERROR(__xludf.DUMMYFUNCTION("""COMPUTED_VALUE"""),2361.0)</f>
        <v>2361</v>
      </c>
      <c r="M144" s="235">
        <f>IFERROR(__xludf.DUMMYFUNCTION("""COMPUTED_VALUE"""),268167.0)</f>
        <v>268167</v>
      </c>
      <c r="N144" s="235">
        <f>IFERROR(__xludf.DUMMYFUNCTION("""COMPUTED_VALUE"""),290453.0)</f>
        <v>290453</v>
      </c>
      <c r="O144" s="235">
        <f>IFERROR(__xludf.DUMMYFUNCTION("""COMPUTED_VALUE"""),11.0)</f>
        <v>11</v>
      </c>
      <c r="P144" s="235">
        <f>IFERROR(__xludf.DUMMYFUNCTION("""COMPUTED_VALUE"""),2603.0)</f>
        <v>2603</v>
      </c>
      <c r="Q144" s="235">
        <f>IFERROR(__xludf.DUMMYFUNCTION("""COMPUTED_VALUE"""),4.0)</f>
        <v>4</v>
      </c>
      <c r="R144" s="235">
        <f>IFERROR(__xludf.DUMMYFUNCTION("""COMPUTED_VALUE"""),2193.0)</f>
        <v>2193</v>
      </c>
      <c r="S144" s="235">
        <f>IFERROR(__xludf.DUMMYFUNCTION("""COMPUTED_VALUE"""),0.0)</f>
        <v>0</v>
      </c>
      <c r="T144" s="235">
        <f>IFERROR(__xludf.DUMMYFUNCTION("""COMPUTED_VALUE"""),338.0)</f>
        <v>338</v>
      </c>
      <c r="U144" s="235">
        <f>IFERROR(__xludf.DUMMYFUNCTION("""COMPUTED_VALUE"""),72.0)</f>
        <v>72</v>
      </c>
      <c r="V144" s="235">
        <f>IFERROR(__xludf.DUMMYFUNCTION("""COMPUTED_VALUE"""),67.0)</f>
        <v>67</v>
      </c>
      <c r="W144" s="235">
        <f>IFERROR(__xludf.DUMMYFUNCTION("""COMPUTED_VALUE"""),9.0)</f>
        <v>9</v>
      </c>
      <c r="X144" s="235">
        <f>IFERROR(__xludf.DUMMYFUNCTION("""COMPUTED_VALUE"""),4.0)</f>
        <v>4</v>
      </c>
      <c r="Y144" s="235">
        <f>IFERROR(__xludf.DUMMYFUNCTION("""COMPUTED_VALUE"""),1.0)</f>
        <v>1</v>
      </c>
      <c r="Z144" s="235">
        <f>IFERROR(__xludf.DUMMYFUNCTION("""COMPUTED_VALUE"""),1084.0)</f>
        <v>1084</v>
      </c>
    </row>
    <row r="145">
      <c r="A145" s="234">
        <f>IFERROR(__xludf.DUMMYFUNCTION("""COMPUTED_VALUE"""),44079.0)</f>
        <v>44079</v>
      </c>
      <c r="B145" s="235">
        <f>IFERROR(__xludf.DUMMYFUNCTION("""COMPUTED_VALUE"""),52.0)</f>
        <v>52</v>
      </c>
      <c r="C145" s="235">
        <f>IFERROR(__xludf.DUMMYFUNCTION("""COMPUTED_VALUE"""),81.0)</f>
        <v>81</v>
      </c>
      <c r="D145" s="235">
        <f>IFERROR(__xludf.DUMMYFUNCTION("""COMPUTED_VALUE"""),31955.0)</f>
        <v>31955</v>
      </c>
      <c r="E145" s="235">
        <f>IFERROR(__xludf.DUMMYFUNCTION("""COMPUTED_VALUE"""),6303.0)</f>
        <v>6303</v>
      </c>
      <c r="F145" s="172">
        <f>IFERROR(__xludf.DUMMYFUNCTION("""COMPUTED_VALUE"""),548722.0)</f>
        <v>548722</v>
      </c>
      <c r="G145" s="172">
        <f>IFERROR(__xludf.DUMMYFUNCTION("""COMPUTED_VALUE"""),6355.0)</f>
        <v>6355</v>
      </c>
      <c r="H145" s="172">
        <f>IFERROR(__xludf.DUMMYFUNCTION("""COMPUTED_VALUE"""),580677.0)</f>
        <v>580677</v>
      </c>
      <c r="I145" s="235">
        <f>IFERROR(__xludf.DUMMYFUNCTION("""COMPUTED_VALUE"""),42.0)</f>
        <v>42</v>
      </c>
      <c r="J145" s="235">
        <f>IFERROR(__xludf.DUMMYFUNCTION("""COMPUTED_VALUE"""),66.0)</f>
        <v>66</v>
      </c>
      <c r="K145" s="235">
        <f>IFERROR(__xludf.DUMMYFUNCTION("""COMPUTED_VALUE"""),22328.0)</f>
        <v>22328</v>
      </c>
      <c r="L145" s="235">
        <f>IFERROR(__xludf.DUMMYFUNCTION("""COMPUTED_VALUE"""),1597.0)</f>
        <v>1597</v>
      </c>
      <c r="M145" s="235">
        <f>IFERROR(__xludf.DUMMYFUNCTION("""COMPUTED_VALUE"""),269764.0)</f>
        <v>269764</v>
      </c>
      <c r="N145" s="235">
        <f>IFERROR(__xludf.DUMMYFUNCTION("""COMPUTED_VALUE"""),292092.0)</f>
        <v>292092</v>
      </c>
      <c r="O145" s="235">
        <f>IFERROR(__xludf.DUMMYFUNCTION("""COMPUTED_VALUE"""),6.0)</f>
        <v>6</v>
      </c>
      <c r="P145" s="235">
        <f>IFERROR(__xludf.DUMMYFUNCTION("""COMPUTED_VALUE"""),2609.0)</f>
        <v>2609</v>
      </c>
      <c r="Q145" s="235">
        <f>IFERROR(__xludf.DUMMYFUNCTION("""COMPUTED_VALUE"""),9.0)</f>
        <v>9</v>
      </c>
      <c r="R145" s="235">
        <f>IFERROR(__xludf.DUMMYFUNCTION("""COMPUTED_VALUE"""),2202.0)</f>
        <v>2202</v>
      </c>
      <c r="S145" s="235">
        <f>IFERROR(__xludf.DUMMYFUNCTION("""COMPUTED_VALUE"""),0.0)</f>
        <v>0</v>
      </c>
      <c r="T145" s="235">
        <f>IFERROR(__xludf.DUMMYFUNCTION("""COMPUTED_VALUE"""),338.0)</f>
        <v>338</v>
      </c>
      <c r="U145" s="235">
        <f>IFERROR(__xludf.DUMMYFUNCTION("""COMPUTED_VALUE"""),69.0)</f>
        <v>69</v>
      </c>
      <c r="V145" s="235">
        <f>IFERROR(__xludf.DUMMYFUNCTION("""COMPUTED_VALUE"""),69.0)</f>
        <v>69</v>
      </c>
      <c r="W145" s="235">
        <f>IFERROR(__xludf.DUMMYFUNCTION("""COMPUTED_VALUE"""),8.0)</f>
        <v>8</v>
      </c>
      <c r="X145" s="235">
        <f>IFERROR(__xludf.DUMMYFUNCTION("""COMPUTED_VALUE"""),3.0)</f>
        <v>3</v>
      </c>
      <c r="Y145" s="235">
        <f>IFERROR(__xludf.DUMMYFUNCTION("""COMPUTED_VALUE"""),1.0)</f>
        <v>1</v>
      </c>
      <c r="Z145" s="235">
        <f>IFERROR(__xludf.DUMMYFUNCTION("""COMPUTED_VALUE"""),1085.0)</f>
        <v>1085</v>
      </c>
    </row>
    <row r="146">
      <c r="A146" s="234">
        <f>IFERROR(__xludf.DUMMYFUNCTION("""COMPUTED_VALUE"""),44080.0)</f>
        <v>44080</v>
      </c>
      <c r="B146" s="235">
        <f>IFERROR(__xludf.DUMMYFUNCTION("""COMPUTED_VALUE"""),87.0)</f>
        <v>87</v>
      </c>
      <c r="C146" s="235">
        <f>IFERROR(__xludf.DUMMYFUNCTION("""COMPUTED_VALUE"""),80.0)</f>
        <v>80</v>
      </c>
      <c r="D146" s="235">
        <f>IFERROR(__xludf.DUMMYFUNCTION("""COMPUTED_VALUE"""),32042.0)</f>
        <v>32042</v>
      </c>
      <c r="E146" s="235">
        <f>IFERROR(__xludf.DUMMYFUNCTION("""COMPUTED_VALUE"""),4319.0)</f>
        <v>4319</v>
      </c>
      <c r="F146" s="172">
        <f>IFERROR(__xludf.DUMMYFUNCTION("""COMPUTED_VALUE"""),553041.0)</f>
        <v>553041</v>
      </c>
      <c r="G146" s="172">
        <f>IFERROR(__xludf.DUMMYFUNCTION("""COMPUTED_VALUE"""),4406.0)</f>
        <v>4406</v>
      </c>
      <c r="H146" s="172">
        <f>IFERROR(__xludf.DUMMYFUNCTION("""COMPUTED_VALUE"""),585083.0)</f>
        <v>585083</v>
      </c>
      <c r="I146" s="235">
        <f>IFERROR(__xludf.DUMMYFUNCTION("""COMPUTED_VALUE"""),64.0)</f>
        <v>64</v>
      </c>
      <c r="J146" s="235">
        <f>IFERROR(__xludf.DUMMYFUNCTION("""COMPUTED_VALUE"""),63.0)</f>
        <v>63</v>
      </c>
      <c r="K146" s="235">
        <f>IFERROR(__xludf.DUMMYFUNCTION("""COMPUTED_VALUE"""),22392.0)</f>
        <v>22392</v>
      </c>
      <c r="L146" s="235">
        <f>IFERROR(__xludf.DUMMYFUNCTION("""COMPUTED_VALUE"""),1944.0)</f>
        <v>1944</v>
      </c>
      <c r="M146" s="235">
        <f>IFERROR(__xludf.DUMMYFUNCTION("""COMPUTED_VALUE"""),271708.0)</f>
        <v>271708</v>
      </c>
      <c r="N146" s="235">
        <f>IFERROR(__xludf.DUMMYFUNCTION("""COMPUTED_VALUE"""),294100.0)</f>
        <v>294100</v>
      </c>
      <c r="O146" s="235">
        <f>IFERROR(__xludf.DUMMYFUNCTION("""COMPUTED_VALUE"""),4.0)</f>
        <v>4</v>
      </c>
      <c r="P146" s="235">
        <f>IFERROR(__xludf.DUMMYFUNCTION("""COMPUTED_VALUE"""),2613.0)</f>
        <v>2613</v>
      </c>
      <c r="Q146" s="235">
        <f>IFERROR(__xludf.DUMMYFUNCTION("""COMPUTED_VALUE"""),8.0)</f>
        <v>8</v>
      </c>
      <c r="R146" s="235">
        <f>IFERROR(__xludf.DUMMYFUNCTION("""COMPUTED_VALUE"""),2210.0)</f>
        <v>2210</v>
      </c>
      <c r="S146" s="235">
        <f>IFERROR(__xludf.DUMMYFUNCTION("""COMPUTED_VALUE"""),1.0)</f>
        <v>1</v>
      </c>
      <c r="T146" s="235">
        <f>IFERROR(__xludf.DUMMYFUNCTION("""COMPUTED_VALUE"""),339.0)</f>
        <v>339</v>
      </c>
      <c r="U146" s="235">
        <f>IFERROR(__xludf.DUMMYFUNCTION("""COMPUTED_VALUE"""),64.0)</f>
        <v>64</v>
      </c>
      <c r="V146" s="235">
        <f>IFERROR(__xludf.DUMMYFUNCTION("""COMPUTED_VALUE"""),68.0)</f>
        <v>68</v>
      </c>
      <c r="W146" s="235">
        <f>IFERROR(__xludf.DUMMYFUNCTION("""COMPUTED_VALUE"""),6.0)</f>
        <v>6</v>
      </c>
      <c r="X146" s="235">
        <f>IFERROR(__xludf.DUMMYFUNCTION("""COMPUTED_VALUE"""),3.0)</f>
        <v>3</v>
      </c>
      <c r="Y146" s="235">
        <f>IFERROR(__xludf.DUMMYFUNCTION("""COMPUTED_VALUE"""),1.0)</f>
        <v>1</v>
      </c>
      <c r="Z146" s="235">
        <f>IFERROR(__xludf.DUMMYFUNCTION("""COMPUTED_VALUE"""),1086.0)</f>
        <v>1086</v>
      </c>
    </row>
    <row r="147">
      <c r="A147" s="234">
        <f>IFERROR(__xludf.DUMMYFUNCTION("""COMPUTED_VALUE"""),44081.0)</f>
        <v>44081</v>
      </c>
      <c r="B147" s="235">
        <f>IFERROR(__xludf.DUMMYFUNCTION("""COMPUTED_VALUE"""),35.0)</f>
        <v>35</v>
      </c>
      <c r="C147" s="235">
        <f>IFERROR(__xludf.DUMMYFUNCTION("""COMPUTED_VALUE"""),58.0)</f>
        <v>58</v>
      </c>
      <c r="D147" s="235">
        <f>IFERROR(__xludf.DUMMYFUNCTION("""COMPUTED_VALUE"""),32077.0)</f>
        <v>32077</v>
      </c>
      <c r="E147" s="235">
        <f>IFERROR(__xludf.DUMMYFUNCTION("""COMPUTED_VALUE"""),3002.0)</f>
        <v>3002</v>
      </c>
      <c r="F147" s="172">
        <f>IFERROR(__xludf.DUMMYFUNCTION("""COMPUTED_VALUE"""),556043.0)</f>
        <v>556043</v>
      </c>
      <c r="G147" s="172">
        <f>IFERROR(__xludf.DUMMYFUNCTION("""COMPUTED_VALUE"""),3037.0)</f>
        <v>3037</v>
      </c>
      <c r="H147" s="172">
        <f>IFERROR(__xludf.DUMMYFUNCTION("""COMPUTED_VALUE"""),588120.0)</f>
        <v>588120</v>
      </c>
      <c r="I147" s="235">
        <f>IFERROR(__xludf.DUMMYFUNCTION("""COMPUTED_VALUE"""),26.0)</f>
        <v>26</v>
      </c>
      <c r="J147" s="235">
        <f>IFERROR(__xludf.DUMMYFUNCTION("""COMPUTED_VALUE"""),44.0)</f>
        <v>44</v>
      </c>
      <c r="K147" s="235">
        <f>IFERROR(__xludf.DUMMYFUNCTION("""COMPUTED_VALUE"""),22418.0)</f>
        <v>22418</v>
      </c>
      <c r="L147" s="235">
        <f>IFERROR(__xludf.DUMMYFUNCTION("""COMPUTED_VALUE"""),645.0)</f>
        <v>645</v>
      </c>
      <c r="M147" s="235">
        <f>IFERROR(__xludf.DUMMYFUNCTION("""COMPUTED_VALUE"""),272353.0)</f>
        <v>272353</v>
      </c>
      <c r="N147" s="235">
        <f>IFERROR(__xludf.DUMMYFUNCTION("""COMPUTED_VALUE"""),294771.0)</f>
        <v>294771</v>
      </c>
      <c r="O147" s="235">
        <f>IFERROR(__xludf.DUMMYFUNCTION("""COMPUTED_VALUE"""),11.0)</f>
        <v>11</v>
      </c>
      <c r="P147" s="235">
        <f>IFERROR(__xludf.DUMMYFUNCTION("""COMPUTED_VALUE"""),2624.0)</f>
        <v>2624</v>
      </c>
      <c r="Q147" s="235">
        <f>IFERROR(__xludf.DUMMYFUNCTION("""COMPUTED_VALUE"""),3.0)</f>
        <v>3</v>
      </c>
      <c r="R147" s="235">
        <f>IFERROR(__xludf.DUMMYFUNCTION("""COMPUTED_VALUE"""),2213.0)</f>
        <v>2213</v>
      </c>
      <c r="S147" s="235">
        <f>IFERROR(__xludf.DUMMYFUNCTION("""COMPUTED_VALUE"""),0.0)</f>
        <v>0</v>
      </c>
      <c r="T147" s="235">
        <f>IFERROR(__xludf.DUMMYFUNCTION("""COMPUTED_VALUE"""),339.0)</f>
        <v>339</v>
      </c>
      <c r="U147" s="235">
        <f>IFERROR(__xludf.DUMMYFUNCTION("""COMPUTED_VALUE"""),72.0)</f>
        <v>72</v>
      </c>
      <c r="V147" s="235">
        <f>IFERROR(__xludf.DUMMYFUNCTION("""COMPUTED_VALUE"""),68.0)</f>
        <v>68</v>
      </c>
      <c r="W147" s="235">
        <f>IFERROR(__xludf.DUMMYFUNCTION("""COMPUTED_VALUE"""),5.0)</f>
        <v>5</v>
      </c>
      <c r="X147" s="235">
        <f>IFERROR(__xludf.DUMMYFUNCTION("""COMPUTED_VALUE"""),3.0)</f>
        <v>3</v>
      </c>
      <c r="Y147" s="235">
        <f>IFERROR(__xludf.DUMMYFUNCTION("""COMPUTED_VALUE"""),1.0)</f>
        <v>1</v>
      </c>
      <c r="Z147" s="235">
        <f>IFERROR(__xludf.DUMMYFUNCTION("""COMPUTED_VALUE"""),1087.0)</f>
        <v>1087</v>
      </c>
    </row>
    <row r="148">
      <c r="A148" s="234">
        <f>IFERROR(__xludf.DUMMYFUNCTION("""COMPUTED_VALUE"""),44082.0)</f>
        <v>44082</v>
      </c>
      <c r="B148" s="235">
        <f>IFERROR(__xludf.DUMMYFUNCTION("""COMPUTED_VALUE"""),74.0)</f>
        <v>74</v>
      </c>
      <c r="C148" s="235">
        <f>IFERROR(__xludf.DUMMYFUNCTION("""COMPUTED_VALUE"""),65.0)</f>
        <v>65</v>
      </c>
      <c r="D148" s="235">
        <f>IFERROR(__xludf.DUMMYFUNCTION("""COMPUTED_VALUE"""),32151.0)</f>
        <v>32151</v>
      </c>
      <c r="E148" s="235">
        <f>IFERROR(__xludf.DUMMYFUNCTION("""COMPUTED_VALUE"""),6376.0)</f>
        <v>6376</v>
      </c>
      <c r="F148" s="172">
        <f>IFERROR(__xludf.DUMMYFUNCTION("""COMPUTED_VALUE"""),562419.0)</f>
        <v>562419</v>
      </c>
      <c r="G148" s="172">
        <f>IFERROR(__xludf.DUMMYFUNCTION("""COMPUTED_VALUE"""),6450.0)</f>
        <v>6450</v>
      </c>
      <c r="H148" s="172">
        <f>IFERROR(__xludf.DUMMYFUNCTION("""COMPUTED_VALUE"""),594570.0)</f>
        <v>594570</v>
      </c>
      <c r="I148" s="235">
        <f>IFERROR(__xludf.DUMMYFUNCTION("""COMPUTED_VALUE"""),66.0)</f>
        <v>66</v>
      </c>
      <c r="J148" s="235">
        <f>IFERROR(__xludf.DUMMYFUNCTION("""COMPUTED_VALUE"""),52.0)</f>
        <v>52</v>
      </c>
      <c r="K148" s="235">
        <f>IFERROR(__xludf.DUMMYFUNCTION("""COMPUTED_VALUE"""),22484.0)</f>
        <v>22484</v>
      </c>
      <c r="L148" s="235">
        <f>IFERROR(__xludf.DUMMYFUNCTION("""COMPUTED_VALUE"""),1590.0)</f>
        <v>1590</v>
      </c>
      <c r="M148" s="235">
        <f>IFERROR(__xludf.DUMMYFUNCTION("""COMPUTED_VALUE"""),273943.0)</f>
        <v>273943</v>
      </c>
      <c r="N148" s="235">
        <f>IFERROR(__xludf.DUMMYFUNCTION("""COMPUTED_VALUE"""),296427.0)</f>
        <v>296427</v>
      </c>
      <c r="O148" s="235">
        <f>IFERROR(__xludf.DUMMYFUNCTION("""COMPUTED_VALUE"""),6.0)</f>
        <v>6</v>
      </c>
      <c r="P148" s="235">
        <f>IFERROR(__xludf.DUMMYFUNCTION("""COMPUTED_VALUE"""),2630.0)</f>
        <v>2630</v>
      </c>
      <c r="Q148" s="235">
        <f>IFERROR(__xludf.DUMMYFUNCTION("""COMPUTED_VALUE"""),12.0)</f>
        <v>12</v>
      </c>
      <c r="R148" s="235">
        <f>IFERROR(__xludf.DUMMYFUNCTION("""COMPUTED_VALUE"""),2225.0)</f>
        <v>2225</v>
      </c>
      <c r="S148" s="235">
        <f>IFERROR(__xludf.DUMMYFUNCTION("""COMPUTED_VALUE"""),1.0)</f>
        <v>1</v>
      </c>
      <c r="T148" s="235">
        <f>IFERROR(__xludf.DUMMYFUNCTION("""COMPUTED_VALUE"""),340.0)</f>
        <v>340</v>
      </c>
      <c r="U148" s="235">
        <f>IFERROR(__xludf.DUMMYFUNCTION("""COMPUTED_VALUE"""),65.0)</f>
        <v>65</v>
      </c>
      <c r="V148" s="235">
        <f>IFERROR(__xludf.DUMMYFUNCTION("""COMPUTED_VALUE"""),67.0)</f>
        <v>67</v>
      </c>
      <c r="W148" s="235">
        <f>IFERROR(__xludf.DUMMYFUNCTION("""COMPUTED_VALUE"""),6.0)</f>
        <v>6</v>
      </c>
      <c r="X148" s="235">
        <f>IFERROR(__xludf.DUMMYFUNCTION("""COMPUTED_VALUE"""),3.0)</f>
        <v>3</v>
      </c>
      <c r="Y148" s="235">
        <f>IFERROR(__xludf.DUMMYFUNCTION("""COMPUTED_VALUE"""),2.0)</f>
        <v>2</v>
      </c>
      <c r="Z148" s="235">
        <f>IFERROR(__xludf.DUMMYFUNCTION("""COMPUTED_VALUE"""),1089.0)</f>
        <v>1089</v>
      </c>
    </row>
    <row r="149">
      <c r="A149" s="234">
        <f>IFERROR(__xludf.DUMMYFUNCTION("""COMPUTED_VALUE"""),44083.0)</f>
        <v>44083</v>
      </c>
      <c r="B149" s="235">
        <f>IFERROR(__xludf.DUMMYFUNCTION("""COMPUTED_VALUE"""),118.0)</f>
        <v>118</v>
      </c>
      <c r="C149" s="235">
        <f>IFERROR(__xludf.DUMMYFUNCTION("""COMPUTED_VALUE"""),76.0)</f>
        <v>76</v>
      </c>
      <c r="D149" s="235">
        <f>IFERROR(__xludf.DUMMYFUNCTION("""COMPUTED_VALUE"""),32269.0)</f>
        <v>32269</v>
      </c>
      <c r="E149" s="235">
        <f>IFERROR(__xludf.DUMMYFUNCTION("""COMPUTED_VALUE"""),8641.0)</f>
        <v>8641</v>
      </c>
      <c r="F149" s="172">
        <f>IFERROR(__xludf.DUMMYFUNCTION("""COMPUTED_VALUE"""),571060.0)</f>
        <v>571060</v>
      </c>
      <c r="G149" s="172">
        <f>IFERROR(__xludf.DUMMYFUNCTION("""COMPUTED_VALUE"""),8759.0)</f>
        <v>8759</v>
      </c>
      <c r="H149" s="172">
        <f>IFERROR(__xludf.DUMMYFUNCTION("""COMPUTED_VALUE"""),603329.0)</f>
        <v>603329</v>
      </c>
      <c r="I149" s="235">
        <f>IFERROR(__xludf.DUMMYFUNCTION("""COMPUTED_VALUE"""),102.0)</f>
        <v>102</v>
      </c>
      <c r="J149" s="235">
        <f>IFERROR(__xludf.DUMMYFUNCTION("""COMPUTED_VALUE"""),65.0)</f>
        <v>65</v>
      </c>
      <c r="K149" s="235">
        <f>IFERROR(__xludf.DUMMYFUNCTION("""COMPUTED_VALUE"""),22586.0)</f>
        <v>22586</v>
      </c>
      <c r="L149" s="235">
        <f>IFERROR(__xludf.DUMMYFUNCTION("""COMPUTED_VALUE"""),2139.0)</f>
        <v>2139</v>
      </c>
      <c r="M149" s="235">
        <f>IFERROR(__xludf.DUMMYFUNCTION("""COMPUTED_VALUE"""),276082.0)</f>
        <v>276082</v>
      </c>
      <c r="N149" s="235">
        <f>IFERROR(__xludf.DUMMYFUNCTION("""COMPUTED_VALUE"""),298668.0)</f>
        <v>298668</v>
      </c>
      <c r="O149" s="235">
        <f>IFERROR(__xludf.DUMMYFUNCTION("""COMPUTED_VALUE"""),9.0)</f>
        <v>9</v>
      </c>
      <c r="P149" s="235">
        <f>IFERROR(__xludf.DUMMYFUNCTION("""COMPUTED_VALUE"""),2639.0)</f>
        <v>2639</v>
      </c>
      <c r="Q149" s="235">
        <f>IFERROR(__xludf.DUMMYFUNCTION("""COMPUTED_VALUE"""),5.0)</f>
        <v>5</v>
      </c>
      <c r="R149" s="235">
        <f>IFERROR(__xludf.DUMMYFUNCTION("""COMPUTED_VALUE"""),2230.0)</f>
        <v>2230</v>
      </c>
      <c r="S149" s="235">
        <f>IFERROR(__xludf.DUMMYFUNCTION("""COMPUTED_VALUE"""),1.0)</f>
        <v>1</v>
      </c>
      <c r="T149" s="235">
        <f>IFERROR(__xludf.DUMMYFUNCTION("""COMPUTED_VALUE"""),341.0)</f>
        <v>341</v>
      </c>
      <c r="U149" s="235">
        <f>IFERROR(__xludf.DUMMYFUNCTION("""COMPUTED_VALUE"""),68.0)</f>
        <v>68</v>
      </c>
      <c r="V149" s="235">
        <f>IFERROR(__xludf.DUMMYFUNCTION("""COMPUTED_VALUE"""),68.0)</f>
        <v>68</v>
      </c>
      <c r="W149" s="235">
        <f>IFERROR(__xludf.DUMMYFUNCTION("""COMPUTED_VALUE"""),9.0)</f>
        <v>9</v>
      </c>
      <c r="X149" s="235">
        <f>IFERROR(__xludf.DUMMYFUNCTION("""COMPUTED_VALUE"""),3.0)</f>
        <v>3</v>
      </c>
      <c r="Y149" s="235">
        <f>IFERROR(__xludf.DUMMYFUNCTION("""COMPUTED_VALUE"""),1.0)</f>
        <v>1</v>
      </c>
      <c r="Z149" s="235">
        <f>IFERROR(__xludf.DUMMYFUNCTION("""COMPUTED_VALUE"""),1090.0)</f>
        <v>1090</v>
      </c>
    </row>
    <row r="150">
      <c r="A150" s="234">
        <f>IFERROR(__xludf.DUMMYFUNCTION("""COMPUTED_VALUE"""),44084.0)</f>
        <v>44084</v>
      </c>
      <c r="B150" s="235">
        <f>IFERROR(__xludf.DUMMYFUNCTION("""COMPUTED_VALUE"""),164.0)</f>
        <v>164</v>
      </c>
      <c r="C150" s="235">
        <f>IFERROR(__xludf.DUMMYFUNCTION("""COMPUTED_VALUE"""),119.0)</f>
        <v>119</v>
      </c>
      <c r="D150" s="235">
        <f>IFERROR(__xludf.DUMMYFUNCTION("""COMPUTED_VALUE"""),32433.0)</f>
        <v>32433</v>
      </c>
      <c r="E150" s="235">
        <f>IFERROR(__xludf.DUMMYFUNCTION("""COMPUTED_VALUE"""),11327.0)</f>
        <v>11327</v>
      </c>
      <c r="F150" s="172">
        <f>IFERROR(__xludf.DUMMYFUNCTION("""COMPUTED_VALUE"""),582387.0)</f>
        <v>582387</v>
      </c>
      <c r="G150" s="172">
        <f>IFERROR(__xludf.DUMMYFUNCTION("""COMPUTED_VALUE"""),11491.0)</f>
        <v>11491</v>
      </c>
      <c r="H150" s="172">
        <f>IFERROR(__xludf.DUMMYFUNCTION("""COMPUTED_VALUE"""),614820.0)</f>
        <v>614820</v>
      </c>
      <c r="I150" s="235">
        <f>IFERROR(__xludf.DUMMYFUNCTION("""COMPUTED_VALUE"""),111.0)</f>
        <v>111</v>
      </c>
      <c r="J150" s="235">
        <f>IFERROR(__xludf.DUMMYFUNCTION("""COMPUTED_VALUE"""),93.0)</f>
        <v>93</v>
      </c>
      <c r="K150" s="235">
        <f>IFERROR(__xludf.DUMMYFUNCTION("""COMPUTED_VALUE"""),22697.0)</f>
        <v>22697</v>
      </c>
      <c r="L150" s="235">
        <f>IFERROR(__xludf.DUMMYFUNCTION("""COMPUTED_VALUE"""),2273.0)</f>
        <v>2273</v>
      </c>
      <c r="M150" s="235">
        <f>IFERROR(__xludf.DUMMYFUNCTION("""COMPUTED_VALUE"""),278355.0)</f>
        <v>278355</v>
      </c>
      <c r="N150" s="235">
        <f>IFERROR(__xludf.DUMMYFUNCTION("""COMPUTED_VALUE"""),301052.0)</f>
        <v>301052</v>
      </c>
      <c r="O150" s="235">
        <f>IFERROR(__xludf.DUMMYFUNCTION("""COMPUTED_VALUE"""),9.0)</f>
        <v>9</v>
      </c>
      <c r="P150" s="235">
        <f>IFERROR(__xludf.DUMMYFUNCTION("""COMPUTED_VALUE"""),2648.0)</f>
        <v>2648</v>
      </c>
      <c r="Q150" s="235">
        <f>IFERROR(__xludf.DUMMYFUNCTION("""COMPUTED_VALUE"""),8.0)</f>
        <v>8</v>
      </c>
      <c r="R150" s="235">
        <f>IFERROR(__xludf.DUMMYFUNCTION("""COMPUTED_VALUE"""),2238.0)</f>
        <v>2238</v>
      </c>
      <c r="S150" s="235">
        <f>IFERROR(__xludf.DUMMYFUNCTION("""COMPUTED_VALUE"""),0.0)</f>
        <v>0</v>
      </c>
      <c r="T150" s="235">
        <f>IFERROR(__xludf.DUMMYFUNCTION("""COMPUTED_VALUE"""),341.0)</f>
        <v>341</v>
      </c>
      <c r="U150" s="235">
        <f>IFERROR(__xludf.DUMMYFUNCTION("""COMPUTED_VALUE"""),69.0)</f>
        <v>69</v>
      </c>
      <c r="V150" s="235">
        <f>IFERROR(__xludf.DUMMYFUNCTION("""COMPUTED_VALUE"""),67.0)</f>
        <v>67</v>
      </c>
      <c r="W150" s="235">
        <f>IFERROR(__xludf.DUMMYFUNCTION("""COMPUTED_VALUE"""),10.0)</f>
        <v>10</v>
      </c>
      <c r="X150" s="235">
        <f>IFERROR(__xludf.DUMMYFUNCTION("""COMPUTED_VALUE"""),3.0)</f>
        <v>3</v>
      </c>
      <c r="Y150" s="235">
        <f>IFERROR(__xludf.DUMMYFUNCTION("""COMPUTED_VALUE"""),1.0)</f>
        <v>1</v>
      </c>
      <c r="Z150" s="235">
        <f>IFERROR(__xludf.DUMMYFUNCTION("""COMPUTED_VALUE"""),1091.0)</f>
        <v>1091</v>
      </c>
    </row>
    <row r="151">
      <c r="A151" s="234">
        <f>IFERROR(__xludf.DUMMYFUNCTION("""COMPUTED_VALUE"""),44085.0)</f>
        <v>44085</v>
      </c>
      <c r="B151" s="235">
        <f>IFERROR(__xludf.DUMMYFUNCTION("""COMPUTED_VALUE"""),120.0)</f>
        <v>120</v>
      </c>
      <c r="C151" s="235">
        <f>IFERROR(__xludf.DUMMYFUNCTION("""COMPUTED_VALUE"""),134.0)</f>
        <v>134</v>
      </c>
      <c r="D151" s="235">
        <f>IFERROR(__xludf.DUMMYFUNCTION("""COMPUTED_VALUE"""),32553.0)</f>
        <v>32553</v>
      </c>
      <c r="E151" s="235">
        <f>IFERROR(__xludf.DUMMYFUNCTION("""COMPUTED_VALUE"""),9449.0)</f>
        <v>9449</v>
      </c>
      <c r="F151" s="172">
        <f>IFERROR(__xludf.DUMMYFUNCTION("""COMPUTED_VALUE"""),591836.0)</f>
        <v>591836</v>
      </c>
      <c r="G151" s="172">
        <f>IFERROR(__xludf.DUMMYFUNCTION("""COMPUTED_VALUE"""),9569.0)</f>
        <v>9569</v>
      </c>
      <c r="H151" s="172">
        <f>IFERROR(__xludf.DUMMYFUNCTION("""COMPUTED_VALUE"""),624389.0)</f>
        <v>624389</v>
      </c>
      <c r="I151" s="235">
        <f>IFERROR(__xludf.DUMMYFUNCTION("""COMPUTED_VALUE"""),98.0)</f>
        <v>98</v>
      </c>
      <c r="J151" s="235">
        <f>IFERROR(__xludf.DUMMYFUNCTION("""COMPUTED_VALUE"""),104.0)</f>
        <v>104</v>
      </c>
      <c r="K151" s="235">
        <f>IFERROR(__xludf.DUMMYFUNCTION("""COMPUTED_VALUE"""),22795.0)</f>
        <v>22795</v>
      </c>
      <c r="L151" s="235">
        <f>IFERROR(__xludf.DUMMYFUNCTION("""COMPUTED_VALUE"""),1964.0)</f>
        <v>1964</v>
      </c>
      <c r="M151" s="235">
        <f>IFERROR(__xludf.DUMMYFUNCTION("""COMPUTED_VALUE"""),280319.0)</f>
        <v>280319</v>
      </c>
      <c r="N151" s="235">
        <f>IFERROR(__xludf.DUMMYFUNCTION("""COMPUTED_VALUE"""),303114.0)</f>
        <v>303114</v>
      </c>
      <c r="O151" s="235">
        <f>IFERROR(__xludf.DUMMYFUNCTION("""COMPUTED_VALUE"""),11.0)</f>
        <v>11</v>
      </c>
      <c r="P151" s="235">
        <f>IFERROR(__xludf.DUMMYFUNCTION("""COMPUTED_VALUE"""),2659.0)</f>
        <v>2659</v>
      </c>
      <c r="Q151" s="235">
        <f>IFERROR(__xludf.DUMMYFUNCTION("""COMPUTED_VALUE"""),11.0)</f>
        <v>11</v>
      </c>
      <c r="R151" s="235">
        <f>IFERROR(__xludf.DUMMYFUNCTION("""COMPUTED_VALUE"""),2249.0)</f>
        <v>2249</v>
      </c>
      <c r="S151" s="235">
        <f>IFERROR(__xludf.DUMMYFUNCTION("""COMPUTED_VALUE"""),0.0)</f>
        <v>0</v>
      </c>
      <c r="T151" s="235">
        <f>IFERROR(__xludf.DUMMYFUNCTION("""COMPUTED_VALUE"""),341.0)</f>
        <v>341</v>
      </c>
      <c r="U151" s="235">
        <f>IFERROR(__xludf.DUMMYFUNCTION("""COMPUTED_VALUE"""),69.0)</f>
        <v>69</v>
      </c>
      <c r="V151" s="235">
        <f>IFERROR(__xludf.DUMMYFUNCTION("""COMPUTED_VALUE"""),69.0)</f>
        <v>69</v>
      </c>
      <c r="W151" s="235">
        <f>IFERROR(__xludf.DUMMYFUNCTION("""COMPUTED_VALUE"""),10.0)</f>
        <v>10</v>
      </c>
      <c r="X151" s="235">
        <f>IFERROR(__xludf.DUMMYFUNCTION("""COMPUTED_VALUE"""),5.0)</f>
        <v>5</v>
      </c>
      <c r="Y151" s="235">
        <f>IFERROR(__xludf.DUMMYFUNCTION("""COMPUTED_VALUE"""),0.0)</f>
        <v>0</v>
      </c>
      <c r="Z151" s="235">
        <f>IFERROR(__xludf.DUMMYFUNCTION("""COMPUTED_VALUE"""),1091.0)</f>
        <v>1091</v>
      </c>
    </row>
    <row r="152">
      <c r="A152" s="234">
        <f>IFERROR(__xludf.DUMMYFUNCTION("""COMPUTED_VALUE"""),44086.0)</f>
        <v>44086</v>
      </c>
      <c r="B152" s="235">
        <f>IFERROR(__xludf.DUMMYFUNCTION("""COMPUTED_VALUE"""),109.0)</f>
        <v>109</v>
      </c>
      <c r="C152" s="235">
        <f>IFERROR(__xludf.DUMMYFUNCTION("""COMPUTED_VALUE"""),131.0)</f>
        <v>131</v>
      </c>
      <c r="D152" s="235">
        <f>IFERROR(__xludf.DUMMYFUNCTION("""COMPUTED_VALUE"""),32662.0)</f>
        <v>32662</v>
      </c>
      <c r="E152" s="235">
        <f>IFERROR(__xludf.DUMMYFUNCTION("""COMPUTED_VALUE"""),6165.0)</f>
        <v>6165</v>
      </c>
      <c r="F152" s="172">
        <f>IFERROR(__xludf.DUMMYFUNCTION("""COMPUTED_VALUE"""),598001.0)</f>
        <v>598001</v>
      </c>
      <c r="G152" s="172">
        <f>IFERROR(__xludf.DUMMYFUNCTION("""COMPUTED_VALUE"""),6274.0)</f>
        <v>6274</v>
      </c>
      <c r="H152" s="172">
        <f>IFERROR(__xludf.DUMMYFUNCTION("""COMPUTED_VALUE"""),630663.0)</f>
        <v>630663</v>
      </c>
      <c r="I152" s="235">
        <f>IFERROR(__xludf.DUMMYFUNCTION("""COMPUTED_VALUE"""),97.0)</f>
        <v>97</v>
      </c>
      <c r="J152" s="235">
        <f>IFERROR(__xludf.DUMMYFUNCTION("""COMPUTED_VALUE"""),102.0)</f>
        <v>102</v>
      </c>
      <c r="K152" s="235">
        <f>IFERROR(__xludf.DUMMYFUNCTION("""COMPUTED_VALUE"""),22892.0)</f>
        <v>22892</v>
      </c>
      <c r="L152" s="235">
        <f>IFERROR(__xludf.DUMMYFUNCTION("""COMPUTED_VALUE"""),1520.0)</f>
        <v>1520</v>
      </c>
      <c r="M152" s="235">
        <f>IFERROR(__xludf.DUMMYFUNCTION("""COMPUTED_VALUE"""),281839.0)</f>
        <v>281839</v>
      </c>
      <c r="N152" s="235">
        <f>IFERROR(__xludf.DUMMYFUNCTION("""COMPUTED_VALUE"""),304731.0)</f>
        <v>304731</v>
      </c>
      <c r="O152" s="235">
        <f>IFERROR(__xludf.DUMMYFUNCTION("""COMPUTED_VALUE"""),8.0)</f>
        <v>8</v>
      </c>
      <c r="P152" s="235">
        <f>IFERROR(__xludf.DUMMYFUNCTION("""COMPUTED_VALUE"""),2667.0)</f>
        <v>2667</v>
      </c>
      <c r="Q152" s="235">
        <f>IFERROR(__xludf.DUMMYFUNCTION("""COMPUTED_VALUE"""),5.0)</f>
        <v>5</v>
      </c>
      <c r="R152" s="235">
        <f>IFERROR(__xludf.DUMMYFUNCTION("""COMPUTED_VALUE"""),2254.0)</f>
        <v>2254</v>
      </c>
      <c r="S152" s="235">
        <f>IFERROR(__xludf.DUMMYFUNCTION("""COMPUTED_VALUE"""),2.0)</f>
        <v>2</v>
      </c>
      <c r="T152" s="235">
        <f>IFERROR(__xludf.DUMMYFUNCTION("""COMPUTED_VALUE"""),343.0)</f>
        <v>343</v>
      </c>
      <c r="U152" s="235">
        <f>IFERROR(__xludf.DUMMYFUNCTION("""COMPUTED_VALUE"""),70.0)</f>
        <v>70</v>
      </c>
      <c r="V152" s="235">
        <f>IFERROR(__xludf.DUMMYFUNCTION("""COMPUTED_VALUE"""),69.0)</f>
        <v>69</v>
      </c>
      <c r="W152" s="235">
        <f>IFERROR(__xludf.DUMMYFUNCTION("""COMPUTED_VALUE"""),9.0)</f>
        <v>9</v>
      </c>
      <c r="X152" s="235">
        <f>IFERROR(__xludf.DUMMYFUNCTION("""COMPUTED_VALUE"""),5.0)</f>
        <v>5</v>
      </c>
      <c r="Y152" s="235">
        <f>IFERROR(__xludf.DUMMYFUNCTION("""COMPUTED_VALUE"""),3.0)</f>
        <v>3</v>
      </c>
      <c r="Z152" s="235">
        <f>IFERROR(__xludf.DUMMYFUNCTION("""COMPUTED_VALUE"""),1094.0)</f>
        <v>1094</v>
      </c>
    </row>
    <row r="153">
      <c r="A153" s="234">
        <f>IFERROR(__xludf.DUMMYFUNCTION("""COMPUTED_VALUE"""),44087.0)</f>
        <v>44087</v>
      </c>
      <c r="B153" s="235">
        <f>IFERROR(__xludf.DUMMYFUNCTION("""COMPUTED_VALUE"""),58.0)</f>
        <v>58</v>
      </c>
      <c r="C153" s="235">
        <f>IFERROR(__xludf.DUMMYFUNCTION("""COMPUTED_VALUE"""),96.0)</f>
        <v>96</v>
      </c>
      <c r="D153" s="235">
        <f>IFERROR(__xludf.DUMMYFUNCTION("""COMPUTED_VALUE"""),32720.0)</f>
        <v>32720</v>
      </c>
      <c r="E153" s="235">
        <f>IFERROR(__xludf.DUMMYFUNCTION("""COMPUTED_VALUE"""),2710.0)</f>
        <v>2710</v>
      </c>
      <c r="F153" s="172">
        <f>IFERROR(__xludf.DUMMYFUNCTION("""COMPUTED_VALUE"""),600711.0)</f>
        <v>600711</v>
      </c>
      <c r="G153" s="172">
        <f>IFERROR(__xludf.DUMMYFUNCTION("""COMPUTED_VALUE"""),2768.0)</f>
        <v>2768</v>
      </c>
      <c r="H153" s="172">
        <f>IFERROR(__xludf.DUMMYFUNCTION("""COMPUTED_VALUE"""),633431.0)</f>
        <v>633431</v>
      </c>
      <c r="I153" s="235">
        <f>IFERROR(__xludf.DUMMYFUNCTION("""COMPUTED_VALUE"""),54.0)</f>
        <v>54</v>
      </c>
      <c r="J153" s="235">
        <f>IFERROR(__xludf.DUMMYFUNCTION("""COMPUTED_VALUE"""),83.0)</f>
        <v>83</v>
      </c>
      <c r="K153" s="235">
        <f>IFERROR(__xludf.DUMMYFUNCTION("""COMPUTED_VALUE"""),22946.0)</f>
        <v>22946</v>
      </c>
      <c r="L153" s="235">
        <f>IFERROR(__xludf.DUMMYFUNCTION("""COMPUTED_VALUE"""),858.0)</f>
        <v>858</v>
      </c>
      <c r="M153" s="235">
        <f>IFERROR(__xludf.DUMMYFUNCTION("""COMPUTED_VALUE"""),282697.0)</f>
        <v>282697</v>
      </c>
      <c r="N153" s="235">
        <f>IFERROR(__xludf.DUMMYFUNCTION("""COMPUTED_VALUE"""),305643.0)</f>
        <v>305643</v>
      </c>
      <c r="O153" s="235">
        <f>IFERROR(__xludf.DUMMYFUNCTION("""COMPUTED_VALUE"""),4.0)</f>
        <v>4</v>
      </c>
      <c r="P153" s="235">
        <f>IFERROR(__xludf.DUMMYFUNCTION("""COMPUTED_VALUE"""),2671.0)</f>
        <v>2671</v>
      </c>
      <c r="Q153" s="235">
        <f>IFERROR(__xludf.DUMMYFUNCTION("""COMPUTED_VALUE"""),3.0)</f>
        <v>3</v>
      </c>
      <c r="R153" s="235">
        <f>IFERROR(__xludf.DUMMYFUNCTION("""COMPUTED_VALUE"""),2257.0)</f>
        <v>2257</v>
      </c>
      <c r="S153" s="235">
        <f>IFERROR(__xludf.DUMMYFUNCTION("""COMPUTED_VALUE"""),0.0)</f>
        <v>0</v>
      </c>
      <c r="T153" s="235">
        <f>IFERROR(__xludf.DUMMYFUNCTION("""COMPUTED_VALUE"""),343.0)</f>
        <v>343</v>
      </c>
      <c r="U153" s="235">
        <f>IFERROR(__xludf.DUMMYFUNCTION("""COMPUTED_VALUE"""),71.0)</f>
        <v>71</v>
      </c>
      <c r="V153" s="235">
        <f>IFERROR(__xludf.DUMMYFUNCTION("""COMPUTED_VALUE"""),70.0)</f>
        <v>70</v>
      </c>
      <c r="W153" s="235">
        <f>IFERROR(__xludf.DUMMYFUNCTION("""COMPUTED_VALUE"""),10.0)</f>
        <v>10</v>
      </c>
      <c r="X153" s="235">
        <f>IFERROR(__xludf.DUMMYFUNCTION("""COMPUTED_VALUE"""),5.0)</f>
        <v>5</v>
      </c>
      <c r="Y153" s="235">
        <f>IFERROR(__xludf.DUMMYFUNCTION("""COMPUTED_VALUE"""),0.0)</f>
        <v>0</v>
      </c>
      <c r="Z153" s="235">
        <f>IFERROR(__xludf.DUMMYFUNCTION("""COMPUTED_VALUE"""),1094.0)</f>
        <v>1094</v>
      </c>
    </row>
    <row r="154">
      <c r="A154" s="234">
        <f>IFERROR(__xludf.DUMMYFUNCTION("""COMPUTED_VALUE"""),44088.0)</f>
        <v>44088</v>
      </c>
      <c r="B154" s="235">
        <f>IFERROR(__xludf.DUMMYFUNCTION("""COMPUTED_VALUE"""),104.0)</f>
        <v>104</v>
      </c>
      <c r="C154" s="235">
        <f>IFERROR(__xludf.DUMMYFUNCTION("""COMPUTED_VALUE"""),90.0)</f>
        <v>90</v>
      </c>
      <c r="D154" s="235">
        <f>IFERROR(__xludf.DUMMYFUNCTION("""COMPUTED_VALUE"""),32824.0)</f>
        <v>32824</v>
      </c>
      <c r="E154" s="235">
        <f>IFERROR(__xludf.DUMMYFUNCTION("""COMPUTED_VALUE"""),6437.0)</f>
        <v>6437</v>
      </c>
      <c r="F154" s="172">
        <f>IFERROR(__xludf.DUMMYFUNCTION("""COMPUTED_VALUE"""),607148.0)</f>
        <v>607148</v>
      </c>
      <c r="G154" s="172">
        <f>IFERROR(__xludf.DUMMYFUNCTION("""COMPUTED_VALUE"""),6541.0)</f>
        <v>6541</v>
      </c>
      <c r="H154" s="172">
        <f>IFERROR(__xludf.DUMMYFUNCTION("""COMPUTED_VALUE"""),639972.0)</f>
        <v>639972</v>
      </c>
      <c r="I154" s="235">
        <f>IFERROR(__xludf.DUMMYFUNCTION("""COMPUTED_VALUE"""),95.0)</f>
        <v>95</v>
      </c>
      <c r="J154" s="235">
        <f>IFERROR(__xludf.DUMMYFUNCTION("""COMPUTED_VALUE"""),82.0)</f>
        <v>82</v>
      </c>
      <c r="K154" s="235">
        <f>IFERROR(__xludf.DUMMYFUNCTION("""COMPUTED_VALUE"""),23041.0)</f>
        <v>23041</v>
      </c>
      <c r="L154" s="235">
        <f>IFERROR(__xludf.DUMMYFUNCTION("""COMPUTED_VALUE"""),1731.0)</f>
        <v>1731</v>
      </c>
      <c r="M154" s="235">
        <f>IFERROR(__xludf.DUMMYFUNCTION("""COMPUTED_VALUE"""),284428.0)</f>
        <v>284428</v>
      </c>
      <c r="N154" s="235">
        <f>IFERROR(__xludf.DUMMYFUNCTION("""COMPUTED_VALUE"""),307469.0)</f>
        <v>307469</v>
      </c>
      <c r="O154" s="235">
        <f>IFERROR(__xludf.DUMMYFUNCTION("""COMPUTED_VALUE"""),5.0)</f>
        <v>5</v>
      </c>
      <c r="P154" s="235">
        <f>IFERROR(__xludf.DUMMYFUNCTION("""COMPUTED_VALUE"""),2676.0)</f>
        <v>2676</v>
      </c>
      <c r="Q154" s="235">
        <f>IFERROR(__xludf.DUMMYFUNCTION("""COMPUTED_VALUE"""),3.0)</f>
        <v>3</v>
      </c>
      <c r="R154" s="235">
        <f>IFERROR(__xludf.DUMMYFUNCTION("""COMPUTED_VALUE"""),2260.0)</f>
        <v>2260</v>
      </c>
      <c r="S154" s="235">
        <f>IFERROR(__xludf.DUMMYFUNCTION("""COMPUTED_VALUE"""),2.0)</f>
        <v>2</v>
      </c>
      <c r="T154" s="235">
        <f>IFERROR(__xludf.DUMMYFUNCTION("""COMPUTED_VALUE"""),345.0)</f>
        <v>345</v>
      </c>
      <c r="U154" s="235">
        <f>IFERROR(__xludf.DUMMYFUNCTION("""COMPUTED_VALUE"""),71.0)</f>
        <v>71</v>
      </c>
      <c r="V154" s="235">
        <f>IFERROR(__xludf.DUMMYFUNCTION("""COMPUTED_VALUE"""),71.0)</f>
        <v>71</v>
      </c>
      <c r="W154" s="235">
        <f>IFERROR(__xludf.DUMMYFUNCTION("""COMPUTED_VALUE"""),10.0)</f>
        <v>10</v>
      </c>
      <c r="X154" s="235">
        <f>IFERROR(__xludf.DUMMYFUNCTION("""COMPUTED_VALUE"""),5.0)</f>
        <v>5</v>
      </c>
      <c r="Y154" s="235">
        <f>IFERROR(__xludf.DUMMYFUNCTION("""COMPUTED_VALUE"""),2.0)</f>
        <v>2</v>
      </c>
      <c r="Z154" s="235">
        <f>IFERROR(__xludf.DUMMYFUNCTION("""COMPUTED_VALUE"""),1096.0)</f>
        <v>1096</v>
      </c>
    </row>
    <row r="155">
      <c r="A155" s="234">
        <f>IFERROR(__xludf.DUMMYFUNCTION("""COMPUTED_VALUE"""),44089.0)</f>
        <v>44089</v>
      </c>
      <c r="B155" s="235">
        <f>IFERROR(__xludf.DUMMYFUNCTION("""COMPUTED_VALUE"""),122.0)</f>
        <v>122</v>
      </c>
      <c r="C155" s="235">
        <f>IFERROR(__xludf.DUMMYFUNCTION("""COMPUTED_VALUE"""),95.0)</f>
        <v>95</v>
      </c>
      <c r="D155" s="235">
        <f>IFERROR(__xludf.DUMMYFUNCTION("""COMPUTED_VALUE"""),32946.0)</f>
        <v>32946</v>
      </c>
      <c r="E155" s="235">
        <f>IFERROR(__xludf.DUMMYFUNCTION("""COMPUTED_VALUE"""),8462.0)</f>
        <v>8462</v>
      </c>
      <c r="F155" s="172">
        <f>IFERROR(__xludf.DUMMYFUNCTION("""COMPUTED_VALUE"""),615610.0)</f>
        <v>615610</v>
      </c>
      <c r="G155" s="172">
        <f>IFERROR(__xludf.DUMMYFUNCTION("""COMPUTED_VALUE"""),8584.0)</f>
        <v>8584</v>
      </c>
      <c r="H155" s="172">
        <f>IFERROR(__xludf.DUMMYFUNCTION("""COMPUTED_VALUE"""),648556.0)</f>
        <v>648556</v>
      </c>
      <c r="I155" s="235">
        <f>IFERROR(__xludf.DUMMYFUNCTION("""COMPUTED_VALUE"""),124.0)</f>
        <v>124</v>
      </c>
      <c r="J155" s="235">
        <f>IFERROR(__xludf.DUMMYFUNCTION("""COMPUTED_VALUE"""),91.0)</f>
        <v>91</v>
      </c>
      <c r="K155" s="235">
        <f>IFERROR(__xludf.DUMMYFUNCTION("""COMPUTED_VALUE"""),23165.0)</f>
        <v>23165</v>
      </c>
      <c r="L155" s="235">
        <f>IFERROR(__xludf.DUMMYFUNCTION("""COMPUTED_VALUE"""),2197.0)</f>
        <v>2197</v>
      </c>
      <c r="M155" s="235">
        <f>IFERROR(__xludf.DUMMYFUNCTION("""COMPUTED_VALUE"""),286625.0)</f>
        <v>286625</v>
      </c>
      <c r="N155" s="235">
        <f>IFERROR(__xludf.DUMMYFUNCTION("""COMPUTED_VALUE"""),309790.0)</f>
        <v>309790</v>
      </c>
      <c r="O155" s="235">
        <f>IFERROR(__xludf.DUMMYFUNCTION("""COMPUTED_VALUE"""),7.0)</f>
        <v>7</v>
      </c>
      <c r="P155" s="235">
        <f>IFERROR(__xludf.DUMMYFUNCTION("""COMPUTED_VALUE"""),2683.0)</f>
        <v>2683</v>
      </c>
      <c r="Q155" s="235">
        <f>IFERROR(__xludf.DUMMYFUNCTION("""COMPUTED_VALUE"""),2.0)</f>
        <v>2</v>
      </c>
      <c r="R155" s="235">
        <f>IFERROR(__xludf.DUMMYFUNCTION("""COMPUTED_VALUE"""),2262.0)</f>
        <v>2262</v>
      </c>
      <c r="S155" s="235">
        <f>IFERROR(__xludf.DUMMYFUNCTION("""COMPUTED_VALUE"""),1.0)</f>
        <v>1</v>
      </c>
      <c r="T155" s="235">
        <f>IFERROR(__xludf.DUMMYFUNCTION("""COMPUTED_VALUE"""),346.0)</f>
        <v>346</v>
      </c>
      <c r="U155" s="235">
        <f>IFERROR(__xludf.DUMMYFUNCTION("""COMPUTED_VALUE"""),75.0)</f>
        <v>75</v>
      </c>
      <c r="V155" s="235">
        <f>IFERROR(__xludf.DUMMYFUNCTION("""COMPUTED_VALUE"""),72.0)</f>
        <v>72</v>
      </c>
      <c r="W155" s="235">
        <f>IFERROR(__xludf.DUMMYFUNCTION("""COMPUTED_VALUE"""),10.0)</f>
        <v>10</v>
      </c>
      <c r="X155" s="235">
        <f>IFERROR(__xludf.DUMMYFUNCTION("""COMPUTED_VALUE"""),5.0)</f>
        <v>5</v>
      </c>
      <c r="Y155" s="235">
        <f>IFERROR(__xludf.DUMMYFUNCTION("""COMPUTED_VALUE"""),2.0)</f>
        <v>2</v>
      </c>
      <c r="Z155" s="235">
        <f>IFERROR(__xludf.DUMMYFUNCTION("""COMPUTED_VALUE"""),1098.0)</f>
        <v>1098</v>
      </c>
    </row>
    <row r="156">
      <c r="A156" s="234">
        <f>IFERROR(__xludf.DUMMYFUNCTION("""COMPUTED_VALUE"""),44090.0)</f>
        <v>44090</v>
      </c>
      <c r="B156" s="235">
        <f>IFERROR(__xludf.DUMMYFUNCTION("""COMPUTED_VALUE"""),137.0)</f>
        <v>137</v>
      </c>
      <c r="C156" s="235">
        <f>IFERROR(__xludf.DUMMYFUNCTION("""COMPUTED_VALUE"""),121.0)</f>
        <v>121</v>
      </c>
      <c r="D156" s="235">
        <f>IFERROR(__xludf.DUMMYFUNCTION("""COMPUTED_VALUE"""),33083.0)</f>
        <v>33083</v>
      </c>
      <c r="E156" s="235">
        <f>IFERROR(__xludf.DUMMYFUNCTION("""COMPUTED_VALUE"""),9712.0)</f>
        <v>9712</v>
      </c>
      <c r="F156" s="172">
        <f>IFERROR(__xludf.DUMMYFUNCTION("""COMPUTED_VALUE"""),625322.0)</f>
        <v>625322</v>
      </c>
      <c r="G156" s="172">
        <f>IFERROR(__xludf.DUMMYFUNCTION("""COMPUTED_VALUE"""),9849.0)</f>
        <v>9849</v>
      </c>
      <c r="H156" s="172">
        <f>IFERROR(__xludf.DUMMYFUNCTION("""COMPUTED_VALUE"""),658405.0)</f>
        <v>658405</v>
      </c>
      <c r="I156" s="235">
        <f>IFERROR(__xludf.DUMMYFUNCTION("""COMPUTED_VALUE"""),118.0)</f>
        <v>118</v>
      </c>
      <c r="J156" s="235">
        <f>IFERROR(__xludf.DUMMYFUNCTION("""COMPUTED_VALUE"""),112.0)</f>
        <v>112</v>
      </c>
      <c r="K156" s="235">
        <f>IFERROR(__xludf.DUMMYFUNCTION("""COMPUTED_VALUE"""),23283.0)</f>
        <v>23283</v>
      </c>
      <c r="L156" s="235">
        <f>IFERROR(__xludf.DUMMYFUNCTION("""COMPUTED_VALUE"""),1972.0)</f>
        <v>1972</v>
      </c>
      <c r="M156" s="235">
        <f>IFERROR(__xludf.DUMMYFUNCTION("""COMPUTED_VALUE"""),288597.0)</f>
        <v>288597</v>
      </c>
      <c r="N156" s="235">
        <f>IFERROR(__xludf.DUMMYFUNCTION("""COMPUTED_VALUE"""),311880.0)</f>
        <v>311880</v>
      </c>
      <c r="O156" s="235">
        <f>IFERROR(__xludf.DUMMYFUNCTION("""COMPUTED_VALUE"""),7.0)</f>
        <v>7</v>
      </c>
      <c r="P156" s="235">
        <f>IFERROR(__xludf.DUMMYFUNCTION("""COMPUTED_VALUE"""),2690.0)</f>
        <v>2690</v>
      </c>
      <c r="Q156" s="235">
        <f>IFERROR(__xludf.DUMMYFUNCTION("""COMPUTED_VALUE"""),7.0)</f>
        <v>7</v>
      </c>
      <c r="R156" s="235">
        <f>IFERROR(__xludf.DUMMYFUNCTION("""COMPUTED_VALUE"""),2269.0)</f>
        <v>2269</v>
      </c>
      <c r="S156" s="235">
        <f>IFERROR(__xludf.DUMMYFUNCTION("""COMPUTED_VALUE"""),2.0)</f>
        <v>2</v>
      </c>
      <c r="T156" s="235">
        <f>IFERROR(__xludf.DUMMYFUNCTION("""COMPUTED_VALUE"""),348.0)</f>
        <v>348</v>
      </c>
      <c r="U156" s="235">
        <f>IFERROR(__xludf.DUMMYFUNCTION("""COMPUTED_VALUE"""),73.0)</f>
        <v>73</v>
      </c>
      <c r="V156" s="235">
        <f>IFERROR(__xludf.DUMMYFUNCTION("""COMPUTED_VALUE"""),73.0)</f>
        <v>73</v>
      </c>
      <c r="W156" s="235">
        <f>IFERROR(__xludf.DUMMYFUNCTION("""COMPUTED_VALUE"""),9.0)</f>
        <v>9</v>
      </c>
      <c r="X156" s="235">
        <f>IFERROR(__xludf.DUMMYFUNCTION("""COMPUTED_VALUE"""),6.0)</f>
        <v>6</v>
      </c>
      <c r="Y156" s="235">
        <f>IFERROR(__xludf.DUMMYFUNCTION("""COMPUTED_VALUE"""),5.0)</f>
        <v>5</v>
      </c>
      <c r="Z156" s="235">
        <f>IFERROR(__xludf.DUMMYFUNCTION("""COMPUTED_VALUE"""),1103.0)</f>
        <v>1103</v>
      </c>
    </row>
    <row r="157">
      <c r="A157" s="234">
        <f>IFERROR(__xludf.DUMMYFUNCTION("""COMPUTED_VALUE"""),44091.0)</f>
        <v>44091</v>
      </c>
      <c r="B157" s="235">
        <f>IFERROR(__xludf.DUMMYFUNCTION("""COMPUTED_VALUE"""),124.0)</f>
        <v>124</v>
      </c>
      <c r="C157" s="235">
        <f>IFERROR(__xludf.DUMMYFUNCTION("""COMPUTED_VALUE"""),128.0)</f>
        <v>128</v>
      </c>
      <c r="D157" s="235">
        <f>IFERROR(__xludf.DUMMYFUNCTION("""COMPUTED_VALUE"""),33207.0)</f>
        <v>33207</v>
      </c>
      <c r="E157" s="235">
        <f>IFERROR(__xludf.DUMMYFUNCTION("""COMPUTED_VALUE"""),9234.0)</f>
        <v>9234</v>
      </c>
      <c r="F157" s="172">
        <f>IFERROR(__xludf.DUMMYFUNCTION("""COMPUTED_VALUE"""),634556.0)</f>
        <v>634556</v>
      </c>
      <c r="G157" s="172">
        <f>IFERROR(__xludf.DUMMYFUNCTION("""COMPUTED_VALUE"""),9358.0)</f>
        <v>9358</v>
      </c>
      <c r="H157" s="172">
        <f>IFERROR(__xludf.DUMMYFUNCTION("""COMPUTED_VALUE"""),667763.0)</f>
        <v>667763</v>
      </c>
      <c r="I157" s="235">
        <f>IFERROR(__xludf.DUMMYFUNCTION("""COMPUTED_VALUE"""),154.0)</f>
        <v>154</v>
      </c>
      <c r="J157" s="235">
        <f>IFERROR(__xludf.DUMMYFUNCTION("""COMPUTED_VALUE"""),132.0)</f>
        <v>132</v>
      </c>
      <c r="K157" s="235">
        <f>IFERROR(__xludf.DUMMYFUNCTION("""COMPUTED_VALUE"""),23437.0)</f>
        <v>23437</v>
      </c>
      <c r="L157" s="235">
        <f>IFERROR(__xludf.DUMMYFUNCTION("""COMPUTED_VALUE"""),1948.0)</f>
        <v>1948</v>
      </c>
      <c r="M157" s="235">
        <f>IFERROR(__xludf.DUMMYFUNCTION("""COMPUTED_VALUE"""),290545.0)</f>
        <v>290545</v>
      </c>
      <c r="N157" s="235">
        <f>IFERROR(__xludf.DUMMYFUNCTION("""COMPUTED_VALUE"""),313982.0)</f>
        <v>313982</v>
      </c>
      <c r="O157" s="235">
        <f>IFERROR(__xludf.DUMMYFUNCTION("""COMPUTED_VALUE"""),7.0)</f>
        <v>7</v>
      </c>
      <c r="P157" s="235">
        <f>IFERROR(__xludf.DUMMYFUNCTION("""COMPUTED_VALUE"""),2697.0)</f>
        <v>2697</v>
      </c>
      <c r="Q157" s="235">
        <f>IFERROR(__xludf.DUMMYFUNCTION("""COMPUTED_VALUE"""),14.0)</f>
        <v>14</v>
      </c>
      <c r="R157" s="235">
        <f>IFERROR(__xludf.DUMMYFUNCTION("""COMPUTED_VALUE"""),2283.0)</f>
        <v>2283</v>
      </c>
      <c r="S157" s="235">
        <f>IFERROR(__xludf.DUMMYFUNCTION("""COMPUTED_VALUE"""),0.0)</f>
        <v>0</v>
      </c>
      <c r="T157" s="235">
        <f>IFERROR(__xludf.DUMMYFUNCTION("""COMPUTED_VALUE"""),348.0)</f>
        <v>348</v>
      </c>
      <c r="U157" s="235">
        <f>IFERROR(__xludf.DUMMYFUNCTION("""COMPUTED_VALUE"""),66.0)</f>
        <v>66</v>
      </c>
      <c r="V157" s="235">
        <f>IFERROR(__xludf.DUMMYFUNCTION("""COMPUTED_VALUE"""),71.0)</f>
        <v>71</v>
      </c>
      <c r="W157" s="235">
        <f>IFERROR(__xludf.DUMMYFUNCTION("""COMPUTED_VALUE"""),8.0)</f>
        <v>8</v>
      </c>
      <c r="X157" s="235">
        <f>IFERROR(__xludf.DUMMYFUNCTION("""COMPUTED_VALUE"""),4.0)</f>
        <v>4</v>
      </c>
      <c r="Y157" s="235">
        <f>IFERROR(__xludf.DUMMYFUNCTION("""COMPUTED_VALUE"""),0.0)</f>
        <v>0</v>
      </c>
      <c r="Z157" s="235">
        <f>IFERROR(__xludf.DUMMYFUNCTION("""COMPUTED_VALUE"""),1103.0)</f>
        <v>1103</v>
      </c>
    </row>
    <row r="158">
      <c r="A158" s="234">
        <f>IFERROR(__xludf.DUMMYFUNCTION("""COMPUTED_VALUE"""),44092.0)</f>
        <v>44092</v>
      </c>
      <c r="B158" s="235">
        <f>IFERROR(__xludf.DUMMYFUNCTION("""COMPUTED_VALUE"""),132.0)</f>
        <v>132</v>
      </c>
      <c r="C158" s="235">
        <f>IFERROR(__xludf.DUMMYFUNCTION("""COMPUTED_VALUE"""),131.0)</f>
        <v>131</v>
      </c>
      <c r="D158" s="235">
        <f>IFERROR(__xludf.DUMMYFUNCTION("""COMPUTED_VALUE"""),33339.0)</f>
        <v>33339</v>
      </c>
      <c r="E158" s="235">
        <f>IFERROR(__xludf.DUMMYFUNCTION("""COMPUTED_VALUE"""),10036.0)</f>
        <v>10036</v>
      </c>
      <c r="F158" s="172">
        <f>IFERROR(__xludf.DUMMYFUNCTION("""COMPUTED_VALUE"""),644592.0)</f>
        <v>644592</v>
      </c>
      <c r="G158" s="172">
        <f>IFERROR(__xludf.DUMMYFUNCTION("""COMPUTED_VALUE"""),10168.0)</f>
        <v>10168</v>
      </c>
      <c r="H158" s="172">
        <f>IFERROR(__xludf.DUMMYFUNCTION("""COMPUTED_VALUE"""),677931.0)</f>
        <v>677931</v>
      </c>
      <c r="I158" s="235">
        <f>IFERROR(__xludf.DUMMYFUNCTION("""COMPUTED_VALUE"""),132.0)</f>
        <v>132</v>
      </c>
      <c r="J158" s="235">
        <f>IFERROR(__xludf.DUMMYFUNCTION("""COMPUTED_VALUE"""),135.0)</f>
        <v>135</v>
      </c>
      <c r="K158" s="235">
        <f>IFERROR(__xludf.DUMMYFUNCTION("""COMPUTED_VALUE"""),23569.0)</f>
        <v>23569</v>
      </c>
      <c r="L158" s="235">
        <f>IFERROR(__xludf.DUMMYFUNCTION("""COMPUTED_VALUE"""),1926.0)</f>
        <v>1926</v>
      </c>
      <c r="M158" s="235">
        <f>IFERROR(__xludf.DUMMYFUNCTION("""COMPUTED_VALUE"""),292471.0)</f>
        <v>292471</v>
      </c>
      <c r="N158" s="235">
        <f>IFERROR(__xludf.DUMMYFUNCTION("""COMPUTED_VALUE"""),316040.0)</f>
        <v>316040</v>
      </c>
      <c r="O158" s="235">
        <f>IFERROR(__xludf.DUMMYFUNCTION("""COMPUTED_VALUE"""),7.0)</f>
        <v>7</v>
      </c>
      <c r="P158" s="235">
        <f>IFERROR(__xludf.DUMMYFUNCTION("""COMPUTED_VALUE"""),2704.0)</f>
        <v>2704</v>
      </c>
      <c r="Q158" s="235">
        <f>IFERROR(__xludf.DUMMYFUNCTION("""COMPUTED_VALUE"""),7.0)</f>
        <v>7</v>
      </c>
      <c r="R158" s="235">
        <f>IFERROR(__xludf.DUMMYFUNCTION("""COMPUTED_VALUE"""),2290.0)</f>
        <v>2290</v>
      </c>
      <c r="S158" s="235">
        <f>IFERROR(__xludf.DUMMYFUNCTION("""COMPUTED_VALUE"""),1.0)</f>
        <v>1</v>
      </c>
      <c r="T158" s="235">
        <f>IFERROR(__xludf.DUMMYFUNCTION("""COMPUTED_VALUE"""),349.0)</f>
        <v>349</v>
      </c>
      <c r="U158" s="235">
        <f>IFERROR(__xludf.DUMMYFUNCTION("""COMPUTED_VALUE"""),65.0)</f>
        <v>65</v>
      </c>
      <c r="V158" s="235">
        <f>IFERROR(__xludf.DUMMYFUNCTION("""COMPUTED_VALUE"""),68.0)</f>
        <v>68</v>
      </c>
      <c r="W158" s="235">
        <f>IFERROR(__xludf.DUMMYFUNCTION("""COMPUTED_VALUE"""),11.0)</f>
        <v>11</v>
      </c>
      <c r="X158" s="235">
        <f>IFERROR(__xludf.DUMMYFUNCTION("""COMPUTED_VALUE"""),6.0)</f>
        <v>6</v>
      </c>
      <c r="Y158" s="235">
        <f>IFERROR(__xludf.DUMMYFUNCTION("""COMPUTED_VALUE"""),2.0)</f>
        <v>2</v>
      </c>
      <c r="Z158" s="235">
        <f>IFERROR(__xludf.DUMMYFUNCTION("""COMPUTED_VALUE"""),1105.0)</f>
        <v>1105</v>
      </c>
    </row>
    <row r="159">
      <c r="A159" s="234">
        <f>IFERROR(__xludf.DUMMYFUNCTION("""COMPUTED_VALUE"""),44093.0)</f>
        <v>44093</v>
      </c>
      <c r="B159" s="235">
        <f>IFERROR(__xludf.DUMMYFUNCTION("""COMPUTED_VALUE"""),115.0)</f>
        <v>115</v>
      </c>
      <c r="C159" s="235">
        <f>IFERROR(__xludf.DUMMYFUNCTION("""COMPUTED_VALUE"""),124.0)</f>
        <v>124</v>
      </c>
      <c r="D159" s="235">
        <f>IFERROR(__xludf.DUMMYFUNCTION("""COMPUTED_VALUE"""),33454.0)</f>
        <v>33454</v>
      </c>
      <c r="E159" s="235">
        <f>IFERROR(__xludf.DUMMYFUNCTION("""COMPUTED_VALUE"""),8298.0)</f>
        <v>8298</v>
      </c>
      <c r="F159" s="172">
        <f>IFERROR(__xludf.DUMMYFUNCTION("""COMPUTED_VALUE"""),652890.0)</f>
        <v>652890</v>
      </c>
      <c r="G159" s="172">
        <f>IFERROR(__xludf.DUMMYFUNCTION("""COMPUTED_VALUE"""),8413.0)</f>
        <v>8413</v>
      </c>
      <c r="H159" s="172">
        <f>IFERROR(__xludf.DUMMYFUNCTION("""COMPUTED_VALUE"""),686344.0)</f>
        <v>686344</v>
      </c>
      <c r="I159" s="235">
        <f>IFERROR(__xludf.DUMMYFUNCTION("""COMPUTED_VALUE"""),112.0)</f>
        <v>112</v>
      </c>
      <c r="J159" s="235">
        <f>IFERROR(__xludf.DUMMYFUNCTION("""COMPUTED_VALUE"""),133.0)</f>
        <v>133</v>
      </c>
      <c r="K159" s="235">
        <f>IFERROR(__xludf.DUMMYFUNCTION("""COMPUTED_VALUE"""),23681.0)</f>
        <v>23681</v>
      </c>
      <c r="L159" s="235">
        <f>IFERROR(__xludf.DUMMYFUNCTION("""COMPUTED_VALUE"""),1692.0)</f>
        <v>1692</v>
      </c>
      <c r="M159" s="235">
        <f>IFERROR(__xludf.DUMMYFUNCTION("""COMPUTED_VALUE"""),294163.0)</f>
        <v>294163</v>
      </c>
      <c r="N159" s="235">
        <f>IFERROR(__xludf.DUMMYFUNCTION("""COMPUTED_VALUE"""),317844.0)</f>
        <v>317844</v>
      </c>
      <c r="O159" s="235">
        <f>IFERROR(__xludf.DUMMYFUNCTION("""COMPUTED_VALUE"""),7.0)</f>
        <v>7</v>
      </c>
      <c r="P159" s="235">
        <f>IFERROR(__xludf.DUMMYFUNCTION("""COMPUTED_VALUE"""),2711.0)</f>
        <v>2711</v>
      </c>
      <c r="Q159" s="235">
        <f>IFERROR(__xludf.DUMMYFUNCTION("""COMPUTED_VALUE"""),3.0)</f>
        <v>3</v>
      </c>
      <c r="R159" s="235">
        <f>IFERROR(__xludf.DUMMYFUNCTION("""COMPUTED_VALUE"""),2293.0)</f>
        <v>2293</v>
      </c>
      <c r="S159" s="235">
        <f>IFERROR(__xludf.DUMMYFUNCTION("""COMPUTED_VALUE"""),0.0)</f>
        <v>0</v>
      </c>
      <c r="T159" s="235">
        <f>IFERROR(__xludf.DUMMYFUNCTION("""COMPUTED_VALUE"""),349.0)</f>
        <v>349</v>
      </c>
      <c r="U159" s="235">
        <f>IFERROR(__xludf.DUMMYFUNCTION("""COMPUTED_VALUE"""),69.0)</f>
        <v>69</v>
      </c>
      <c r="V159" s="235">
        <f>IFERROR(__xludf.DUMMYFUNCTION("""COMPUTED_VALUE"""),67.0)</f>
        <v>67</v>
      </c>
      <c r="W159" s="235">
        <f>IFERROR(__xludf.DUMMYFUNCTION("""COMPUTED_VALUE"""),10.0)</f>
        <v>10</v>
      </c>
      <c r="X159" s="235">
        <f>IFERROR(__xludf.DUMMYFUNCTION("""COMPUTED_VALUE"""),6.0)</f>
        <v>6</v>
      </c>
      <c r="Y159" s="235">
        <f>IFERROR(__xludf.DUMMYFUNCTION("""COMPUTED_VALUE"""),4.0)</f>
        <v>4</v>
      </c>
      <c r="Z159" s="235">
        <f>IFERROR(__xludf.DUMMYFUNCTION("""COMPUTED_VALUE"""),1109.0)</f>
        <v>1109</v>
      </c>
    </row>
    <row r="160">
      <c r="A160" s="234">
        <f>IFERROR(__xludf.DUMMYFUNCTION("""COMPUTED_VALUE"""),44094.0)</f>
        <v>44094</v>
      </c>
      <c r="B160" s="235">
        <f>IFERROR(__xludf.DUMMYFUNCTION("""COMPUTED_VALUE"""),60.0)</f>
        <v>60</v>
      </c>
      <c r="C160" s="235">
        <f>IFERROR(__xludf.DUMMYFUNCTION("""COMPUTED_VALUE"""),102.0)</f>
        <v>102</v>
      </c>
      <c r="D160" s="235">
        <f>IFERROR(__xludf.DUMMYFUNCTION("""COMPUTED_VALUE"""),33514.0)</f>
        <v>33514</v>
      </c>
      <c r="E160" s="235">
        <f>IFERROR(__xludf.DUMMYFUNCTION("""COMPUTED_VALUE"""),3671.0)</f>
        <v>3671</v>
      </c>
      <c r="F160" s="172">
        <f>IFERROR(__xludf.DUMMYFUNCTION("""COMPUTED_VALUE"""),656561.0)</f>
        <v>656561</v>
      </c>
      <c r="G160" s="172">
        <f>IFERROR(__xludf.DUMMYFUNCTION("""COMPUTED_VALUE"""),3731.0)</f>
        <v>3731</v>
      </c>
      <c r="H160" s="172">
        <f>IFERROR(__xludf.DUMMYFUNCTION("""COMPUTED_VALUE"""),690075.0)</f>
        <v>690075</v>
      </c>
      <c r="I160" s="235">
        <f>IFERROR(__xludf.DUMMYFUNCTION("""COMPUTED_VALUE"""),49.0)</f>
        <v>49</v>
      </c>
      <c r="J160" s="235">
        <f>IFERROR(__xludf.DUMMYFUNCTION("""COMPUTED_VALUE"""),98.0)</f>
        <v>98</v>
      </c>
      <c r="K160" s="235">
        <f>IFERROR(__xludf.DUMMYFUNCTION("""COMPUTED_VALUE"""),23730.0)</f>
        <v>23730</v>
      </c>
      <c r="L160" s="235">
        <f>IFERROR(__xludf.DUMMYFUNCTION("""COMPUTED_VALUE"""),1324.0)</f>
        <v>1324</v>
      </c>
      <c r="M160" s="235">
        <f>IFERROR(__xludf.DUMMYFUNCTION("""COMPUTED_VALUE"""),295487.0)</f>
        <v>295487</v>
      </c>
      <c r="N160" s="235">
        <f>IFERROR(__xludf.DUMMYFUNCTION("""COMPUTED_VALUE"""),319217.0)</f>
        <v>319217</v>
      </c>
      <c r="O160" s="235">
        <f>IFERROR(__xludf.DUMMYFUNCTION("""COMPUTED_VALUE"""),7.0)</f>
        <v>7</v>
      </c>
      <c r="P160" s="235">
        <f>IFERROR(__xludf.DUMMYFUNCTION("""COMPUTED_VALUE"""),2718.0)</f>
        <v>2718</v>
      </c>
      <c r="Q160" s="235">
        <f>IFERROR(__xludf.DUMMYFUNCTION("""COMPUTED_VALUE"""),6.0)</f>
        <v>6</v>
      </c>
      <c r="R160" s="235">
        <f>IFERROR(__xludf.DUMMYFUNCTION("""COMPUTED_VALUE"""),2299.0)</f>
        <v>2299</v>
      </c>
      <c r="S160" s="235">
        <f>IFERROR(__xludf.DUMMYFUNCTION("""COMPUTED_VALUE"""),2.0)</f>
        <v>2</v>
      </c>
      <c r="T160" s="235">
        <f>IFERROR(__xludf.DUMMYFUNCTION("""COMPUTED_VALUE"""),351.0)</f>
        <v>351</v>
      </c>
      <c r="U160" s="235">
        <f>IFERROR(__xludf.DUMMYFUNCTION("""COMPUTED_VALUE"""),68.0)</f>
        <v>68</v>
      </c>
      <c r="V160" s="235">
        <f>IFERROR(__xludf.DUMMYFUNCTION("""COMPUTED_VALUE"""),67.0)</f>
        <v>67</v>
      </c>
      <c r="W160" s="235">
        <f>IFERROR(__xludf.DUMMYFUNCTION("""COMPUTED_VALUE"""),9.0)</f>
        <v>9</v>
      </c>
      <c r="X160" s="235">
        <f>IFERROR(__xludf.DUMMYFUNCTION("""COMPUTED_VALUE"""),8.0)</f>
        <v>8</v>
      </c>
      <c r="Y160" s="235">
        <f>IFERROR(__xludf.DUMMYFUNCTION("""COMPUTED_VALUE"""),4.0)</f>
        <v>4</v>
      </c>
      <c r="Z160" s="235">
        <f>IFERROR(__xludf.DUMMYFUNCTION("""COMPUTED_VALUE"""),1113.0)</f>
        <v>1113</v>
      </c>
    </row>
    <row r="161">
      <c r="A161" s="234">
        <f>IFERROR(__xludf.DUMMYFUNCTION("""COMPUTED_VALUE"""),44095.0)</f>
        <v>44095</v>
      </c>
      <c r="B161" s="235">
        <f>IFERROR(__xludf.DUMMYFUNCTION("""COMPUTED_VALUE"""),102.0)</f>
        <v>102</v>
      </c>
      <c r="C161" s="235">
        <f>IFERROR(__xludf.DUMMYFUNCTION("""COMPUTED_VALUE"""),92.0)</f>
        <v>92</v>
      </c>
      <c r="D161" s="235">
        <f>IFERROR(__xludf.DUMMYFUNCTION("""COMPUTED_VALUE"""),33616.0)</f>
        <v>33616</v>
      </c>
      <c r="E161" s="235">
        <f>IFERROR(__xludf.DUMMYFUNCTION("""COMPUTED_VALUE"""),7017.0)</f>
        <v>7017</v>
      </c>
      <c r="F161" s="172">
        <f>IFERROR(__xludf.DUMMYFUNCTION("""COMPUTED_VALUE"""),663578.0)</f>
        <v>663578</v>
      </c>
      <c r="G161" s="172">
        <f>IFERROR(__xludf.DUMMYFUNCTION("""COMPUTED_VALUE"""),7119.0)</f>
        <v>7119</v>
      </c>
      <c r="H161" s="172">
        <f>IFERROR(__xludf.DUMMYFUNCTION("""COMPUTED_VALUE"""),697194.0)</f>
        <v>697194</v>
      </c>
      <c r="I161" s="235">
        <f>IFERROR(__xludf.DUMMYFUNCTION("""COMPUTED_VALUE"""),94.0)</f>
        <v>94</v>
      </c>
      <c r="J161" s="235">
        <f>IFERROR(__xludf.DUMMYFUNCTION("""COMPUTED_VALUE"""),85.0)</f>
        <v>85</v>
      </c>
      <c r="K161" s="235">
        <f>IFERROR(__xludf.DUMMYFUNCTION("""COMPUTED_VALUE"""),23824.0)</f>
        <v>23824</v>
      </c>
      <c r="L161" s="235">
        <f>IFERROR(__xludf.DUMMYFUNCTION("""COMPUTED_VALUE"""),2409.0)</f>
        <v>2409</v>
      </c>
      <c r="M161" s="235">
        <f>IFERROR(__xludf.DUMMYFUNCTION("""COMPUTED_VALUE"""),297896.0)</f>
        <v>297896</v>
      </c>
      <c r="N161" s="235">
        <f>IFERROR(__xludf.DUMMYFUNCTION("""COMPUTED_VALUE"""),321720.0)</f>
        <v>321720</v>
      </c>
      <c r="O161" s="235">
        <f>IFERROR(__xludf.DUMMYFUNCTION("""COMPUTED_VALUE"""),12.0)</f>
        <v>12</v>
      </c>
      <c r="P161" s="235">
        <f>IFERROR(__xludf.DUMMYFUNCTION("""COMPUTED_VALUE"""),2730.0)</f>
        <v>2730</v>
      </c>
      <c r="Q161" s="235">
        <f>IFERROR(__xludf.DUMMYFUNCTION("""COMPUTED_VALUE"""),3.0)</f>
        <v>3</v>
      </c>
      <c r="R161" s="235">
        <f>IFERROR(__xludf.DUMMYFUNCTION("""COMPUTED_VALUE"""),2302.0)</f>
        <v>2302</v>
      </c>
      <c r="S161" s="235">
        <f>IFERROR(__xludf.DUMMYFUNCTION("""COMPUTED_VALUE"""),2.0)</f>
        <v>2</v>
      </c>
      <c r="T161" s="235">
        <f>IFERROR(__xludf.DUMMYFUNCTION("""COMPUTED_VALUE"""),353.0)</f>
        <v>353</v>
      </c>
      <c r="U161" s="235">
        <f>IFERROR(__xludf.DUMMYFUNCTION("""COMPUTED_VALUE"""),75.0)</f>
        <v>75</v>
      </c>
      <c r="V161" s="235">
        <f>IFERROR(__xludf.DUMMYFUNCTION("""COMPUTED_VALUE"""),71.0)</f>
        <v>71</v>
      </c>
      <c r="W161" s="235">
        <f>IFERROR(__xludf.DUMMYFUNCTION("""COMPUTED_VALUE"""),8.0)</f>
        <v>8</v>
      </c>
      <c r="X161" s="235">
        <f>IFERROR(__xludf.DUMMYFUNCTION("""COMPUTED_VALUE"""),6.0)</f>
        <v>6</v>
      </c>
      <c r="Y161" s="235">
        <f>IFERROR(__xludf.DUMMYFUNCTION("""COMPUTED_VALUE"""),2.0)</f>
        <v>2</v>
      </c>
      <c r="Z161" s="235">
        <f>IFERROR(__xludf.DUMMYFUNCTION("""COMPUTED_VALUE"""),1115.0)</f>
        <v>1115</v>
      </c>
    </row>
    <row r="162">
      <c r="A162" s="234">
        <f>IFERROR(__xludf.DUMMYFUNCTION("""COMPUTED_VALUE"""),44096.0)</f>
        <v>44096</v>
      </c>
      <c r="B162" s="235">
        <f>IFERROR(__xludf.DUMMYFUNCTION("""COMPUTED_VALUE"""),154.0)</f>
        <v>154</v>
      </c>
      <c r="C162" s="235">
        <f>IFERROR(__xludf.DUMMYFUNCTION("""COMPUTED_VALUE"""),105.0)</f>
        <v>105</v>
      </c>
      <c r="D162" s="235">
        <f>IFERROR(__xludf.DUMMYFUNCTION("""COMPUTED_VALUE"""),33770.0)</f>
        <v>33770</v>
      </c>
      <c r="E162" s="235">
        <f>IFERROR(__xludf.DUMMYFUNCTION("""COMPUTED_VALUE"""),9283.0)</f>
        <v>9283</v>
      </c>
      <c r="F162" s="172">
        <f>IFERROR(__xludf.DUMMYFUNCTION("""COMPUTED_VALUE"""),672861.0)</f>
        <v>672861</v>
      </c>
      <c r="G162" s="172">
        <f>IFERROR(__xludf.DUMMYFUNCTION("""COMPUTED_VALUE"""),9437.0)</f>
        <v>9437</v>
      </c>
      <c r="H162" s="172">
        <f>IFERROR(__xludf.DUMMYFUNCTION("""COMPUTED_VALUE"""),706631.0)</f>
        <v>706631</v>
      </c>
      <c r="I162" s="235">
        <f>IFERROR(__xludf.DUMMYFUNCTION("""COMPUTED_VALUE"""),123.0)</f>
        <v>123</v>
      </c>
      <c r="J162" s="235">
        <f>IFERROR(__xludf.DUMMYFUNCTION("""COMPUTED_VALUE"""),89.0)</f>
        <v>89</v>
      </c>
      <c r="K162" s="235">
        <f>IFERROR(__xludf.DUMMYFUNCTION("""COMPUTED_VALUE"""),23947.0)</f>
        <v>23947</v>
      </c>
      <c r="L162" s="235">
        <f>IFERROR(__xludf.DUMMYFUNCTION("""COMPUTED_VALUE"""),2204.0)</f>
        <v>2204</v>
      </c>
      <c r="M162" s="235">
        <f>IFERROR(__xludf.DUMMYFUNCTION("""COMPUTED_VALUE"""),300100.0)</f>
        <v>300100</v>
      </c>
      <c r="N162" s="235">
        <f>IFERROR(__xludf.DUMMYFUNCTION("""COMPUTED_VALUE"""),324047.0)</f>
        <v>324047</v>
      </c>
      <c r="O162" s="235">
        <f>IFERROR(__xludf.DUMMYFUNCTION("""COMPUTED_VALUE"""),12.0)</f>
        <v>12</v>
      </c>
      <c r="P162" s="235">
        <f>IFERROR(__xludf.DUMMYFUNCTION("""COMPUTED_VALUE"""),2742.0)</f>
        <v>2742</v>
      </c>
      <c r="Q162" s="235">
        <f>IFERROR(__xludf.DUMMYFUNCTION("""COMPUTED_VALUE"""),3.0)</f>
        <v>3</v>
      </c>
      <c r="R162" s="235">
        <f>IFERROR(__xludf.DUMMYFUNCTION("""COMPUTED_VALUE"""),2305.0)</f>
        <v>2305</v>
      </c>
      <c r="S162" s="235">
        <f>IFERROR(__xludf.DUMMYFUNCTION("""COMPUTED_VALUE"""),1.0)</f>
        <v>1</v>
      </c>
      <c r="T162" s="235">
        <f>IFERROR(__xludf.DUMMYFUNCTION("""COMPUTED_VALUE"""),354.0)</f>
        <v>354</v>
      </c>
      <c r="U162" s="235">
        <f>IFERROR(__xludf.DUMMYFUNCTION("""COMPUTED_VALUE"""),83.0)</f>
        <v>83</v>
      </c>
      <c r="V162" s="235">
        <f>IFERROR(__xludf.DUMMYFUNCTION("""COMPUTED_VALUE"""),75.0)</f>
        <v>75</v>
      </c>
      <c r="W162" s="235">
        <f>IFERROR(__xludf.DUMMYFUNCTION("""COMPUTED_VALUE"""),7.0)</f>
        <v>7</v>
      </c>
      <c r="X162" s="235">
        <f>IFERROR(__xludf.DUMMYFUNCTION("""COMPUTED_VALUE"""),5.0)</f>
        <v>5</v>
      </c>
      <c r="Y162" s="235">
        <f>IFERROR(__xludf.DUMMYFUNCTION("""COMPUTED_VALUE"""),1.0)</f>
        <v>1</v>
      </c>
      <c r="Z162" s="235">
        <f>IFERROR(__xludf.DUMMYFUNCTION("""COMPUTED_VALUE"""),1116.0)</f>
        <v>1116</v>
      </c>
    </row>
    <row r="163">
      <c r="A163" s="234">
        <f>IFERROR(__xludf.DUMMYFUNCTION("""COMPUTED_VALUE"""),44097.0)</f>
        <v>44097</v>
      </c>
      <c r="B163" s="235">
        <f>IFERROR(__xludf.DUMMYFUNCTION("""COMPUTED_VALUE"""),136.0)</f>
        <v>136</v>
      </c>
      <c r="C163" s="235">
        <f>IFERROR(__xludf.DUMMYFUNCTION("""COMPUTED_VALUE"""),131.0)</f>
        <v>131</v>
      </c>
      <c r="D163" s="235">
        <f>IFERROR(__xludf.DUMMYFUNCTION("""COMPUTED_VALUE"""),33906.0)</f>
        <v>33906</v>
      </c>
      <c r="E163" s="235">
        <f>IFERROR(__xludf.DUMMYFUNCTION("""COMPUTED_VALUE"""),10646.0)</f>
        <v>10646</v>
      </c>
      <c r="F163" s="172">
        <f>IFERROR(__xludf.DUMMYFUNCTION("""COMPUTED_VALUE"""),683507.0)</f>
        <v>683507</v>
      </c>
      <c r="G163" s="172">
        <f>IFERROR(__xludf.DUMMYFUNCTION("""COMPUTED_VALUE"""),10782.0)</f>
        <v>10782</v>
      </c>
      <c r="H163" s="172">
        <f>IFERROR(__xludf.DUMMYFUNCTION("""COMPUTED_VALUE"""),717413.0)</f>
        <v>717413</v>
      </c>
      <c r="I163" s="235">
        <f>IFERROR(__xludf.DUMMYFUNCTION("""COMPUTED_VALUE"""),127.0)</f>
        <v>127</v>
      </c>
      <c r="J163" s="235">
        <f>IFERROR(__xludf.DUMMYFUNCTION("""COMPUTED_VALUE"""),115.0)</f>
        <v>115</v>
      </c>
      <c r="K163" s="235">
        <f>IFERROR(__xludf.DUMMYFUNCTION("""COMPUTED_VALUE"""),24074.0)</f>
        <v>24074</v>
      </c>
      <c r="L163" s="235">
        <f>IFERROR(__xludf.DUMMYFUNCTION("""COMPUTED_VALUE"""),2218.0)</f>
        <v>2218</v>
      </c>
      <c r="M163" s="235">
        <f>IFERROR(__xludf.DUMMYFUNCTION("""COMPUTED_VALUE"""),302318.0)</f>
        <v>302318</v>
      </c>
      <c r="N163" s="235">
        <f>IFERROR(__xludf.DUMMYFUNCTION("""COMPUTED_VALUE"""),326392.0)</f>
        <v>326392</v>
      </c>
      <c r="O163" s="235">
        <f>IFERROR(__xludf.DUMMYFUNCTION("""COMPUTED_VALUE"""),12.0)</f>
        <v>12</v>
      </c>
      <c r="P163" s="235">
        <f>IFERROR(__xludf.DUMMYFUNCTION("""COMPUTED_VALUE"""),2754.0)</f>
        <v>2754</v>
      </c>
      <c r="Q163" s="235">
        <f>IFERROR(__xludf.DUMMYFUNCTION("""COMPUTED_VALUE"""),7.0)</f>
        <v>7</v>
      </c>
      <c r="R163" s="235">
        <f>IFERROR(__xludf.DUMMYFUNCTION("""COMPUTED_VALUE"""),2312.0)</f>
        <v>2312</v>
      </c>
      <c r="S163" s="235">
        <f>IFERROR(__xludf.DUMMYFUNCTION("""COMPUTED_VALUE"""),0.0)</f>
        <v>0</v>
      </c>
      <c r="T163" s="235">
        <f>IFERROR(__xludf.DUMMYFUNCTION("""COMPUTED_VALUE"""),354.0)</f>
        <v>354</v>
      </c>
      <c r="U163" s="235">
        <f>IFERROR(__xludf.DUMMYFUNCTION("""COMPUTED_VALUE"""),88.0)</f>
        <v>88</v>
      </c>
      <c r="V163" s="235">
        <f>IFERROR(__xludf.DUMMYFUNCTION("""COMPUTED_VALUE"""),82.0)</f>
        <v>82</v>
      </c>
      <c r="W163" s="235">
        <f>IFERROR(__xludf.DUMMYFUNCTION("""COMPUTED_VALUE"""),6.0)</f>
        <v>6</v>
      </c>
      <c r="X163" s="235">
        <f>IFERROR(__xludf.DUMMYFUNCTION("""COMPUTED_VALUE"""),5.0)</f>
        <v>5</v>
      </c>
      <c r="Y163" s="235">
        <f>IFERROR(__xludf.DUMMYFUNCTION("""COMPUTED_VALUE"""),0.0)</f>
        <v>0</v>
      </c>
      <c r="Z163" s="235">
        <f>IFERROR(__xludf.DUMMYFUNCTION("""COMPUTED_VALUE"""),1116.0)</f>
        <v>1116</v>
      </c>
    </row>
    <row r="164">
      <c r="A164" s="234">
        <f>IFERROR(__xludf.DUMMYFUNCTION("""COMPUTED_VALUE"""),44098.0)</f>
        <v>44098</v>
      </c>
      <c r="B164" s="235">
        <f>IFERROR(__xludf.DUMMYFUNCTION("""COMPUTED_VALUE"""),118.0)</f>
        <v>118</v>
      </c>
      <c r="C164" s="235">
        <f>IFERROR(__xludf.DUMMYFUNCTION("""COMPUTED_VALUE"""),136.0)</f>
        <v>136</v>
      </c>
      <c r="D164" s="235">
        <f>IFERROR(__xludf.DUMMYFUNCTION("""COMPUTED_VALUE"""),34024.0)</f>
        <v>34024</v>
      </c>
      <c r="E164" s="235">
        <f>IFERROR(__xludf.DUMMYFUNCTION("""COMPUTED_VALUE"""),12473.0)</f>
        <v>12473</v>
      </c>
      <c r="F164" s="172">
        <f>IFERROR(__xludf.DUMMYFUNCTION("""COMPUTED_VALUE"""),695980.0)</f>
        <v>695980</v>
      </c>
      <c r="G164" s="172">
        <f>IFERROR(__xludf.DUMMYFUNCTION("""COMPUTED_VALUE"""),12591.0)</f>
        <v>12591</v>
      </c>
      <c r="H164" s="172">
        <f>IFERROR(__xludf.DUMMYFUNCTION("""COMPUTED_VALUE"""),730004.0)</f>
        <v>730004</v>
      </c>
      <c r="I164" s="235">
        <f>IFERROR(__xludf.DUMMYFUNCTION("""COMPUTED_VALUE"""),120.0)</f>
        <v>120</v>
      </c>
      <c r="J164" s="235">
        <f>IFERROR(__xludf.DUMMYFUNCTION("""COMPUTED_VALUE"""),123.0)</f>
        <v>123</v>
      </c>
      <c r="K164" s="235">
        <f>IFERROR(__xludf.DUMMYFUNCTION("""COMPUTED_VALUE"""),24194.0)</f>
        <v>24194</v>
      </c>
      <c r="L164" s="235">
        <f>IFERROR(__xludf.DUMMYFUNCTION("""COMPUTED_VALUE"""),3169.0)</f>
        <v>3169</v>
      </c>
      <c r="M164" s="235">
        <f>IFERROR(__xludf.DUMMYFUNCTION("""COMPUTED_VALUE"""),305487.0)</f>
        <v>305487</v>
      </c>
      <c r="N164" s="235">
        <f>IFERROR(__xludf.DUMMYFUNCTION("""COMPUTED_VALUE"""),329681.0)</f>
        <v>329681</v>
      </c>
      <c r="O164" s="235">
        <f>IFERROR(__xludf.DUMMYFUNCTION("""COMPUTED_VALUE"""),7.0)</f>
        <v>7</v>
      </c>
      <c r="P164" s="235">
        <f>IFERROR(__xludf.DUMMYFUNCTION("""COMPUTED_VALUE"""),2761.0)</f>
        <v>2761</v>
      </c>
      <c r="Q164" s="235">
        <f>IFERROR(__xludf.DUMMYFUNCTION("""COMPUTED_VALUE"""),9.0)</f>
        <v>9</v>
      </c>
      <c r="R164" s="235">
        <f>IFERROR(__xludf.DUMMYFUNCTION("""COMPUTED_VALUE"""),2321.0)</f>
        <v>2321</v>
      </c>
      <c r="S164" s="235">
        <f>IFERROR(__xludf.DUMMYFUNCTION("""COMPUTED_VALUE"""),1.0)</f>
        <v>1</v>
      </c>
      <c r="T164" s="235">
        <f>IFERROR(__xludf.DUMMYFUNCTION("""COMPUTED_VALUE"""),355.0)</f>
        <v>355</v>
      </c>
      <c r="U164" s="235">
        <f>IFERROR(__xludf.DUMMYFUNCTION("""COMPUTED_VALUE"""),85.0)</f>
        <v>85</v>
      </c>
      <c r="V164" s="235">
        <f>IFERROR(__xludf.DUMMYFUNCTION("""COMPUTED_VALUE"""),85.0)</f>
        <v>85</v>
      </c>
      <c r="W164" s="235">
        <f>IFERROR(__xludf.DUMMYFUNCTION("""COMPUTED_VALUE"""),7.0)</f>
        <v>7</v>
      </c>
      <c r="X164" s="235">
        <f>IFERROR(__xludf.DUMMYFUNCTION("""COMPUTED_VALUE"""),5.0)</f>
        <v>5</v>
      </c>
      <c r="Y164" s="235">
        <f>IFERROR(__xludf.DUMMYFUNCTION("""COMPUTED_VALUE"""),1.0)</f>
        <v>1</v>
      </c>
      <c r="Z164" s="235">
        <f>IFERROR(__xludf.DUMMYFUNCTION("""COMPUTED_VALUE"""),1117.0)</f>
        <v>1117</v>
      </c>
    </row>
    <row r="165">
      <c r="A165" s="234">
        <f>IFERROR(__xludf.DUMMYFUNCTION("""COMPUTED_VALUE"""),44099.0)</f>
        <v>44099</v>
      </c>
      <c r="B165" s="235">
        <f>IFERROR(__xludf.DUMMYFUNCTION("""COMPUTED_VALUE"""),149.0)</f>
        <v>149</v>
      </c>
      <c r="C165" s="235">
        <f>IFERROR(__xludf.DUMMYFUNCTION("""COMPUTED_VALUE"""),134.0)</f>
        <v>134</v>
      </c>
      <c r="D165" s="235">
        <f>IFERROR(__xludf.DUMMYFUNCTION("""COMPUTED_VALUE"""),34173.0)</f>
        <v>34173</v>
      </c>
      <c r="E165" s="235">
        <f>IFERROR(__xludf.DUMMYFUNCTION("""COMPUTED_VALUE"""),10545.0)</f>
        <v>10545</v>
      </c>
      <c r="F165" s="172">
        <f>IFERROR(__xludf.DUMMYFUNCTION("""COMPUTED_VALUE"""),706525.0)</f>
        <v>706525</v>
      </c>
      <c r="G165" s="172">
        <f>IFERROR(__xludf.DUMMYFUNCTION("""COMPUTED_VALUE"""),10694.0)</f>
        <v>10694</v>
      </c>
      <c r="H165" s="172">
        <f>IFERROR(__xludf.DUMMYFUNCTION("""COMPUTED_VALUE"""),740698.0)</f>
        <v>740698</v>
      </c>
      <c r="I165" s="235">
        <f>IFERROR(__xludf.DUMMYFUNCTION("""COMPUTED_VALUE"""),142.0)</f>
        <v>142</v>
      </c>
      <c r="J165" s="235">
        <f>IFERROR(__xludf.DUMMYFUNCTION("""COMPUTED_VALUE"""),130.0)</f>
        <v>130</v>
      </c>
      <c r="K165" s="235">
        <f>IFERROR(__xludf.DUMMYFUNCTION("""COMPUTED_VALUE"""),24336.0)</f>
        <v>24336</v>
      </c>
      <c r="L165" s="235">
        <f>IFERROR(__xludf.DUMMYFUNCTION("""COMPUTED_VALUE"""),3010.0)</f>
        <v>3010</v>
      </c>
      <c r="M165" s="235">
        <f>IFERROR(__xludf.DUMMYFUNCTION("""COMPUTED_VALUE"""),308497.0)</f>
        <v>308497</v>
      </c>
      <c r="N165" s="235">
        <f>IFERROR(__xludf.DUMMYFUNCTION("""COMPUTED_VALUE"""),332833.0)</f>
        <v>332833</v>
      </c>
      <c r="O165" s="235">
        <f>IFERROR(__xludf.DUMMYFUNCTION("""COMPUTED_VALUE"""),9.0)</f>
        <v>9</v>
      </c>
      <c r="P165" s="235">
        <f>IFERROR(__xludf.DUMMYFUNCTION("""COMPUTED_VALUE"""),2770.0)</f>
        <v>2770</v>
      </c>
      <c r="Q165" s="235">
        <f>IFERROR(__xludf.DUMMYFUNCTION("""COMPUTED_VALUE"""),10.0)</f>
        <v>10</v>
      </c>
      <c r="R165" s="235">
        <f>IFERROR(__xludf.DUMMYFUNCTION("""COMPUTED_VALUE"""),2331.0)</f>
        <v>2331</v>
      </c>
      <c r="S165" s="235">
        <f>IFERROR(__xludf.DUMMYFUNCTION("""COMPUTED_VALUE"""),0.0)</f>
        <v>0</v>
      </c>
      <c r="T165" s="235">
        <f>IFERROR(__xludf.DUMMYFUNCTION("""COMPUTED_VALUE"""),355.0)</f>
        <v>355</v>
      </c>
      <c r="U165" s="235">
        <f>IFERROR(__xludf.DUMMYFUNCTION("""COMPUTED_VALUE"""),84.0)</f>
        <v>84</v>
      </c>
      <c r="V165" s="235">
        <f>IFERROR(__xludf.DUMMYFUNCTION("""COMPUTED_VALUE"""),86.0)</f>
        <v>86</v>
      </c>
      <c r="W165" s="235">
        <f>IFERROR(__xludf.DUMMYFUNCTION("""COMPUTED_VALUE"""),6.0)</f>
        <v>6</v>
      </c>
      <c r="X165" s="235">
        <f>IFERROR(__xludf.DUMMYFUNCTION("""COMPUTED_VALUE"""),5.0)</f>
        <v>5</v>
      </c>
      <c r="Y165" s="235">
        <f>IFERROR(__xludf.DUMMYFUNCTION("""COMPUTED_VALUE"""),1.0)</f>
        <v>1</v>
      </c>
      <c r="Z165" s="235">
        <f>IFERROR(__xludf.DUMMYFUNCTION("""COMPUTED_VALUE"""),1118.0)</f>
        <v>1118</v>
      </c>
    </row>
    <row r="166">
      <c r="A166" s="234">
        <f>IFERROR(__xludf.DUMMYFUNCTION("""COMPUTED_VALUE"""),44100.0)</f>
        <v>44100</v>
      </c>
      <c r="B166" s="235">
        <f>IFERROR(__xludf.DUMMYFUNCTION("""COMPUTED_VALUE"""),146.0)</f>
        <v>146</v>
      </c>
      <c r="C166" s="235">
        <f>IFERROR(__xludf.DUMMYFUNCTION("""COMPUTED_VALUE"""),138.0)</f>
        <v>138</v>
      </c>
      <c r="D166" s="235">
        <f>IFERROR(__xludf.DUMMYFUNCTION("""COMPUTED_VALUE"""),34319.0)</f>
        <v>34319</v>
      </c>
      <c r="E166" s="235">
        <f>IFERROR(__xludf.DUMMYFUNCTION("""COMPUTED_VALUE"""),10553.0)</f>
        <v>10553</v>
      </c>
      <c r="F166" s="172">
        <f>IFERROR(__xludf.DUMMYFUNCTION("""COMPUTED_VALUE"""),717078.0)</f>
        <v>717078</v>
      </c>
      <c r="G166" s="172">
        <f>IFERROR(__xludf.DUMMYFUNCTION("""COMPUTED_VALUE"""),10699.0)</f>
        <v>10699</v>
      </c>
      <c r="H166" s="172">
        <f>IFERROR(__xludf.DUMMYFUNCTION("""COMPUTED_VALUE"""),751397.0)</f>
        <v>751397</v>
      </c>
      <c r="I166" s="235">
        <f>IFERROR(__xludf.DUMMYFUNCTION("""COMPUTED_VALUE"""),119.0)</f>
        <v>119</v>
      </c>
      <c r="J166" s="235">
        <f>IFERROR(__xludf.DUMMYFUNCTION("""COMPUTED_VALUE"""),127.0)</f>
        <v>127</v>
      </c>
      <c r="K166" s="235">
        <f>IFERROR(__xludf.DUMMYFUNCTION("""COMPUTED_VALUE"""),24455.0)</f>
        <v>24455</v>
      </c>
      <c r="L166" s="235">
        <f>IFERROR(__xludf.DUMMYFUNCTION("""COMPUTED_VALUE"""),2424.0)</f>
        <v>2424</v>
      </c>
      <c r="M166" s="235">
        <f>IFERROR(__xludf.DUMMYFUNCTION("""COMPUTED_VALUE"""),310921.0)</f>
        <v>310921</v>
      </c>
      <c r="N166" s="235">
        <f>IFERROR(__xludf.DUMMYFUNCTION("""COMPUTED_VALUE"""),335376.0)</f>
        <v>335376</v>
      </c>
      <c r="O166" s="235">
        <f>IFERROR(__xludf.DUMMYFUNCTION("""COMPUTED_VALUE"""),12.0)</f>
        <v>12</v>
      </c>
      <c r="P166" s="235">
        <f>IFERROR(__xludf.DUMMYFUNCTION("""COMPUTED_VALUE"""),2782.0)</f>
        <v>2782</v>
      </c>
      <c r="Q166" s="235">
        <f>IFERROR(__xludf.DUMMYFUNCTION("""COMPUTED_VALUE"""),9.0)</f>
        <v>9</v>
      </c>
      <c r="R166" s="235">
        <f>IFERROR(__xludf.DUMMYFUNCTION("""COMPUTED_VALUE"""),2340.0)</f>
        <v>2340</v>
      </c>
      <c r="S166" s="235">
        <f>IFERROR(__xludf.DUMMYFUNCTION("""COMPUTED_VALUE"""),0.0)</f>
        <v>0</v>
      </c>
      <c r="T166" s="235">
        <f>IFERROR(__xludf.DUMMYFUNCTION("""COMPUTED_VALUE"""),355.0)</f>
        <v>355</v>
      </c>
      <c r="U166" s="235">
        <f>IFERROR(__xludf.DUMMYFUNCTION("""COMPUTED_VALUE"""),87.0)</f>
        <v>87</v>
      </c>
      <c r="V166" s="235">
        <f>IFERROR(__xludf.DUMMYFUNCTION("""COMPUTED_VALUE"""),85.0)</f>
        <v>85</v>
      </c>
      <c r="W166" s="235">
        <f>IFERROR(__xludf.DUMMYFUNCTION("""COMPUTED_VALUE"""),6.0)</f>
        <v>6</v>
      </c>
      <c r="X166" s="235">
        <f>IFERROR(__xludf.DUMMYFUNCTION("""COMPUTED_VALUE"""),5.0)</f>
        <v>5</v>
      </c>
      <c r="Y166" s="235">
        <f>IFERROR(__xludf.DUMMYFUNCTION("""COMPUTED_VALUE"""),1.0)</f>
        <v>1</v>
      </c>
      <c r="Z166" s="235">
        <f>IFERROR(__xludf.DUMMYFUNCTION("""COMPUTED_VALUE"""),1119.0)</f>
        <v>1119</v>
      </c>
    </row>
    <row r="167">
      <c r="A167" s="234">
        <f>IFERROR(__xludf.DUMMYFUNCTION("""COMPUTED_VALUE"""),44101.0)</f>
        <v>44101</v>
      </c>
      <c r="B167" s="235">
        <f>IFERROR(__xludf.DUMMYFUNCTION("""COMPUTED_VALUE"""),43.0)</f>
        <v>43</v>
      </c>
      <c r="C167" s="235">
        <f>IFERROR(__xludf.DUMMYFUNCTION("""COMPUTED_VALUE"""),113.0)</f>
        <v>113</v>
      </c>
      <c r="D167" s="235">
        <f>IFERROR(__xludf.DUMMYFUNCTION("""COMPUTED_VALUE"""),34362.0)</f>
        <v>34362</v>
      </c>
      <c r="E167" s="235">
        <f>IFERROR(__xludf.DUMMYFUNCTION("""COMPUTED_VALUE"""),2761.0)</f>
        <v>2761</v>
      </c>
      <c r="F167" s="172">
        <f>IFERROR(__xludf.DUMMYFUNCTION("""COMPUTED_VALUE"""),719839.0)</f>
        <v>719839</v>
      </c>
      <c r="G167" s="172">
        <f>IFERROR(__xludf.DUMMYFUNCTION("""COMPUTED_VALUE"""),2804.0)</f>
        <v>2804</v>
      </c>
      <c r="H167" s="172">
        <f>IFERROR(__xludf.DUMMYFUNCTION("""COMPUTED_VALUE"""),754201.0)</f>
        <v>754201</v>
      </c>
      <c r="I167" s="235">
        <f>IFERROR(__xludf.DUMMYFUNCTION("""COMPUTED_VALUE"""),34.0)</f>
        <v>34</v>
      </c>
      <c r="J167" s="235">
        <f>IFERROR(__xludf.DUMMYFUNCTION("""COMPUTED_VALUE"""),98.0)</f>
        <v>98</v>
      </c>
      <c r="K167" s="235">
        <f>IFERROR(__xludf.DUMMYFUNCTION("""COMPUTED_VALUE"""),24489.0)</f>
        <v>24489</v>
      </c>
      <c r="L167" s="235">
        <f>IFERROR(__xludf.DUMMYFUNCTION("""COMPUTED_VALUE"""),846.0)</f>
        <v>846</v>
      </c>
      <c r="M167" s="235">
        <f>IFERROR(__xludf.DUMMYFUNCTION("""COMPUTED_VALUE"""),311767.0)</f>
        <v>311767</v>
      </c>
      <c r="N167" s="235">
        <f>IFERROR(__xludf.DUMMYFUNCTION("""COMPUTED_VALUE"""),336256.0)</f>
        <v>336256</v>
      </c>
      <c r="O167" s="235">
        <f>IFERROR(__xludf.DUMMYFUNCTION("""COMPUTED_VALUE"""),7.0)</f>
        <v>7</v>
      </c>
      <c r="P167" s="235">
        <f>IFERROR(__xludf.DUMMYFUNCTION("""COMPUTED_VALUE"""),2789.0)</f>
        <v>2789</v>
      </c>
      <c r="Q167" s="235">
        <f>IFERROR(__xludf.DUMMYFUNCTION("""COMPUTED_VALUE"""),5.0)</f>
        <v>5</v>
      </c>
      <c r="R167" s="235">
        <f>IFERROR(__xludf.DUMMYFUNCTION("""COMPUTED_VALUE"""),2345.0)</f>
        <v>2345</v>
      </c>
      <c r="S167" s="235">
        <f>IFERROR(__xludf.DUMMYFUNCTION("""COMPUTED_VALUE"""),0.0)</f>
        <v>0</v>
      </c>
      <c r="T167" s="235">
        <f>IFERROR(__xludf.DUMMYFUNCTION("""COMPUTED_VALUE"""),355.0)</f>
        <v>355</v>
      </c>
      <c r="U167" s="235">
        <f>IFERROR(__xludf.DUMMYFUNCTION("""COMPUTED_VALUE"""),89.0)</f>
        <v>89</v>
      </c>
      <c r="V167" s="235">
        <f>IFERROR(__xludf.DUMMYFUNCTION("""COMPUTED_VALUE"""),87.0)</f>
        <v>87</v>
      </c>
      <c r="W167" s="235">
        <f>IFERROR(__xludf.DUMMYFUNCTION("""COMPUTED_VALUE"""),9.0)</f>
        <v>9</v>
      </c>
      <c r="X167" s="235">
        <f>IFERROR(__xludf.DUMMYFUNCTION("""COMPUTED_VALUE"""),5.0)</f>
        <v>5</v>
      </c>
      <c r="Y167" s="235">
        <f>IFERROR(__xludf.DUMMYFUNCTION("""COMPUTED_VALUE"""),0.0)</f>
        <v>0</v>
      </c>
      <c r="Z167" s="235">
        <f>IFERROR(__xludf.DUMMYFUNCTION("""COMPUTED_VALUE"""),1119.0)</f>
        <v>1119</v>
      </c>
    </row>
    <row r="168">
      <c r="A168" s="234">
        <f>IFERROR(__xludf.DUMMYFUNCTION("""COMPUTED_VALUE"""),44102.0)</f>
        <v>44102</v>
      </c>
      <c r="B168" s="235">
        <f>IFERROR(__xludf.DUMMYFUNCTION("""COMPUTED_VALUE"""),152.0)</f>
        <v>152</v>
      </c>
      <c r="C168" s="235">
        <f>IFERROR(__xludf.DUMMYFUNCTION("""COMPUTED_VALUE"""),114.0)</f>
        <v>114</v>
      </c>
      <c r="D168" s="235">
        <f>IFERROR(__xludf.DUMMYFUNCTION("""COMPUTED_VALUE"""),34514.0)</f>
        <v>34514</v>
      </c>
      <c r="E168" s="235">
        <f>IFERROR(__xludf.DUMMYFUNCTION("""COMPUTED_VALUE"""),7303.0)</f>
        <v>7303</v>
      </c>
      <c r="F168" s="172">
        <f>IFERROR(__xludf.DUMMYFUNCTION("""COMPUTED_VALUE"""),727142.0)</f>
        <v>727142</v>
      </c>
      <c r="G168" s="172">
        <f>IFERROR(__xludf.DUMMYFUNCTION("""COMPUTED_VALUE"""),7455.0)</f>
        <v>7455</v>
      </c>
      <c r="H168" s="172">
        <f>IFERROR(__xludf.DUMMYFUNCTION("""COMPUTED_VALUE"""),761656.0)</f>
        <v>761656</v>
      </c>
      <c r="I168" s="235">
        <f>IFERROR(__xludf.DUMMYFUNCTION("""COMPUTED_VALUE"""),133.0)</f>
        <v>133</v>
      </c>
      <c r="J168" s="235">
        <f>IFERROR(__xludf.DUMMYFUNCTION("""COMPUTED_VALUE"""),95.0)</f>
        <v>95</v>
      </c>
      <c r="K168" s="235">
        <f>IFERROR(__xludf.DUMMYFUNCTION("""COMPUTED_VALUE"""),24622.0)</f>
        <v>24622</v>
      </c>
      <c r="L168" s="235">
        <f>IFERROR(__xludf.DUMMYFUNCTION("""COMPUTED_VALUE"""),2262.0)</f>
        <v>2262</v>
      </c>
      <c r="M168" s="235">
        <f>IFERROR(__xludf.DUMMYFUNCTION("""COMPUTED_VALUE"""),314029.0)</f>
        <v>314029</v>
      </c>
      <c r="N168" s="235">
        <f>IFERROR(__xludf.DUMMYFUNCTION("""COMPUTED_VALUE"""),338651.0)</f>
        <v>338651</v>
      </c>
      <c r="O168" s="235">
        <f>IFERROR(__xludf.DUMMYFUNCTION("""COMPUTED_VALUE"""),7.0)</f>
        <v>7</v>
      </c>
      <c r="P168" s="235">
        <f>IFERROR(__xludf.DUMMYFUNCTION("""COMPUTED_VALUE"""),2796.0)</f>
        <v>2796</v>
      </c>
      <c r="Q168" s="235">
        <f>IFERROR(__xludf.DUMMYFUNCTION("""COMPUTED_VALUE"""),7.0)</f>
        <v>7</v>
      </c>
      <c r="R168" s="235">
        <f>IFERROR(__xludf.DUMMYFUNCTION("""COMPUTED_VALUE"""),2352.0)</f>
        <v>2352</v>
      </c>
      <c r="S168" s="235">
        <f>IFERROR(__xludf.DUMMYFUNCTION("""COMPUTED_VALUE"""),2.0)</f>
        <v>2</v>
      </c>
      <c r="T168" s="235">
        <f>IFERROR(__xludf.DUMMYFUNCTION("""COMPUTED_VALUE"""),357.0)</f>
        <v>357</v>
      </c>
      <c r="U168" s="235">
        <f>IFERROR(__xludf.DUMMYFUNCTION("""COMPUTED_VALUE"""),87.0)</f>
        <v>87</v>
      </c>
      <c r="V168" s="235">
        <f>IFERROR(__xludf.DUMMYFUNCTION("""COMPUTED_VALUE"""),88.0)</f>
        <v>88</v>
      </c>
      <c r="W168" s="235">
        <f>IFERROR(__xludf.DUMMYFUNCTION("""COMPUTED_VALUE"""),7.0)</f>
        <v>7</v>
      </c>
      <c r="X168" s="235">
        <f>IFERROR(__xludf.DUMMYFUNCTION("""COMPUTED_VALUE"""),5.0)</f>
        <v>5</v>
      </c>
      <c r="Y168" s="235">
        <f>IFERROR(__xludf.DUMMYFUNCTION("""COMPUTED_VALUE"""),2.0)</f>
        <v>2</v>
      </c>
      <c r="Z168" s="235">
        <f>IFERROR(__xludf.DUMMYFUNCTION("""COMPUTED_VALUE"""),1121.0)</f>
        <v>1121</v>
      </c>
    </row>
    <row r="169">
      <c r="A169" s="234">
        <f>IFERROR(__xludf.DUMMYFUNCTION("""COMPUTED_VALUE"""),44103.0)</f>
        <v>44103</v>
      </c>
      <c r="B169" s="235">
        <f>IFERROR(__xludf.DUMMYFUNCTION("""COMPUTED_VALUE"""),208.0)</f>
        <v>208</v>
      </c>
      <c r="C169" s="235">
        <f>IFERROR(__xludf.DUMMYFUNCTION("""COMPUTED_VALUE"""),134.0)</f>
        <v>134</v>
      </c>
      <c r="D169" s="235">
        <f>IFERROR(__xludf.DUMMYFUNCTION("""COMPUTED_VALUE"""),34722.0)</f>
        <v>34722</v>
      </c>
      <c r="E169" s="235">
        <f>IFERROR(__xludf.DUMMYFUNCTION("""COMPUTED_VALUE"""),11042.0)</f>
        <v>11042</v>
      </c>
      <c r="F169" s="172">
        <f>IFERROR(__xludf.DUMMYFUNCTION("""COMPUTED_VALUE"""),738184.0)</f>
        <v>738184</v>
      </c>
      <c r="G169" s="172">
        <f>IFERROR(__xludf.DUMMYFUNCTION("""COMPUTED_VALUE"""),11250.0)</f>
        <v>11250</v>
      </c>
      <c r="H169" s="172">
        <f>IFERROR(__xludf.DUMMYFUNCTION("""COMPUTED_VALUE"""),772906.0)</f>
        <v>772906</v>
      </c>
      <c r="I169" s="235">
        <f>IFERROR(__xludf.DUMMYFUNCTION("""COMPUTED_VALUE"""),190.0)</f>
        <v>190</v>
      </c>
      <c r="J169" s="235">
        <f>IFERROR(__xludf.DUMMYFUNCTION("""COMPUTED_VALUE"""),119.0)</f>
        <v>119</v>
      </c>
      <c r="K169" s="235">
        <f>IFERROR(__xludf.DUMMYFUNCTION("""COMPUTED_VALUE"""),24812.0)</f>
        <v>24812</v>
      </c>
      <c r="L169" s="235">
        <f>IFERROR(__xludf.DUMMYFUNCTION("""COMPUTED_VALUE"""),2830.0)</f>
        <v>2830</v>
      </c>
      <c r="M169" s="235">
        <f>IFERROR(__xludf.DUMMYFUNCTION("""COMPUTED_VALUE"""),316859.0)</f>
        <v>316859</v>
      </c>
      <c r="N169" s="235">
        <f>IFERROR(__xludf.DUMMYFUNCTION("""COMPUTED_VALUE"""),341671.0)</f>
        <v>341671</v>
      </c>
      <c r="O169" s="235">
        <f>IFERROR(__xludf.DUMMYFUNCTION("""COMPUTED_VALUE"""),12.0)</f>
        <v>12</v>
      </c>
      <c r="P169" s="235">
        <f>IFERROR(__xludf.DUMMYFUNCTION("""COMPUTED_VALUE"""),2808.0)</f>
        <v>2808</v>
      </c>
      <c r="Q169" s="235">
        <f>IFERROR(__xludf.DUMMYFUNCTION("""COMPUTED_VALUE"""),18.0)</f>
        <v>18</v>
      </c>
      <c r="R169" s="235">
        <f>IFERROR(__xludf.DUMMYFUNCTION("""COMPUTED_VALUE"""),2370.0)</f>
        <v>2370</v>
      </c>
      <c r="S169" s="235">
        <f>IFERROR(__xludf.DUMMYFUNCTION("""COMPUTED_VALUE"""),1.0)</f>
        <v>1</v>
      </c>
      <c r="T169" s="235">
        <f>IFERROR(__xludf.DUMMYFUNCTION("""COMPUTED_VALUE"""),358.0)</f>
        <v>358</v>
      </c>
      <c r="U169" s="235">
        <f>IFERROR(__xludf.DUMMYFUNCTION("""COMPUTED_VALUE"""),80.0)</f>
        <v>80</v>
      </c>
      <c r="V169" s="235">
        <f>IFERROR(__xludf.DUMMYFUNCTION("""COMPUTED_VALUE"""),85.0)</f>
        <v>85</v>
      </c>
      <c r="W169" s="235">
        <f>IFERROR(__xludf.DUMMYFUNCTION("""COMPUTED_VALUE"""),6.0)</f>
        <v>6</v>
      </c>
      <c r="X169" s="235">
        <f>IFERROR(__xludf.DUMMYFUNCTION("""COMPUTED_VALUE"""),6.0)</f>
        <v>6</v>
      </c>
      <c r="Y169" s="235">
        <f>IFERROR(__xludf.DUMMYFUNCTION("""COMPUTED_VALUE"""),1.0)</f>
        <v>1</v>
      </c>
      <c r="Z169" s="235">
        <f>IFERROR(__xludf.DUMMYFUNCTION("""COMPUTED_VALUE"""),1122.0)</f>
        <v>1122</v>
      </c>
    </row>
    <row r="170">
      <c r="A170" s="234">
        <f>IFERROR(__xludf.DUMMYFUNCTION("""COMPUTED_VALUE"""),44104.0)</f>
        <v>44104</v>
      </c>
      <c r="B170" s="235">
        <f>IFERROR(__xludf.DUMMYFUNCTION("""COMPUTED_VALUE"""),221.0)</f>
        <v>221</v>
      </c>
      <c r="C170" s="235">
        <f>IFERROR(__xludf.DUMMYFUNCTION("""COMPUTED_VALUE"""),194.0)</f>
        <v>194</v>
      </c>
      <c r="D170" s="235">
        <f>IFERROR(__xludf.DUMMYFUNCTION("""COMPUTED_VALUE"""),34943.0)</f>
        <v>34943</v>
      </c>
      <c r="E170" s="235">
        <f>IFERROR(__xludf.DUMMYFUNCTION("""COMPUTED_VALUE"""),12225.0)</f>
        <v>12225</v>
      </c>
      <c r="F170" s="172">
        <f>IFERROR(__xludf.DUMMYFUNCTION("""COMPUTED_VALUE"""),750409.0)</f>
        <v>750409</v>
      </c>
      <c r="G170" s="172">
        <f>IFERROR(__xludf.DUMMYFUNCTION("""COMPUTED_VALUE"""),12446.0)</f>
        <v>12446</v>
      </c>
      <c r="H170" s="172">
        <f>IFERROR(__xludf.DUMMYFUNCTION("""COMPUTED_VALUE"""),785352.0)</f>
        <v>785352</v>
      </c>
      <c r="I170" s="235">
        <f>IFERROR(__xludf.DUMMYFUNCTION("""COMPUTED_VALUE"""),187.0)</f>
        <v>187</v>
      </c>
      <c r="J170" s="235">
        <f>IFERROR(__xludf.DUMMYFUNCTION("""COMPUTED_VALUE"""),170.0)</f>
        <v>170</v>
      </c>
      <c r="K170" s="235">
        <f>IFERROR(__xludf.DUMMYFUNCTION("""COMPUTED_VALUE"""),24999.0)</f>
        <v>24999</v>
      </c>
      <c r="L170" s="235">
        <f>IFERROR(__xludf.DUMMYFUNCTION("""COMPUTED_VALUE"""),2600.0)</f>
        <v>2600</v>
      </c>
      <c r="M170" s="235">
        <f>IFERROR(__xludf.DUMMYFUNCTION("""COMPUTED_VALUE"""),319459.0)</f>
        <v>319459</v>
      </c>
      <c r="N170" s="235">
        <f>IFERROR(__xludf.DUMMYFUNCTION("""COMPUTED_VALUE"""),344458.0)</f>
        <v>344458</v>
      </c>
      <c r="O170" s="235">
        <f>IFERROR(__xludf.DUMMYFUNCTION("""COMPUTED_VALUE"""),6.0)</f>
        <v>6</v>
      </c>
      <c r="P170" s="235">
        <f>IFERROR(__xludf.DUMMYFUNCTION("""COMPUTED_VALUE"""),2814.0)</f>
        <v>2814</v>
      </c>
      <c r="Q170" s="235">
        <f>IFERROR(__xludf.DUMMYFUNCTION("""COMPUTED_VALUE"""),6.0)</f>
        <v>6</v>
      </c>
      <c r="R170" s="235">
        <f>IFERROR(__xludf.DUMMYFUNCTION("""COMPUTED_VALUE"""),2376.0)</f>
        <v>2376</v>
      </c>
      <c r="S170" s="235">
        <f>IFERROR(__xludf.DUMMYFUNCTION("""COMPUTED_VALUE"""),0.0)</f>
        <v>0</v>
      </c>
      <c r="T170" s="235">
        <f>IFERROR(__xludf.DUMMYFUNCTION("""COMPUTED_VALUE"""),358.0)</f>
        <v>358</v>
      </c>
      <c r="U170" s="235">
        <f>IFERROR(__xludf.DUMMYFUNCTION("""COMPUTED_VALUE"""),80.0)</f>
        <v>80</v>
      </c>
      <c r="V170" s="235">
        <f>IFERROR(__xludf.DUMMYFUNCTION("""COMPUTED_VALUE"""),82.0)</f>
        <v>82</v>
      </c>
      <c r="W170" s="235">
        <f>IFERROR(__xludf.DUMMYFUNCTION("""COMPUTED_VALUE"""),6.0)</f>
        <v>6</v>
      </c>
      <c r="X170" s="235">
        <f>IFERROR(__xludf.DUMMYFUNCTION("""COMPUTED_VALUE"""),6.0)</f>
        <v>6</v>
      </c>
      <c r="Y170" s="235">
        <f>IFERROR(__xludf.DUMMYFUNCTION("""COMPUTED_VALUE"""),1.0)</f>
        <v>1</v>
      </c>
      <c r="Z170" s="235">
        <f>IFERROR(__xludf.DUMMYFUNCTION("""COMPUTED_VALUE"""),1123.0)</f>
        <v>1123</v>
      </c>
    </row>
    <row r="171">
      <c r="A171" s="234">
        <f>IFERROR(__xludf.DUMMYFUNCTION("""COMPUTED_VALUE"""),44105.0)</f>
        <v>44105</v>
      </c>
      <c r="B171" s="235">
        <f>IFERROR(__xludf.DUMMYFUNCTION("""COMPUTED_VALUE"""),184.0)</f>
        <v>184</v>
      </c>
      <c r="C171" s="235">
        <f>IFERROR(__xludf.DUMMYFUNCTION("""COMPUTED_VALUE"""),204.0)</f>
        <v>204</v>
      </c>
      <c r="D171" s="235">
        <f>IFERROR(__xludf.DUMMYFUNCTION("""COMPUTED_VALUE"""),35127.0)</f>
        <v>35127</v>
      </c>
      <c r="E171" s="235">
        <f>IFERROR(__xludf.DUMMYFUNCTION("""COMPUTED_VALUE"""),12497.0)</f>
        <v>12497</v>
      </c>
      <c r="F171" s="172">
        <f>IFERROR(__xludf.DUMMYFUNCTION("""COMPUTED_VALUE"""),762906.0)</f>
        <v>762906</v>
      </c>
      <c r="G171" s="172">
        <f>IFERROR(__xludf.DUMMYFUNCTION("""COMPUTED_VALUE"""),12681.0)</f>
        <v>12681</v>
      </c>
      <c r="H171" s="172">
        <f>IFERROR(__xludf.DUMMYFUNCTION("""COMPUTED_VALUE"""),798033.0)</f>
        <v>798033</v>
      </c>
      <c r="I171" s="235">
        <f>IFERROR(__xludf.DUMMYFUNCTION("""COMPUTED_VALUE"""),166.0)</f>
        <v>166</v>
      </c>
      <c r="J171" s="235">
        <f>IFERROR(__xludf.DUMMYFUNCTION("""COMPUTED_VALUE"""),181.0)</f>
        <v>181</v>
      </c>
      <c r="K171" s="235">
        <f>IFERROR(__xludf.DUMMYFUNCTION("""COMPUTED_VALUE"""),25165.0)</f>
        <v>25165</v>
      </c>
      <c r="L171" s="235">
        <f>IFERROR(__xludf.DUMMYFUNCTION("""COMPUTED_VALUE"""),2425.0)</f>
        <v>2425</v>
      </c>
      <c r="M171" s="235">
        <f>IFERROR(__xludf.DUMMYFUNCTION("""COMPUTED_VALUE"""),321884.0)</f>
        <v>321884</v>
      </c>
      <c r="N171" s="235">
        <f>IFERROR(__xludf.DUMMYFUNCTION("""COMPUTED_VALUE"""),347049.0)</f>
        <v>347049</v>
      </c>
      <c r="O171" s="235">
        <f>IFERROR(__xludf.DUMMYFUNCTION("""COMPUTED_VALUE"""),17.0)</f>
        <v>17</v>
      </c>
      <c r="P171" s="235">
        <f>IFERROR(__xludf.DUMMYFUNCTION("""COMPUTED_VALUE"""),2831.0)</f>
        <v>2831</v>
      </c>
      <c r="Q171" s="235">
        <f>IFERROR(__xludf.DUMMYFUNCTION("""COMPUTED_VALUE"""),13.0)</f>
        <v>13</v>
      </c>
      <c r="R171" s="235">
        <f>IFERROR(__xludf.DUMMYFUNCTION("""COMPUTED_VALUE"""),2389.0)</f>
        <v>2389</v>
      </c>
      <c r="S171" s="235">
        <f>IFERROR(__xludf.DUMMYFUNCTION("""COMPUTED_VALUE"""),1.0)</f>
        <v>1</v>
      </c>
      <c r="T171" s="235">
        <f>IFERROR(__xludf.DUMMYFUNCTION("""COMPUTED_VALUE"""),359.0)</f>
        <v>359</v>
      </c>
      <c r="U171" s="235">
        <f>IFERROR(__xludf.DUMMYFUNCTION("""COMPUTED_VALUE"""),83.0)</f>
        <v>83</v>
      </c>
      <c r="V171" s="235">
        <f>IFERROR(__xludf.DUMMYFUNCTION("""COMPUTED_VALUE"""),81.0)</f>
        <v>81</v>
      </c>
      <c r="W171" s="235">
        <f>IFERROR(__xludf.DUMMYFUNCTION("""COMPUTED_VALUE"""),6.0)</f>
        <v>6</v>
      </c>
      <c r="X171" s="235">
        <f>IFERROR(__xludf.DUMMYFUNCTION("""COMPUTED_VALUE"""),4.0)</f>
        <v>4</v>
      </c>
      <c r="Y171" s="235">
        <f>IFERROR(__xludf.DUMMYFUNCTION("""COMPUTED_VALUE"""),2.0)</f>
        <v>2</v>
      </c>
      <c r="Z171" s="235">
        <f>IFERROR(__xludf.DUMMYFUNCTION("""COMPUTED_VALUE"""),1125.0)</f>
        <v>1125</v>
      </c>
    </row>
    <row r="172">
      <c r="A172" s="234">
        <f>IFERROR(__xludf.DUMMYFUNCTION("""COMPUTED_VALUE"""),44106.0)</f>
        <v>44106</v>
      </c>
      <c r="B172" s="235">
        <f>IFERROR(__xludf.DUMMYFUNCTION("""COMPUTED_VALUE"""),210.0)</f>
        <v>210</v>
      </c>
      <c r="C172" s="235">
        <f>IFERROR(__xludf.DUMMYFUNCTION("""COMPUTED_VALUE"""),205.0)</f>
        <v>205</v>
      </c>
      <c r="D172" s="235">
        <f>IFERROR(__xludf.DUMMYFUNCTION("""COMPUTED_VALUE"""),35337.0)</f>
        <v>35337</v>
      </c>
      <c r="E172" s="235">
        <f>IFERROR(__xludf.DUMMYFUNCTION("""COMPUTED_VALUE"""),12143.0)</f>
        <v>12143</v>
      </c>
      <c r="F172" s="172">
        <f>IFERROR(__xludf.DUMMYFUNCTION("""COMPUTED_VALUE"""),775049.0)</f>
        <v>775049</v>
      </c>
      <c r="G172" s="172">
        <f>IFERROR(__xludf.DUMMYFUNCTION("""COMPUTED_VALUE"""),12353.0)</f>
        <v>12353</v>
      </c>
      <c r="H172" s="172">
        <f>IFERROR(__xludf.DUMMYFUNCTION("""COMPUTED_VALUE"""),810386.0)</f>
        <v>810386</v>
      </c>
      <c r="I172" s="235">
        <f>IFERROR(__xludf.DUMMYFUNCTION("""COMPUTED_VALUE"""),181.0)</f>
        <v>181</v>
      </c>
      <c r="J172" s="235">
        <f>IFERROR(__xludf.DUMMYFUNCTION("""COMPUTED_VALUE"""),178.0)</f>
        <v>178</v>
      </c>
      <c r="K172" s="235">
        <f>IFERROR(__xludf.DUMMYFUNCTION("""COMPUTED_VALUE"""),25346.0)</f>
        <v>25346</v>
      </c>
      <c r="L172" s="235">
        <f>IFERROR(__xludf.DUMMYFUNCTION("""COMPUTED_VALUE"""),2498.0)</f>
        <v>2498</v>
      </c>
      <c r="M172" s="235">
        <f>IFERROR(__xludf.DUMMYFUNCTION("""COMPUTED_VALUE"""),324382.0)</f>
        <v>324382</v>
      </c>
      <c r="N172" s="235">
        <f>IFERROR(__xludf.DUMMYFUNCTION("""COMPUTED_VALUE"""),349728.0)</f>
        <v>349728</v>
      </c>
      <c r="O172" s="235">
        <f>IFERROR(__xludf.DUMMYFUNCTION("""COMPUTED_VALUE"""),14.0)</f>
        <v>14</v>
      </c>
      <c r="P172" s="235">
        <f>IFERROR(__xludf.DUMMYFUNCTION("""COMPUTED_VALUE"""),2845.0)</f>
        <v>2845</v>
      </c>
      <c r="Q172" s="235">
        <f>IFERROR(__xludf.DUMMYFUNCTION("""COMPUTED_VALUE"""),13.0)</f>
        <v>13</v>
      </c>
      <c r="R172" s="235">
        <f>IFERROR(__xludf.DUMMYFUNCTION("""COMPUTED_VALUE"""),2402.0)</f>
        <v>2402</v>
      </c>
      <c r="S172" s="235">
        <f>IFERROR(__xludf.DUMMYFUNCTION("""COMPUTED_VALUE"""),1.0)</f>
        <v>1</v>
      </c>
      <c r="T172" s="235">
        <f>IFERROR(__xludf.DUMMYFUNCTION("""COMPUTED_VALUE"""),360.0)</f>
        <v>360</v>
      </c>
      <c r="U172" s="235">
        <f>IFERROR(__xludf.DUMMYFUNCTION("""COMPUTED_VALUE"""),83.0)</f>
        <v>83</v>
      </c>
      <c r="V172" s="235">
        <f>IFERROR(__xludf.DUMMYFUNCTION("""COMPUTED_VALUE"""),82.0)</f>
        <v>82</v>
      </c>
      <c r="W172" s="235">
        <f>IFERROR(__xludf.DUMMYFUNCTION("""COMPUTED_VALUE"""),8.0)</f>
        <v>8</v>
      </c>
      <c r="X172" s="235">
        <f>IFERROR(__xludf.DUMMYFUNCTION("""COMPUTED_VALUE"""),5.0)</f>
        <v>5</v>
      </c>
      <c r="Y172" s="235">
        <f>IFERROR(__xludf.DUMMYFUNCTION("""COMPUTED_VALUE"""),2.0)</f>
        <v>2</v>
      </c>
      <c r="Z172" s="235">
        <f>IFERROR(__xludf.DUMMYFUNCTION("""COMPUTED_VALUE"""),1127.0)</f>
        <v>1127</v>
      </c>
    </row>
    <row r="173">
      <c r="A173" s="234">
        <f>IFERROR(__xludf.DUMMYFUNCTION("""COMPUTED_VALUE"""),44107.0)</f>
        <v>44107</v>
      </c>
      <c r="B173" s="235">
        <f>IFERROR(__xludf.DUMMYFUNCTION("""COMPUTED_VALUE"""),157.0)</f>
        <v>157</v>
      </c>
      <c r="C173" s="235">
        <f>IFERROR(__xludf.DUMMYFUNCTION("""COMPUTED_VALUE"""),184.0)</f>
        <v>184</v>
      </c>
      <c r="D173" s="235">
        <f>IFERROR(__xludf.DUMMYFUNCTION("""COMPUTED_VALUE"""),35494.0)</f>
        <v>35494</v>
      </c>
      <c r="E173" s="235">
        <f>IFERROR(__xludf.DUMMYFUNCTION("""COMPUTED_VALUE"""),9312.0)</f>
        <v>9312</v>
      </c>
      <c r="F173" s="172">
        <f>IFERROR(__xludf.DUMMYFUNCTION("""COMPUTED_VALUE"""),784361.0)</f>
        <v>784361</v>
      </c>
      <c r="G173" s="172">
        <f>IFERROR(__xludf.DUMMYFUNCTION("""COMPUTED_VALUE"""),9469.0)</f>
        <v>9469</v>
      </c>
      <c r="H173" s="172">
        <f>IFERROR(__xludf.DUMMYFUNCTION("""COMPUTED_VALUE"""),819855.0)</f>
        <v>819855</v>
      </c>
      <c r="I173" s="235">
        <f>IFERROR(__xludf.DUMMYFUNCTION("""COMPUTED_VALUE"""),131.0)</f>
        <v>131</v>
      </c>
      <c r="J173" s="235">
        <f>IFERROR(__xludf.DUMMYFUNCTION("""COMPUTED_VALUE"""),159.0)</f>
        <v>159</v>
      </c>
      <c r="K173" s="235">
        <f>IFERROR(__xludf.DUMMYFUNCTION("""COMPUTED_VALUE"""),25477.0)</f>
        <v>25477</v>
      </c>
      <c r="L173" s="235">
        <f>IFERROR(__xludf.DUMMYFUNCTION("""COMPUTED_VALUE"""),2031.0)</f>
        <v>2031</v>
      </c>
      <c r="M173" s="235">
        <f>IFERROR(__xludf.DUMMYFUNCTION("""COMPUTED_VALUE"""),326413.0)</f>
        <v>326413</v>
      </c>
      <c r="N173" s="235">
        <f>IFERROR(__xludf.DUMMYFUNCTION("""COMPUTED_VALUE"""),351890.0)</f>
        <v>351890</v>
      </c>
      <c r="O173" s="235">
        <f>IFERROR(__xludf.DUMMYFUNCTION("""COMPUTED_VALUE"""),9.0)</f>
        <v>9</v>
      </c>
      <c r="P173" s="235">
        <f>IFERROR(__xludf.DUMMYFUNCTION("""COMPUTED_VALUE"""),2854.0)</f>
        <v>2854</v>
      </c>
      <c r="Q173" s="235">
        <f>IFERROR(__xludf.DUMMYFUNCTION("""COMPUTED_VALUE"""),9.0)</f>
        <v>9</v>
      </c>
      <c r="R173" s="235">
        <f>IFERROR(__xludf.DUMMYFUNCTION("""COMPUTED_VALUE"""),2411.0)</f>
        <v>2411</v>
      </c>
      <c r="S173" s="235">
        <f>IFERROR(__xludf.DUMMYFUNCTION("""COMPUTED_VALUE"""),2.0)</f>
        <v>2</v>
      </c>
      <c r="T173" s="235">
        <f>IFERROR(__xludf.DUMMYFUNCTION("""COMPUTED_VALUE"""),362.0)</f>
        <v>362</v>
      </c>
      <c r="U173" s="235">
        <f>IFERROR(__xludf.DUMMYFUNCTION("""COMPUTED_VALUE"""),81.0)</f>
        <v>81</v>
      </c>
      <c r="V173" s="235">
        <f>IFERROR(__xludf.DUMMYFUNCTION("""COMPUTED_VALUE"""),82.0)</f>
        <v>82</v>
      </c>
      <c r="W173" s="235">
        <f>IFERROR(__xludf.DUMMYFUNCTION("""COMPUTED_VALUE"""),9.0)</f>
        <v>9</v>
      </c>
      <c r="X173" s="235">
        <f>IFERROR(__xludf.DUMMYFUNCTION("""COMPUTED_VALUE"""),4.0)</f>
        <v>4</v>
      </c>
      <c r="Y173" s="235">
        <f>IFERROR(__xludf.DUMMYFUNCTION("""COMPUTED_VALUE"""),2.0)</f>
        <v>2</v>
      </c>
      <c r="Z173" s="235">
        <f>IFERROR(__xludf.DUMMYFUNCTION("""COMPUTED_VALUE"""),1129.0)</f>
        <v>1129</v>
      </c>
    </row>
    <row r="174">
      <c r="A174" s="234">
        <f>IFERROR(__xludf.DUMMYFUNCTION("""COMPUTED_VALUE"""),44108.0)</f>
        <v>44108</v>
      </c>
      <c r="B174" s="235">
        <f>IFERROR(__xludf.DUMMYFUNCTION("""COMPUTED_VALUE"""),81.0)</f>
        <v>81</v>
      </c>
      <c r="C174" s="235">
        <f>IFERROR(__xludf.DUMMYFUNCTION("""COMPUTED_VALUE"""),149.0)</f>
        <v>149</v>
      </c>
      <c r="D174" s="235">
        <f>IFERROR(__xludf.DUMMYFUNCTION("""COMPUTED_VALUE"""),35575.0)</f>
        <v>35575</v>
      </c>
      <c r="E174" s="235">
        <f>IFERROR(__xludf.DUMMYFUNCTION("""COMPUTED_VALUE"""),2367.0)</f>
        <v>2367</v>
      </c>
      <c r="F174" s="172">
        <f>IFERROR(__xludf.DUMMYFUNCTION("""COMPUTED_VALUE"""),786728.0)</f>
        <v>786728</v>
      </c>
      <c r="G174" s="172">
        <f>IFERROR(__xludf.DUMMYFUNCTION("""COMPUTED_VALUE"""),2448.0)</f>
        <v>2448</v>
      </c>
      <c r="H174" s="172">
        <f>IFERROR(__xludf.DUMMYFUNCTION("""COMPUTED_VALUE"""),822303.0)</f>
        <v>822303</v>
      </c>
      <c r="I174" s="235">
        <f>IFERROR(__xludf.DUMMYFUNCTION("""COMPUTED_VALUE"""),78.0)</f>
        <v>78</v>
      </c>
      <c r="J174" s="235">
        <f>IFERROR(__xludf.DUMMYFUNCTION("""COMPUTED_VALUE"""),130.0)</f>
        <v>130</v>
      </c>
      <c r="K174" s="235">
        <f>IFERROR(__xludf.DUMMYFUNCTION("""COMPUTED_VALUE"""),25555.0)</f>
        <v>25555</v>
      </c>
      <c r="L174" s="235">
        <f>IFERROR(__xludf.DUMMYFUNCTION("""COMPUTED_VALUE"""),958.0)</f>
        <v>958</v>
      </c>
      <c r="M174" s="235">
        <f>IFERROR(__xludf.DUMMYFUNCTION("""COMPUTED_VALUE"""),327371.0)</f>
        <v>327371</v>
      </c>
      <c r="N174" s="235">
        <f>IFERROR(__xludf.DUMMYFUNCTION("""COMPUTED_VALUE"""),352926.0)</f>
        <v>352926</v>
      </c>
      <c r="O174" s="235">
        <f>IFERROR(__xludf.DUMMYFUNCTION("""COMPUTED_VALUE"""),11.0)</f>
        <v>11</v>
      </c>
      <c r="P174" s="235">
        <f>IFERROR(__xludf.DUMMYFUNCTION("""COMPUTED_VALUE"""),2865.0)</f>
        <v>2865</v>
      </c>
      <c r="Q174" s="235">
        <f>IFERROR(__xludf.DUMMYFUNCTION("""COMPUTED_VALUE"""),9.0)</f>
        <v>9</v>
      </c>
      <c r="R174" s="235">
        <f>IFERROR(__xludf.DUMMYFUNCTION("""COMPUTED_VALUE"""),2420.0)</f>
        <v>2420</v>
      </c>
      <c r="S174" s="235">
        <f>IFERROR(__xludf.DUMMYFUNCTION("""COMPUTED_VALUE"""),1.0)</f>
        <v>1</v>
      </c>
      <c r="T174" s="235">
        <f>IFERROR(__xludf.DUMMYFUNCTION("""COMPUTED_VALUE"""),363.0)</f>
        <v>363</v>
      </c>
      <c r="U174" s="235">
        <f>IFERROR(__xludf.DUMMYFUNCTION("""COMPUTED_VALUE"""),82.0)</f>
        <v>82</v>
      </c>
      <c r="V174" s="235">
        <f>IFERROR(__xludf.DUMMYFUNCTION("""COMPUTED_VALUE"""),82.0)</f>
        <v>82</v>
      </c>
      <c r="W174" s="235">
        <f>IFERROR(__xludf.DUMMYFUNCTION("""COMPUTED_VALUE"""),8.0)</f>
        <v>8</v>
      </c>
      <c r="X174" s="235">
        <f>IFERROR(__xludf.DUMMYFUNCTION("""COMPUTED_VALUE"""),5.0)</f>
        <v>5</v>
      </c>
      <c r="Y174" s="235">
        <f>IFERROR(__xludf.DUMMYFUNCTION("""COMPUTED_VALUE"""),2.0)</f>
        <v>2</v>
      </c>
      <c r="Z174" s="235">
        <f>IFERROR(__xludf.DUMMYFUNCTION("""COMPUTED_VALUE"""),1131.0)</f>
        <v>1131</v>
      </c>
    </row>
    <row r="175">
      <c r="A175" s="234">
        <f>IFERROR(__xludf.DUMMYFUNCTION("""COMPUTED_VALUE"""),44109.0)</f>
        <v>44109</v>
      </c>
      <c r="B175" s="235">
        <f>IFERROR(__xludf.DUMMYFUNCTION("""COMPUTED_VALUE"""),174.0)</f>
        <v>174</v>
      </c>
      <c r="C175" s="235">
        <f>IFERROR(__xludf.DUMMYFUNCTION("""COMPUTED_VALUE"""),137.0)</f>
        <v>137</v>
      </c>
      <c r="D175" s="235">
        <f>IFERROR(__xludf.DUMMYFUNCTION("""COMPUTED_VALUE"""),35749.0)</f>
        <v>35749</v>
      </c>
      <c r="E175" s="235">
        <f>IFERROR(__xludf.DUMMYFUNCTION("""COMPUTED_VALUE"""),8969.0)</f>
        <v>8969</v>
      </c>
      <c r="F175" s="172">
        <f>IFERROR(__xludf.DUMMYFUNCTION("""COMPUTED_VALUE"""),795697.0)</f>
        <v>795697</v>
      </c>
      <c r="G175" s="172">
        <f>IFERROR(__xludf.DUMMYFUNCTION("""COMPUTED_VALUE"""),9143.0)</f>
        <v>9143</v>
      </c>
      <c r="H175" s="172">
        <f>IFERROR(__xludf.DUMMYFUNCTION("""COMPUTED_VALUE"""),831446.0)</f>
        <v>831446</v>
      </c>
      <c r="I175" s="235">
        <f>IFERROR(__xludf.DUMMYFUNCTION("""COMPUTED_VALUE"""),160.0)</f>
        <v>160</v>
      </c>
      <c r="J175" s="235">
        <f>IFERROR(__xludf.DUMMYFUNCTION("""COMPUTED_VALUE"""),123.0)</f>
        <v>123</v>
      </c>
      <c r="K175" s="235">
        <f>IFERROR(__xludf.DUMMYFUNCTION("""COMPUTED_VALUE"""),25715.0)</f>
        <v>25715</v>
      </c>
      <c r="L175" s="235">
        <f>IFERROR(__xludf.DUMMYFUNCTION("""COMPUTED_VALUE"""),3037.0)</f>
        <v>3037</v>
      </c>
      <c r="M175" s="235">
        <f>IFERROR(__xludf.DUMMYFUNCTION("""COMPUTED_VALUE"""),330408.0)</f>
        <v>330408</v>
      </c>
      <c r="N175" s="235">
        <f>IFERROR(__xludf.DUMMYFUNCTION("""COMPUTED_VALUE"""),356123.0)</f>
        <v>356123</v>
      </c>
      <c r="O175" s="235">
        <f>IFERROR(__xludf.DUMMYFUNCTION("""COMPUTED_VALUE"""),30.0)</f>
        <v>30</v>
      </c>
      <c r="P175" s="235">
        <f>IFERROR(__xludf.DUMMYFUNCTION("""COMPUTED_VALUE"""),2895.0)</f>
        <v>2895</v>
      </c>
      <c r="Q175" s="235">
        <f>IFERROR(__xludf.DUMMYFUNCTION("""COMPUTED_VALUE"""),11.0)</f>
        <v>11</v>
      </c>
      <c r="R175" s="235">
        <f>IFERROR(__xludf.DUMMYFUNCTION("""COMPUTED_VALUE"""),2431.0)</f>
        <v>2431</v>
      </c>
      <c r="S175" s="235">
        <f>IFERROR(__xludf.DUMMYFUNCTION("""COMPUTED_VALUE"""),2.0)</f>
        <v>2</v>
      </c>
      <c r="T175" s="235">
        <f>IFERROR(__xludf.DUMMYFUNCTION("""COMPUTED_VALUE"""),365.0)</f>
        <v>365</v>
      </c>
      <c r="U175" s="235">
        <f>IFERROR(__xludf.DUMMYFUNCTION("""COMPUTED_VALUE"""),99.0)</f>
        <v>99</v>
      </c>
      <c r="V175" s="235">
        <f>IFERROR(__xludf.DUMMYFUNCTION("""COMPUTED_VALUE"""),87.0)</f>
        <v>87</v>
      </c>
      <c r="W175" s="235">
        <f>IFERROR(__xludf.DUMMYFUNCTION("""COMPUTED_VALUE"""),9.0)</f>
        <v>9</v>
      </c>
      <c r="X175" s="235">
        <f>IFERROR(__xludf.DUMMYFUNCTION("""COMPUTED_VALUE"""),6.0)</f>
        <v>6</v>
      </c>
      <c r="Y175" s="235">
        <f>IFERROR(__xludf.DUMMYFUNCTION("""COMPUTED_VALUE"""),4.0)</f>
        <v>4</v>
      </c>
      <c r="Z175" s="235">
        <f>IFERROR(__xludf.DUMMYFUNCTION("""COMPUTED_VALUE"""),1135.0)</f>
        <v>1135</v>
      </c>
    </row>
    <row r="176">
      <c r="A176" s="234">
        <f>IFERROR(__xludf.DUMMYFUNCTION("""COMPUTED_VALUE"""),44110.0)</f>
        <v>44110</v>
      </c>
      <c r="B176" s="235">
        <f>IFERROR(__xludf.DUMMYFUNCTION("""COMPUTED_VALUE"""),176.0)</f>
        <v>176</v>
      </c>
      <c r="C176" s="235">
        <f>IFERROR(__xludf.DUMMYFUNCTION("""COMPUTED_VALUE"""),144.0)</f>
        <v>144</v>
      </c>
      <c r="D176" s="235">
        <f>IFERROR(__xludf.DUMMYFUNCTION("""COMPUTED_VALUE"""),35925.0)</f>
        <v>35925</v>
      </c>
      <c r="E176" s="235">
        <f>IFERROR(__xludf.DUMMYFUNCTION("""COMPUTED_VALUE"""),11173.0)</f>
        <v>11173</v>
      </c>
      <c r="F176" s="172">
        <f>IFERROR(__xludf.DUMMYFUNCTION("""COMPUTED_VALUE"""),806870.0)</f>
        <v>806870</v>
      </c>
      <c r="G176" s="172">
        <f>IFERROR(__xludf.DUMMYFUNCTION("""COMPUTED_VALUE"""),11349.0)</f>
        <v>11349</v>
      </c>
      <c r="H176" s="172">
        <f>IFERROR(__xludf.DUMMYFUNCTION("""COMPUTED_VALUE"""),842795.0)</f>
        <v>842795</v>
      </c>
      <c r="I176" s="235">
        <f>IFERROR(__xludf.DUMMYFUNCTION("""COMPUTED_VALUE"""),186.0)</f>
        <v>186</v>
      </c>
      <c r="J176" s="235">
        <f>IFERROR(__xludf.DUMMYFUNCTION("""COMPUTED_VALUE"""),141.0)</f>
        <v>141</v>
      </c>
      <c r="K176" s="235">
        <f>IFERROR(__xludf.DUMMYFUNCTION("""COMPUTED_VALUE"""),25901.0)</f>
        <v>25901</v>
      </c>
      <c r="L176" s="235">
        <f>IFERROR(__xludf.DUMMYFUNCTION("""COMPUTED_VALUE"""),2910.0)</f>
        <v>2910</v>
      </c>
      <c r="M176" s="235">
        <f>IFERROR(__xludf.DUMMYFUNCTION("""COMPUTED_VALUE"""),333318.0)</f>
        <v>333318</v>
      </c>
      <c r="N176" s="235">
        <f>IFERROR(__xludf.DUMMYFUNCTION("""COMPUTED_VALUE"""),359219.0)</f>
        <v>359219</v>
      </c>
      <c r="O176" s="235">
        <f>IFERROR(__xludf.DUMMYFUNCTION("""COMPUTED_VALUE"""),11.0)</f>
        <v>11</v>
      </c>
      <c r="P176" s="235">
        <f>IFERROR(__xludf.DUMMYFUNCTION("""COMPUTED_VALUE"""),2906.0)</f>
        <v>2906</v>
      </c>
      <c r="Q176" s="235">
        <f>IFERROR(__xludf.DUMMYFUNCTION("""COMPUTED_VALUE"""),5.0)</f>
        <v>5</v>
      </c>
      <c r="R176" s="235">
        <f>IFERROR(__xludf.DUMMYFUNCTION("""COMPUTED_VALUE"""),2436.0)</f>
        <v>2436</v>
      </c>
      <c r="S176" s="235">
        <f>IFERROR(__xludf.DUMMYFUNCTION("""COMPUTED_VALUE"""),0.0)</f>
        <v>0</v>
      </c>
      <c r="T176" s="235">
        <f>IFERROR(__xludf.DUMMYFUNCTION("""COMPUTED_VALUE"""),365.0)</f>
        <v>365</v>
      </c>
      <c r="U176" s="235">
        <f>IFERROR(__xludf.DUMMYFUNCTION("""COMPUTED_VALUE"""),105.0)</f>
        <v>105</v>
      </c>
      <c r="V176" s="235">
        <f>IFERROR(__xludf.DUMMYFUNCTION("""COMPUTED_VALUE"""),95.0)</f>
        <v>95</v>
      </c>
      <c r="W176" s="235">
        <f>IFERROR(__xludf.DUMMYFUNCTION("""COMPUTED_VALUE"""),11.0)</f>
        <v>11</v>
      </c>
      <c r="X176" s="235">
        <f>IFERROR(__xludf.DUMMYFUNCTION("""COMPUTED_VALUE"""),7.0)</f>
        <v>7</v>
      </c>
      <c r="Y176" s="235">
        <f>IFERROR(__xludf.DUMMYFUNCTION("""COMPUTED_VALUE"""),0.0)</f>
        <v>0</v>
      </c>
      <c r="Z176" s="235">
        <f>IFERROR(__xludf.DUMMYFUNCTION("""COMPUTED_VALUE"""),1135.0)</f>
        <v>1135</v>
      </c>
    </row>
    <row r="177">
      <c r="A177" s="234">
        <f>IFERROR(__xludf.DUMMYFUNCTION("""COMPUTED_VALUE"""),44111.0)</f>
        <v>44111</v>
      </c>
      <c r="B177" s="235">
        <f>IFERROR(__xludf.DUMMYFUNCTION("""COMPUTED_VALUE"""),228.0)</f>
        <v>228</v>
      </c>
      <c r="C177" s="235">
        <f>IFERROR(__xludf.DUMMYFUNCTION("""COMPUTED_VALUE"""),193.0)</f>
        <v>193</v>
      </c>
      <c r="D177" s="235">
        <f>IFERROR(__xludf.DUMMYFUNCTION("""COMPUTED_VALUE"""),36153.0)</f>
        <v>36153</v>
      </c>
      <c r="E177" s="235">
        <f>IFERROR(__xludf.DUMMYFUNCTION("""COMPUTED_VALUE"""),12426.0)</f>
        <v>12426</v>
      </c>
      <c r="F177" s="172">
        <f>IFERROR(__xludf.DUMMYFUNCTION("""COMPUTED_VALUE"""),819296.0)</f>
        <v>819296</v>
      </c>
      <c r="G177" s="172">
        <f>IFERROR(__xludf.DUMMYFUNCTION("""COMPUTED_VALUE"""),12654.0)</f>
        <v>12654</v>
      </c>
      <c r="H177" s="172">
        <f>IFERROR(__xludf.DUMMYFUNCTION("""COMPUTED_VALUE"""),855449.0)</f>
        <v>855449</v>
      </c>
      <c r="I177" s="235">
        <f>IFERROR(__xludf.DUMMYFUNCTION("""COMPUTED_VALUE"""),242.0)</f>
        <v>242</v>
      </c>
      <c r="J177" s="235">
        <f>IFERROR(__xludf.DUMMYFUNCTION("""COMPUTED_VALUE"""),196.0)</f>
        <v>196</v>
      </c>
      <c r="K177" s="235">
        <f>IFERROR(__xludf.DUMMYFUNCTION("""COMPUTED_VALUE"""),26143.0)</f>
        <v>26143</v>
      </c>
      <c r="L177" s="235">
        <f>IFERROR(__xludf.DUMMYFUNCTION("""COMPUTED_VALUE"""),3540.0)</f>
        <v>3540</v>
      </c>
      <c r="M177" s="235">
        <f>IFERROR(__xludf.DUMMYFUNCTION("""COMPUTED_VALUE"""),336858.0)</f>
        <v>336858</v>
      </c>
      <c r="N177" s="235">
        <f>IFERROR(__xludf.DUMMYFUNCTION("""COMPUTED_VALUE"""),363001.0)</f>
        <v>363001</v>
      </c>
      <c r="O177" s="235">
        <f>IFERROR(__xludf.DUMMYFUNCTION("""COMPUTED_VALUE"""),13.0)</f>
        <v>13</v>
      </c>
      <c r="P177" s="235">
        <f>IFERROR(__xludf.DUMMYFUNCTION("""COMPUTED_VALUE"""),2919.0)</f>
        <v>2919</v>
      </c>
      <c r="Q177" s="235">
        <f>IFERROR(__xludf.DUMMYFUNCTION("""COMPUTED_VALUE"""),14.0)</f>
        <v>14</v>
      </c>
      <c r="R177" s="235">
        <f>IFERROR(__xludf.DUMMYFUNCTION("""COMPUTED_VALUE"""),2450.0)</f>
        <v>2450</v>
      </c>
      <c r="S177" s="235">
        <f>IFERROR(__xludf.DUMMYFUNCTION("""COMPUTED_VALUE"""),2.0)</f>
        <v>2</v>
      </c>
      <c r="T177" s="235">
        <f>IFERROR(__xludf.DUMMYFUNCTION("""COMPUTED_VALUE"""),367.0)</f>
        <v>367</v>
      </c>
      <c r="U177" s="235">
        <f>IFERROR(__xludf.DUMMYFUNCTION("""COMPUTED_VALUE"""),102.0)</f>
        <v>102</v>
      </c>
      <c r="V177" s="235">
        <f>IFERROR(__xludf.DUMMYFUNCTION("""COMPUTED_VALUE"""),102.0)</f>
        <v>102</v>
      </c>
      <c r="W177" s="235">
        <f>IFERROR(__xludf.DUMMYFUNCTION("""COMPUTED_VALUE"""),9.0)</f>
        <v>9</v>
      </c>
      <c r="X177" s="235">
        <f>IFERROR(__xludf.DUMMYFUNCTION("""COMPUTED_VALUE"""),7.0)</f>
        <v>7</v>
      </c>
      <c r="Y177" s="235">
        <f>IFERROR(__xludf.DUMMYFUNCTION("""COMPUTED_VALUE"""),2.0)</f>
        <v>2</v>
      </c>
      <c r="Z177" s="235">
        <f>IFERROR(__xludf.DUMMYFUNCTION("""COMPUTED_VALUE"""),1137.0)</f>
        <v>1137</v>
      </c>
    </row>
    <row r="178">
      <c r="A178" s="234">
        <f>IFERROR(__xludf.DUMMYFUNCTION("""COMPUTED_VALUE"""),44112.0)</f>
        <v>44112</v>
      </c>
      <c r="B178" s="235">
        <f>IFERROR(__xludf.DUMMYFUNCTION("""COMPUTED_VALUE"""),262.0)</f>
        <v>262</v>
      </c>
      <c r="C178" s="235">
        <f>IFERROR(__xludf.DUMMYFUNCTION("""COMPUTED_VALUE"""),222.0)</f>
        <v>222</v>
      </c>
      <c r="D178" s="235">
        <f>IFERROR(__xludf.DUMMYFUNCTION("""COMPUTED_VALUE"""),36415.0)</f>
        <v>36415</v>
      </c>
      <c r="E178" s="235">
        <f>IFERROR(__xludf.DUMMYFUNCTION("""COMPUTED_VALUE"""),15211.0)</f>
        <v>15211</v>
      </c>
      <c r="F178" s="172">
        <f>IFERROR(__xludf.DUMMYFUNCTION("""COMPUTED_VALUE"""),834507.0)</f>
        <v>834507</v>
      </c>
      <c r="G178" s="172">
        <f>IFERROR(__xludf.DUMMYFUNCTION("""COMPUTED_VALUE"""),15473.0)</f>
        <v>15473</v>
      </c>
      <c r="H178" s="172">
        <f>IFERROR(__xludf.DUMMYFUNCTION("""COMPUTED_VALUE"""),870922.0)</f>
        <v>870922</v>
      </c>
      <c r="I178" s="235">
        <f>IFERROR(__xludf.DUMMYFUNCTION("""COMPUTED_VALUE"""),275.0)</f>
        <v>275</v>
      </c>
      <c r="J178" s="235">
        <f>IFERROR(__xludf.DUMMYFUNCTION("""COMPUTED_VALUE"""),234.0)</f>
        <v>234</v>
      </c>
      <c r="K178" s="235">
        <f>IFERROR(__xludf.DUMMYFUNCTION("""COMPUTED_VALUE"""),26418.0)</f>
        <v>26418</v>
      </c>
      <c r="L178" s="235">
        <f>IFERROR(__xludf.DUMMYFUNCTION("""COMPUTED_VALUE"""),4216.0)</f>
        <v>4216</v>
      </c>
      <c r="M178" s="235">
        <f>IFERROR(__xludf.DUMMYFUNCTION("""COMPUTED_VALUE"""),341074.0)</f>
        <v>341074</v>
      </c>
      <c r="N178" s="235">
        <f>IFERROR(__xludf.DUMMYFUNCTION("""COMPUTED_VALUE"""),367492.0)</f>
        <v>367492</v>
      </c>
      <c r="O178" s="235">
        <f>IFERROR(__xludf.DUMMYFUNCTION("""COMPUTED_VALUE"""),17.0)</f>
        <v>17</v>
      </c>
      <c r="P178" s="235">
        <f>IFERROR(__xludf.DUMMYFUNCTION("""COMPUTED_VALUE"""),2936.0)</f>
        <v>2936</v>
      </c>
      <c r="Q178" s="235">
        <f>IFERROR(__xludf.DUMMYFUNCTION("""COMPUTED_VALUE"""),13.0)</f>
        <v>13</v>
      </c>
      <c r="R178" s="235">
        <f>IFERROR(__xludf.DUMMYFUNCTION("""COMPUTED_VALUE"""),2463.0)</f>
        <v>2463</v>
      </c>
      <c r="S178" s="235">
        <f>IFERROR(__xludf.DUMMYFUNCTION("""COMPUTED_VALUE"""),2.0)</f>
        <v>2</v>
      </c>
      <c r="T178" s="235">
        <f>IFERROR(__xludf.DUMMYFUNCTION("""COMPUTED_VALUE"""),369.0)</f>
        <v>369</v>
      </c>
      <c r="U178" s="235">
        <f>IFERROR(__xludf.DUMMYFUNCTION("""COMPUTED_VALUE"""),104.0)</f>
        <v>104</v>
      </c>
      <c r="V178" s="235">
        <f>IFERROR(__xludf.DUMMYFUNCTION("""COMPUTED_VALUE"""),104.0)</f>
        <v>104</v>
      </c>
      <c r="W178" s="235">
        <f>IFERROR(__xludf.DUMMYFUNCTION("""COMPUTED_VALUE"""),7.0)</f>
        <v>7</v>
      </c>
      <c r="X178" s="235">
        <f>IFERROR(__xludf.DUMMYFUNCTION("""COMPUTED_VALUE"""),5.0)</f>
        <v>5</v>
      </c>
      <c r="Y178" s="235">
        <f>IFERROR(__xludf.DUMMYFUNCTION("""COMPUTED_VALUE"""),3.0)</f>
        <v>3</v>
      </c>
      <c r="Z178" s="235">
        <f>IFERROR(__xludf.DUMMYFUNCTION("""COMPUTED_VALUE"""),1140.0)</f>
        <v>1140</v>
      </c>
    </row>
    <row r="179">
      <c r="A179" s="234">
        <f>IFERROR(__xludf.DUMMYFUNCTION("""COMPUTED_VALUE"""),44113.0)</f>
        <v>44113</v>
      </c>
      <c r="B179" s="235">
        <f>IFERROR(__xludf.DUMMYFUNCTION("""COMPUTED_VALUE"""),216.0)</f>
        <v>216</v>
      </c>
      <c r="C179" s="235">
        <f>IFERROR(__xludf.DUMMYFUNCTION("""COMPUTED_VALUE"""),235.0)</f>
        <v>235</v>
      </c>
      <c r="D179" s="235">
        <f>IFERROR(__xludf.DUMMYFUNCTION("""COMPUTED_VALUE"""),36631.0)</f>
        <v>36631</v>
      </c>
      <c r="E179" s="235">
        <f>IFERROR(__xludf.DUMMYFUNCTION("""COMPUTED_VALUE"""),13735.0)</f>
        <v>13735</v>
      </c>
      <c r="F179" s="172">
        <f>IFERROR(__xludf.DUMMYFUNCTION("""COMPUTED_VALUE"""),848242.0)</f>
        <v>848242</v>
      </c>
      <c r="G179" s="172">
        <f>IFERROR(__xludf.DUMMYFUNCTION("""COMPUTED_VALUE"""),13951.0)</f>
        <v>13951</v>
      </c>
      <c r="H179" s="172">
        <f>IFERROR(__xludf.DUMMYFUNCTION("""COMPUTED_VALUE"""),884873.0)</f>
        <v>884873</v>
      </c>
      <c r="I179" s="235">
        <f>IFERROR(__xludf.DUMMYFUNCTION("""COMPUTED_VALUE"""),198.0)</f>
        <v>198</v>
      </c>
      <c r="J179" s="235">
        <f>IFERROR(__xludf.DUMMYFUNCTION("""COMPUTED_VALUE"""),238.0)</f>
        <v>238</v>
      </c>
      <c r="K179" s="235">
        <f>IFERROR(__xludf.DUMMYFUNCTION("""COMPUTED_VALUE"""),26616.0)</f>
        <v>26616</v>
      </c>
      <c r="L179" s="235">
        <f>IFERROR(__xludf.DUMMYFUNCTION("""COMPUTED_VALUE"""),4343.0)</f>
        <v>4343</v>
      </c>
      <c r="M179" s="235">
        <f>IFERROR(__xludf.DUMMYFUNCTION("""COMPUTED_VALUE"""),345417.0)</f>
        <v>345417</v>
      </c>
      <c r="N179" s="235">
        <f>IFERROR(__xludf.DUMMYFUNCTION("""COMPUTED_VALUE"""),372033.0)</f>
        <v>372033</v>
      </c>
      <c r="O179" s="235">
        <f>IFERROR(__xludf.DUMMYFUNCTION("""COMPUTED_VALUE"""),21.0)</f>
        <v>21</v>
      </c>
      <c r="P179" s="235">
        <f>IFERROR(__xludf.DUMMYFUNCTION("""COMPUTED_VALUE"""),2957.0)</f>
        <v>2957</v>
      </c>
      <c r="Q179" s="235">
        <f>IFERROR(__xludf.DUMMYFUNCTION("""COMPUTED_VALUE"""),12.0)</f>
        <v>12</v>
      </c>
      <c r="R179" s="235">
        <f>IFERROR(__xludf.DUMMYFUNCTION("""COMPUTED_VALUE"""),2475.0)</f>
        <v>2475</v>
      </c>
      <c r="S179" s="235">
        <f>IFERROR(__xludf.DUMMYFUNCTION("""COMPUTED_VALUE"""),0.0)</f>
        <v>0</v>
      </c>
      <c r="T179" s="235">
        <f>IFERROR(__xludf.DUMMYFUNCTION("""COMPUTED_VALUE"""),369.0)</f>
        <v>369</v>
      </c>
      <c r="U179" s="235">
        <f>IFERROR(__xludf.DUMMYFUNCTION("""COMPUTED_VALUE"""),113.0)</f>
        <v>113</v>
      </c>
      <c r="V179" s="235">
        <f>IFERROR(__xludf.DUMMYFUNCTION("""COMPUTED_VALUE"""),106.0)</f>
        <v>106</v>
      </c>
      <c r="W179" s="235">
        <f>IFERROR(__xludf.DUMMYFUNCTION("""COMPUTED_VALUE"""),10.0)</f>
        <v>10</v>
      </c>
      <c r="X179" s="235">
        <f>IFERROR(__xludf.DUMMYFUNCTION("""COMPUTED_VALUE"""),7.0)</f>
        <v>7</v>
      </c>
      <c r="Y179" s="235">
        <f>IFERROR(__xludf.DUMMYFUNCTION("""COMPUTED_VALUE"""),3.0)</f>
        <v>3</v>
      </c>
      <c r="Z179" s="235">
        <f>IFERROR(__xludf.DUMMYFUNCTION("""COMPUTED_VALUE"""),1143.0)</f>
        <v>1143</v>
      </c>
    </row>
    <row r="180">
      <c r="A180" s="234">
        <f>IFERROR(__xludf.DUMMYFUNCTION("""COMPUTED_VALUE"""),44114.0)</f>
        <v>44114</v>
      </c>
      <c r="B180" s="235">
        <f>IFERROR(__xludf.DUMMYFUNCTION("""COMPUTED_VALUE"""),229.0)</f>
        <v>229</v>
      </c>
      <c r="C180" s="235">
        <f>IFERROR(__xludf.DUMMYFUNCTION("""COMPUTED_VALUE"""),236.0)</f>
        <v>236</v>
      </c>
      <c r="D180" s="235">
        <f>IFERROR(__xludf.DUMMYFUNCTION("""COMPUTED_VALUE"""),36860.0)</f>
        <v>36860</v>
      </c>
      <c r="E180" s="235">
        <f>IFERROR(__xludf.DUMMYFUNCTION("""COMPUTED_VALUE"""),13826.0)</f>
        <v>13826</v>
      </c>
      <c r="F180" s="172">
        <f>IFERROR(__xludf.DUMMYFUNCTION("""COMPUTED_VALUE"""),862068.0)</f>
        <v>862068</v>
      </c>
      <c r="G180" s="172">
        <f>IFERROR(__xludf.DUMMYFUNCTION("""COMPUTED_VALUE"""),14055.0)</f>
        <v>14055</v>
      </c>
      <c r="H180" s="172">
        <f>IFERROR(__xludf.DUMMYFUNCTION("""COMPUTED_VALUE"""),898928.0)</f>
        <v>898928</v>
      </c>
      <c r="I180" s="235">
        <f>IFERROR(__xludf.DUMMYFUNCTION("""COMPUTED_VALUE"""),195.0)</f>
        <v>195</v>
      </c>
      <c r="J180" s="235">
        <f>IFERROR(__xludf.DUMMYFUNCTION("""COMPUTED_VALUE"""),223.0)</f>
        <v>223</v>
      </c>
      <c r="K180" s="235">
        <f>IFERROR(__xludf.DUMMYFUNCTION("""COMPUTED_VALUE"""),26811.0)</f>
        <v>26811</v>
      </c>
      <c r="L180" s="235">
        <f>IFERROR(__xludf.DUMMYFUNCTION("""COMPUTED_VALUE"""),3825.0)</f>
        <v>3825</v>
      </c>
      <c r="M180" s="235">
        <f>IFERROR(__xludf.DUMMYFUNCTION("""COMPUTED_VALUE"""),349242.0)</f>
        <v>349242</v>
      </c>
      <c r="N180" s="235">
        <f>IFERROR(__xludf.DUMMYFUNCTION("""COMPUTED_VALUE"""),376053.0)</f>
        <v>376053</v>
      </c>
      <c r="O180" s="235">
        <f>IFERROR(__xludf.DUMMYFUNCTION("""COMPUTED_VALUE"""),19.0)</f>
        <v>19</v>
      </c>
      <c r="P180" s="235">
        <f>IFERROR(__xludf.DUMMYFUNCTION("""COMPUTED_VALUE"""),2976.0)</f>
        <v>2976</v>
      </c>
      <c r="Q180" s="235">
        <f>IFERROR(__xludf.DUMMYFUNCTION("""COMPUTED_VALUE"""),10.0)</f>
        <v>10</v>
      </c>
      <c r="R180" s="235">
        <f>IFERROR(__xludf.DUMMYFUNCTION("""COMPUTED_VALUE"""),2485.0)</f>
        <v>2485</v>
      </c>
      <c r="S180" s="235">
        <f>IFERROR(__xludf.DUMMYFUNCTION("""COMPUTED_VALUE"""),1.0)</f>
        <v>1</v>
      </c>
      <c r="T180" s="235">
        <f>IFERROR(__xludf.DUMMYFUNCTION("""COMPUTED_VALUE"""),370.0)</f>
        <v>370</v>
      </c>
      <c r="U180" s="235">
        <f>IFERROR(__xludf.DUMMYFUNCTION("""COMPUTED_VALUE"""),121.0)</f>
        <v>121</v>
      </c>
      <c r="V180" s="235">
        <f>IFERROR(__xludf.DUMMYFUNCTION("""COMPUTED_VALUE"""),113.0)</f>
        <v>113</v>
      </c>
      <c r="W180" s="235">
        <f>IFERROR(__xludf.DUMMYFUNCTION("""COMPUTED_VALUE"""),13.0)</f>
        <v>13</v>
      </c>
      <c r="X180" s="235">
        <f>IFERROR(__xludf.DUMMYFUNCTION("""COMPUTED_VALUE"""),7.0)</f>
        <v>7</v>
      </c>
      <c r="Y180" s="235">
        <f>IFERROR(__xludf.DUMMYFUNCTION("""COMPUTED_VALUE"""),2.0)</f>
        <v>2</v>
      </c>
      <c r="Z180" s="235">
        <f>IFERROR(__xludf.DUMMYFUNCTION("""COMPUTED_VALUE"""),1145.0)</f>
        <v>1145</v>
      </c>
    </row>
    <row r="181">
      <c r="A181" s="234">
        <f>IFERROR(__xludf.DUMMYFUNCTION("""COMPUTED_VALUE"""),44115.0)</f>
        <v>44115</v>
      </c>
      <c r="B181" s="235">
        <f>IFERROR(__xludf.DUMMYFUNCTION("""COMPUTED_VALUE"""),94.0)</f>
        <v>94</v>
      </c>
      <c r="C181" s="235">
        <f>IFERROR(__xludf.DUMMYFUNCTION("""COMPUTED_VALUE"""),180.0)</f>
        <v>180</v>
      </c>
      <c r="D181" s="235">
        <f>IFERROR(__xludf.DUMMYFUNCTION("""COMPUTED_VALUE"""),36954.0)</f>
        <v>36954</v>
      </c>
      <c r="E181" s="235">
        <f>IFERROR(__xludf.DUMMYFUNCTION("""COMPUTED_VALUE"""),3253.0)</f>
        <v>3253</v>
      </c>
      <c r="F181" s="172">
        <f>IFERROR(__xludf.DUMMYFUNCTION("""COMPUTED_VALUE"""),865321.0)</f>
        <v>865321</v>
      </c>
      <c r="G181" s="172">
        <f>IFERROR(__xludf.DUMMYFUNCTION("""COMPUTED_VALUE"""),3347.0)</f>
        <v>3347</v>
      </c>
      <c r="H181" s="172">
        <f>IFERROR(__xludf.DUMMYFUNCTION("""COMPUTED_VALUE"""),902275.0)</f>
        <v>902275</v>
      </c>
      <c r="I181" s="235">
        <f>IFERROR(__xludf.DUMMYFUNCTION("""COMPUTED_VALUE"""),87.0)</f>
        <v>87</v>
      </c>
      <c r="J181" s="235">
        <f>IFERROR(__xludf.DUMMYFUNCTION("""COMPUTED_VALUE"""),160.0)</f>
        <v>160</v>
      </c>
      <c r="K181" s="235">
        <f>IFERROR(__xludf.DUMMYFUNCTION("""COMPUTED_VALUE"""),26898.0)</f>
        <v>26898</v>
      </c>
      <c r="L181" s="235">
        <f>IFERROR(__xludf.DUMMYFUNCTION("""COMPUTED_VALUE"""),1160.0)</f>
        <v>1160</v>
      </c>
      <c r="M181" s="235">
        <f>IFERROR(__xludf.DUMMYFUNCTION("""COMPUTED_VALUE"""),350402.0)</f>
        <v>350402</v>
      </c>
      <c r="N181" s="235">
        <f>IFERROR(__xludf.DUMMYFUNCTION("""COMPUTED_VALUE"""),377300.0)</f>
        <v>377300</v>
      </c>
      <c r="O181" s="235">
        <f>IFERROR(__xludf.DUMMYFUNCTION("""COMPUTED_VALUE"""),12.0)</f>
        <v>12</v>
      </c>
      <c r="P181" s="235">
        <f>IFERROR(__xludf.DUMMYFUNCTION("""COMPUTED_VALUE"""),2988.0)</f>
        <v>2988</v>
      </c>
      <c r="Q181" s="235">
        <f>IFERROR(__xludf.DUMMYFUNCTION("""COMPUTED_VALUE"""),9.0)</f>
        <v>9</v>
      </c>
      <c r="R181" s="235">
        <f>IFERROR(__xludf.DUMMYFUNCTION("""COMPUTED_VALUE"""),2494.0)</f>
        <v>2494</v>
      </c>
      <c r="S181" s="235">
        <f>IFERROR(__xludf.DUMMYFUNCTION("""COMPUTED_VALUE"""),1.0)</f>
        <v>1</v>
      </c>
      <c r="T181" s="235">
        <f>IFERROR(__xludf.DUMMYFUNCTION("""COMPUTED_VALUE"""),371.0)</f>
        <v>371</v>
      </c>
      <c r="U181" s="235">
        <f>IFERROR(__xludf.DUMMYFUNCTION("""COMPUTED_VALUE"""),123.0)</f>
        <v>123</v>
      </c>
      <c r="V181" s="235">
        <f>IFERROR(__xludf.DUMMYFUNCTION("""COMPUTED_VALUE"""),119.0)</f>
        <v>119</v>
      </c>
      <c r="W181" s="235">
        <f>IFERROR(__xludf.DUMMYFUNCTION("""COMPUTED_VALUE"""),14.0)</f>
        <v>14</v>
      </c>
      <c r="X181" s="235">
        <f>IFERROR(__xludf.DUMMYFUNCTION("""COMPUTED_VALUE"""),5.0)</f>
        <v>5</v>
      </c>
      <c r="Y181" s="235">
        <f>IFERROR(__xludf.DUMMYFUNCTION("""COMPUTED_VALUE"""),6.0)</f>
        <v>6</v>
      </c>
      <c r="Z181" s="235">
        <f>IFERROR(__xludf.DUMMYFUNCTION("""COMPUTED_VALUE"""),1151.0)</f>
        <v>1151</v>
      </c>
    </row>
    <row r="182">
      <c r="A182" s="234">
        <f>IFERROR(__xludf.DUMMYFUNCTION("""COMPUTED_VALUE"""),44116.0)</f>
        <v>44116</v>
      </c>
      <c r="B182" s="235">
        <f>IFERROR(__xludf.DUMMYFUNCTION("""COMPUTED_VALUE"""),165.0)</f>
        <v>165</v>
      </c>
      <c r="C182" s="235">
        <f>IFERROR(__xludf.DUMMYFUNCTION("""COMPUTED_VALUE"""),163.0)</f>
        <v>163</v>
      </c>
      <c r="D182" s="235">
        <f>IFERROR(__xludf.DUMMYFUNCTION("""COMPUTED_VALUE"""),37119.0)</f>
        <v>37119</v>
      </c>
      <c r="E182" s="235">
        <f>IFERROR(__xludf.DUMMYFUNCTION("""COMPUTED_VALUE"""),6414.0)</f>
        <v>6414</v>
      </c>
      <c r="F182" s="172">
        <f>IFERROR(__xludf.DUMMYFUNCTION("""COMPUTED_VALUE"""),871735.0)</f>
        <v>871735</v>
      </c>
      <c r="G182" s="172">
        <f>IFERROR(__xludf.DUMMYFUNCTION("""COMPUTED_VALUE"""),6579.0)</f>
        <v>6579</v>
      </c>
      <c r="H182" s="172">
        <f>IFERROR(__xludf.DUMMYFUNCTION("""COMPUTED_VALUE"""),908854.0)</f>
        <v>908854</v>
      </c>
      <c r="I182" s="235">
        <f>IFERROR(__xludf.DUMMYFUNCTION("""COMPUTED_VALUE"""),158.0)</f>
        <v>158</v>
      </c>
      <c r="J182" s="235">
        <f>IFERROR(__xludf.DUMMYFUNCTION("""COMPUTED_VALUE"""),147.0)</f>
        <v>147</v>
      </c>
      <c r="K182" s="235">
        <f>IFERROR(__xludf.DUMMYFUNCTION("""COMPUTED_VALUE"""),27056.0)</f>
        <v>27056</v>
      </c>
      <c r="L182" s="235">
        <f>IFERROR(__xludf.DUMMYFUNCTION("""COMPUTED_VALUE"""),1745.0)</f>
        <v>1745</v>
      </c>
      <c r="M182" s="235">
        <f>IFERROR(__xludf.DUMMYFUNCTION("""COMPUTED_VALUE"""),352147.0)</f>
        <v>352147</v>
      </c>
      <c r="N182" s="235">
        <f>IFERROR(__xludf.DUMMYFUNCTION("""COMPUTED_VALUE"""),379203.0)</f>
        <v>379203</v>
      </c>
      <c r="O182" s="235">
        <f>IFERROR(__xludf.DUMMYFUNCTION("""COMPUTED_VALUE"""),19.0)</f>
        <v>19</v>
      </c>
      <c r="P182" s="235">
        <f>IFERROR(__xludf.DUMMYFUNCTION("""COMPUTED_VALUE"""),3007.0)</f>
        <v>3007</v>
      </c>
      <c r="Q182" s="235">
        <f>IFERROR(__xludf.DUMMYFUNCTION("""COMPUTED_VALUE"""),15.0)</f>
        <v>15</v>
      </c>
      <c r="R182" s="235">
        <f>IFERROR(__xludf.DUMMYFUNCTION("""COMPUTED_VALUE"""),2509.0)</f>
        <v>2509</v>
      </c>
      <c r="S182" s="235">
        <f>IFERROR(__xludf.DUMMYFUNCTION("""COMPUTED_VALUE"""),2.0)</f>
        <v>2</v>
      </c>
      <c r="T182" s="235">
        <f>IFERROR(__xludf.DUMMYFUNCTION("""COMPUTED_VALUE"""),373.0)</f>
        <v>373</v>
      </c>
      <c r="U182" s="235">
        <f>IFERROR(__xludf.DUMMYFUNCTION("""COMPUTED_VALUE"""),125.0)</f>
        <v>125</v>
      </c>
      <c r="V182" s="235">
        <f>IFERROR(__xludf.DUMMYFUNCTION("""COMPUTED_VALUE"""),123.0)</f>
        <v>123</v>
      </c>
      <c r="W182" s="235">
        <f>IFERROR(__xludf.DUMMYFUNCTION("""COMPUTED_VALUE"""),14.0)</f>
        <v>14</v>
      </c>
      <c r="X182" s="235">
        <f>IFERROR(__xludf.DUMMYFUNCTION("""COMPUTED_VALUE"""),5.0)</f>
        <v>5</v>
      </c>
      <c r="Y182" s="235">
        <f>IFERROR(__xludf.DUMMYFUNCTION("""COMPUTED_VALUE"""),4.0)</f>
        <v>4</v>
      </c>
      <c r="Z182" s="235">
        <f>IFERROR(__xludf.DUMMYFUNCTION("""COMPUTED_VALUE"""),1155.0)</f>
        <v>1155</v>
      </c>
    </row>
    <row r="183">
      <c r="A183" s="234">
        <f>IFERROR(__xludf.DUMMYFUNCTION("""COMPUTED_VALUE"""),44117.0)</f>
        <v>44117</v>
      </c>
      <c r="B183" s="235">
        <f>IFERROR(__xludf.DUMMYFUNCTION("""COMPUTED_VALUE"""),210.0)</f>
        <v>210</v>
      </c>
      <c r="C183" s="235">
        <f>IFERROR(__xludf.DUMMYFUNCTION("""COMPUTED_VALUE"""),156.0)</f>
        <v>156</v>
      </c>
      <c r="D183" s="235">
        <f>IFERROR(__xludf.DUMMYFUNCTION("""COMPUTED_VALUE"""),37329.0)</f>
        <v>37329</v>
      </c>
      <c r="E183" s="235">
        <f>IFERROR(__xludf.DUMMYFUNCTION("""COMPUTED_VALUE"""),8499.0)</f>
        <v>8499</v>
      </c>
      <c r="F183" s="172">
        <f>IFERROR(__xludf.DUMMYFUNCTION("""COMPUTED_VALUE"""),880234.0)</f>
        <v>880234</v>
      </c>
      <c r="G183" s="172">
        <f>IFERROR(__xludf.DUMMYFUNCTION("""COMPUTED_VALUE"""),8709.0)</f>
        <v>8709</v>
      </c>
      <c r="H183" s="172">
        <f>IFERROR(__xludf.DUMMYFUNCTION("""COMPUTED_VALUE"""),917563.0)</f>
        <v>917563</v>
      </c>
      <c r="I183" s="235">
        <f>IFERROR(__xludf.DUMMYFUNCTION("""COMPUTED_VALUE"""),204.0)</f>
        <v>204</v>
      </c>
      <c r="J183" s="235">
        <f>IFERROR(__xludf.DUMMYFUNCTION("""COMPUTED_VALUE"""),150.0)</f>
        <v>150</v>
      </c>
      <c r="K183" s="235">
        <f>IFERROR(__xludf.DUMMYFUNCTION("""COMPUTED_VALUE"""),27260.0)</f>
        <v>27260</v>
      </c>
      <c r="L183" s="235">
        <f>IFERROR(__xludf.DUMMYFUNCTION("""COMPUTED_VALUE"""),2308.0)</f>
        <v>2308</v>
      </c>
      <c r="M183" s="235">
        <f>IFERROR(__xludf.DUMMYFUNCTION("""COMPUTED_VALUE"""),354455.0)</f>
        <v>354455</v>
      </c>
      <c r="N183" s="235">
        <f>IFERROR(__xludf.DUMMYFUNCTION("""COMPUTED_VALUE"""),381715.0)</f>
        <v>381715</v>
      </c>
      <c r="O183" s="235">
        <f>IFERROR(__xludf.DUMMYFUNCTION("""COMPUTED_VALUE"""),15.0)</f>
        <v>15</v>
      </c>
      <c r="P183" s="235">
        <f>IFERROR(__xludf.DUMMYFUNCTION("""COMPUTED_VALUE"""),3022.0)</f>
        <v>3022</v>
      </c>
      <c r="Q183" s="235">
        <f>IFERROR(__xludf.DUMMYFUNCTION("""COMPUTED_VALUE"""),15.0)</f>
        <v>15</v>
      </c>
      <c r="R183" s="235">
        <f>IFERROR(__xludf.DUMMYFUNCTION("""COMPUTED_VALUE"""),2524.0)</f>
        <v>2524</v>
      </c>
      <c r="S183" s="235">
        <f>IFERROR(__xludf.DUMMYFUNCTION("""COMPUTED_VALUE"""),4.0)</f>
        <v>4</v>
      </c>
      <c r="T183" s="235">
        <f>IFERROR(__xludf.DUMMYFUNCTION("""COMPUTED_VALUE"""),377.0)</f>
        <v>377</v>
      </c>
      <c r="U183" s="235">
        <f>IFERROR(__xludf.DUMMYFUNCTION("""COMPUTED_VALUE"""),121.0)</f>
        <v>121</v>
      </c>
      <c r="V183" s="235">
        <f>IFERROR(__xludf.DUMMYFUNCTION("""COMPUTED_VALUE"""),123.0)</f>
        <v>123</v>
      </c>
      <c r="W183" s="235">
        <f>IFERROR(__xludf.DUMMYFUNCTION("""COMPUTED_VALUE"""),13.0)</f>
        <v>13</v>
      </c>
      <c r="X183" s="235">
        <f>IFERROR(__xludf.DUMMYFUNCTION("""COMPUTED_VALUE"""),5.0)</f>
        <v>5</v>
      </c>
      <c r="Y183" s="235">
        <f>IFERROR(__xludf.DUMMYFUNCTION("""COMPUTED_VALUE"""),7.0)</f>
        <v>7</v>
      </c>
      <c r="Z183" s="235">
        <f>IFERROR(__xludf.DUMMYFUNCTION("""COMPUTED_VALUE"""),1162.0)</f>
        <v>1162</v>
      </c>
    </row>
    <row r="184">
      <c r="A184" s="234">
        <f>IFERROR(__xludf.DUMMYFUNCTION("""COMPUTED_VALUE"""),44118.0)</f>
        <v>44118</v>
      </c>
      <c r="B184" s="235">
        <f>IFERROR(__xludf.DUMMYFUNCTION("""COMPUTED_VALUE"""),320.0)</f>
        <v>320</v>
      </c>
      <c r="C184" s="235">
        <f>IFERROR(__xludf.DUMMYFUNCTION("""COMPUTED_VALUE"""),232.0)</f>
        <v>232</v>
      </c>
      <c r="D184" s="235">
        <f>IFERROR(__xludf.DUMMYFUNCTION("""COMPUTED_VALUE"""),37649.0)</f>
        <v>37649</v>
      </c>
      <c r="E184" s="235">
        <f>IFERROR(__xludf.DUMMYFUNCTION("""COMPUTED_VALUE"""),15025.0)</f>
        <v>15025</v>
      </c>
      <c r="F184" s="172">
        <f>IFERROR(__xludf.DUMMYFUNCTION("""COMPUTED_VALUE"""),895259.0)</f>
        <v>895259</v>
      </c>
      <c r="G184" s="172">
        <f>IFERROR(__xludf.DUMMYFUNCTION("""COMPUTED_VALUE"""),15345.0)</f>
        <v>15345</v>
      </c>
      <c r="H184" s="172">
        <f>IFERROR(__xludf.DUMMYFUNCTION("""COMPUTED_VALUE"""),932908.0)</f>
        <v>932908</v>
      </c>
      <c r="I184" s="235">
        <f>IFERROR(__xludf.DUMMYFUNCTION("""COMPUTED_VALUE"""),304.0)</f>
        <v>304</v>
      </c>
      <c r="J184" s="235">
        <f>IFERROR(__xludf.DUMMYFUNCTION("""COMPUTED_VALUE"""),222.0)</f>
        <v>222</v>
      </c>
      <c r="K184" s="235">
        <f>IFERROR(__xludf.DUMMYFUNCTION("""COMPUTED_VALUE"""),27564.0)</f>
        <v>27564</v>
      </c>
      <c r="L184" s="235">
        <f>IFERROR(__xludf.DUMMYFUNCTION("""COMPUTED_VALUE"""),4056.0)</f>
        <v>4056</v>
      </c>
      <c r="M184" s="235">
        <f>IFERROR(__xludf.DUMMYFUNCTION("""COMPUTED_VALUE"""),358511.0)</f>
        <v>358511</v>
      </c>
      <c r="N184" s="235">
        <f>IFERROR(__xludf.DUMMYFUNCTION("""COMPUTED_VALUE"""),386075.0)</f>
        <v>386075</v>
      </c>
      <c r="O184" s="235">
        <f>IFERROR(__xludf.DUMMYFUNCTION("""COMPUTED_VALUE"""),17.0)</f>
        <v>17</v>
      </c>
      <c r="P184" s="235">
        <f>IFERROR(__xludf.DUMMYFUNCTION("""COMPUTED_VALUE"""),3039.0)</f>
        <v>3039</v>
      </c>
      <c r="Q184" s="235">
        <f>IFERROR(__xludf.DUMMYFUNCTION("""COMPUTED_VALUE"""),7.0)</f>
        <v>7</v>
      </c>
      <c r="R184" s="235">
        <f>IFERROR(__xludf.DUMMYFUNCTION("""COMPUTED_VALUE"""),2531.0)</f>
        <v>2531</v>
      </c>
      <c r="S184" s="235">
        <f>IFERROR(__xludf.DUMMYFUNCTION("""COMPUTED_VALUE"""),0.0)</f>
        <v>0</v>
      </c>
      <c r="T184" s="235">
        <f>IFERROR(__xludf.DUMMYFUNCTION("""COMPUTED_VALUE"""),377.0)</f>
        <v>377</v>
      </c>
      <c r="U184" s="235">
        <f>IFERROR(__xludf.DUMMYFUNCTION("""COMPUTED_VALUE"""),131.0)</f>
        <v>131</v>
      </c>
      <c r="V184" s="235">
        <f>IFERROR(__xludf.DUMMYFUNCTION("""COMPUTED_VALUE"""),126.0)</f>
        <v>126</v>
      </c>
      <c r="W184" s="235">
        <f>IFERROR(__xludf.DUMMYFUNCTION("""COMPUTED_VALUE"""),15.0)</f>
        <v>15</v>
      </c>
      <c r="X184" s="235">
        <f>IFERROR(__xludf.DUMMYFUNCTION("""COMPUTED_VALUE"""),5.0)</f>
        <v>5</v>
      </c>
      <c r="Y184" s="235">
        <f>IFERROR(__xludf.DUMMYFUNCTION("""COMPUTED_VALUE"""),2.0)</f>
        <v>2</v>
      </c>
      <c r="Z184" s="235">
        <f>IFERROR(__xludf.DUMMYFUNCTION("""COMPUTED_VALUE"""),1164.0)</f>
        <v>1164</v>
      </c>
    </row>
    <row r="185">
      <c r="A185" s="234">
        <f>IFERROR(__xludf.DUMMYFUNCTION("""COMPUTED_VALUE"""),44119.0)</f>
        <v>44119</v>
      </c>
      <c r="B185" s="235">
        <f>IFERROR(__xludf.DUMMYFUNCTION("""COMPUTED_VALUE"""),261.0)</f>
        <v>261</v>
      </c>
      <c r="C185" s="235">
        <f>IFERROR(__xludf.DUMMYFUNCTION("""COMPUTED_VALUE"""),264.0)</f>
        <v>264</v>
      </c>
      <c r="D185" s="235">
        <f>IFERROR(__xludf.DUMMYFUNCTION("""COMPUTED_VALUE"""),37910.0)</f>
        <v>37910</v>
      </c>
      <c r="E185" s="235">
        <f>IFERROR(__xludf.DUMMYFUNCTION("""COMPUTED_VALUE"""),14622.0)</f>
        <v>14622</v>
      </c>
      <c r="F185" s="172">
        <f>IFERROR(__xludf.DUMMYFUNCTION("""COMPUTED_VALUE"""),909881.0)</f>
        <v>909881</v>
      </c>
      <c r="G185" s="172">
        <f>IFERROR(__xludf.DUMMYFUNCTION("""COMPUTED_VALUE"""),14883.0)</f>
        <v>14883</v>
      </c>
      <c r="H185" s="172">
        <f>IFERROR(__xludf.DUMMYFUNCTION("""COMPUTED_VALUE"""),947791.0)</f>
        <v>947791</v>
      </c>
      <c r="I185" s="235">
        <f>IFERROR(__xludf.DUMMYFUNCTION("""COMPUTED_VALUE"""),254.0)</f>
        <v>254</v>
      </c>
      <c r="J185" s="235">
        <f>IFERROR(__xludf.DUMMYFUNCTION("""COMPUTED_VALUE"""),254.0)</f>
        <v>254</v>
      </c>
      <c r="K185" s="235">
        <f>IFERROR(__xludf.DUMMYFUNCTION("""COMPUTED_VALUE"""),27818.0)</f>
        <v>27818</v>
      </c>
      <c r="L185" s="235">
        <f>IFERROR(__xludf.DUMMYFUNCTION("""COMPUTED_VALUE"""),3590.0)</f>
        <v>3590</v>
      </c>
      <c r="M185" s="235">
        <f>IFERROR(__xludf.DUMMYFUNCTION("""COMPUTED_VALUE"""),362101.0)</f>
        <v>362101</v>
      </c>
      <c r="N185" s="235">
        <f>IFERROR(__xludf.DUMMYFUNCTION("""COMPUTED_VALUE"""),389919.0)</f>
        <v>389919</v>
      </c>
      <c r="O185" s="235">
        <f>IFERROR(__xludf.DUMMYFUNCTION("""COMPUTED_VALUE"""),11.0)</f>
        <v>11</v>
      </c>
      <c r="P185" s="235">
        <f>IFERROR(__xludf.DUMMYFUNCTION("""COMPUTED_VALUE"""),3050.0)</f>
        <v>3050</v>
      </c>
      <c r="Q185" s="235">
        <f>IFERROR(__xludf.DUMMYFUNCTION("""COMPUTED_VALUE"""),16.0)</f>
        <v>16</v>
      </c>
      <c r="R185" s="235">
        <f>IFERROR(__xludf.DUMMYFUNCTION("""COMPUTED_VALUE"""),2547.0)</f>
        <v>2547</v>
      </c>
      <c r="S185" s="235">
        <f>IFERROR(__xludf.DUMMYFUNCTION("""COMPUTED_VALUE"""),1.0)</f>
        <v>1</v>
      </c>
      <c r="T185" s="235">
        <f>IFERROR(__xludf.DUMMYFUNCTION("""COMPUTED_VALUE"""),378.0)</f>
        <v>378</v>
      </c>
      <c r="U185" s="235">
        <f>IFERROR(__xludf.DUMMYFUNCTION("""COMPUTED_VALUE"""),125.0)</f>
        <v>125</v>
      </c>
      <c r="V185" s="235">
        <f>IFERROR(__xludf.DUMMYFUNCTION("""COMPUTED_VALUE"""),126.0)</f>
        <v>126</v>
      </c>
      <c r="W185" s="235">
        <f>IFERROR(__xludf.DUMMYFUNCTION("""COMPUTED_VALUE"""),13.0)</f>
        <v>13</v>
      </c>
      <c r="X185" s="235">
        <f>IFERROR(__xludf.DUMMYFUNCTION("""COMPUTED_VALUE"""),5.0)</f>
        <v>5</v>
      </c>
      <c r="Y185" s="235">
        <f>IFERROR(__xludf.DUMMYFUNCTION("""COMPUTED_VALUE"""),2.0)</f>
        <v>2</v>
      </c>
      <c r="Z185" s="235">
        <f>IFERROR(__xludf.DUMMYFUNCTION("""COMPUTED_VALUE"""),1166.0)</f>
        <v>1166</v>
      </c>
    </row>
    <row r="186">
      <c r="A186" s="234">
        <f>IFERROR(__xludf.DUMMYFUNCTION("""COMPUTED_VALUE"""),44120.0)</f>
        <v>44120</v>
      </c>
      <c r="B186" s="235">
        <f>IFERROR(__xludf.DUMMYFUNCTION("""COMPUTED_VALUE"""),276.0)</f>
        <v>276</v>
      </c>
      <c r="C186" s="235">
        <f>IFERROR(__xludf.DUMMYFUNCTION("""COMPUTED_VALUE"""),286.0)</f>
        <v>286</v>
      </c>
      <c r="D186" s="235">
        <f>IFERROR(__xludf.DUMMYFUNCTION("""COMPUTED_VALUE"""),38186.0)</f>
        <v>38186</v>
      </c>
      <c r="E186" s="235">
        <f>IFERROR(__xludf.DUMMYFUNCTION("""COMPUTED_VALUE"""),14971.0)</f>
        <v>14971</v>
      </c>
      <c r="F186" s="172">
        <f>IFERROR(__xludf.DUMMYFUNCTION("""COMPUTED_VALUE"""),924852.0)</f>
        <v>924852</v>
      </c>
      <c r="G186" s="172">
        <f>IFERROR(__xludf.DUMMYFUNCTION("""COMPUTED_VALUE"""),15247.0)</f>
        <v>15247</v>
      </c>
      <c r="H186" s="172">
        <f>IFERROR(__xludf.DUMMYFUNCTION("""COMPUTED_VALUE"""),963038.0)</f>
        <v>963038</v>
      </c>
      <c r="I186" s="235">
        <f>IFERROR(__xludf.DUMMYFUNCTION("""COMPUTED_VALUE"""),272.0)</f>
        <v>272</v>
      </c>
      <c r="J186" s="235">
        <f>IFERROR(__xludf.DUMMYFUNCTION("""COMPUTED_VALUE"""),277.0)</f>
        <v>277</v>
      </c>
      <c r="K186" s="235">
        <f>IFERROR(__xludf.DUMMYFUNCTION("""COMPUTED_VALUE"""),28090.0)</f>
        <v>28090</v>
      </c>
      <c r="L186" s="235">
        <f>IFERROR(__xludf.DUMMYFUNCTION("""COMPUTED_VALUE"""),3397.0)</f>
        <v>3397</v>
      </c>
      <c r="M186" s="235">
        <f>IFERROR(__xludf.DUMMYFUNCTION("""COMPUTED_VALUE"""),365498.0)</f>
        <v>365498</v>
      </c>
      <c r="N186" s="235">
        <f>IFERROR(__xludf.DUMMYFUNCTION("""COMPUTED_VALUE"""),393588.0)</f>
        <v>393588</v>
      </c>
      <c r="O186" s="235">
        <f>IFERROR(__xludf.DUMMYFUNCTION("""COMPUTED_VALUE"""),13.0)</f>
        <v>13</v>
      </c>
      <c r="P186" s="235">
        <f>IFERROR(__xludf.DUMMYFUNCTION("""COMPUTED_VALUE"""),3063.0)</f>
        <v>3063</v>
      </c>
      <c r="Q186" s="235">
        <f>IFERROR(__xludf.DUMMYFUNCTION("""COMPUTED_VALUE"""),20.0)</f>
        <v>20</v>
      </c>
      <c r="R186" s="235">
        <f>IFERROR(__xludf.DUMMYFUNCTION("""COMPUTED_VALUE"""),2567.0)</f>
        <v>2567</v>
      </c>
      <c r="S186" s="235">
        <f>IFERROR(__xludf.DUMMYFUNCTION("""COMPUTED_VALUE"""),1.0)</f>
        <v>1</v>
      </c>
      <c r="T186" s="235">
        <f>IFERROR(__xludf.DUMMYFUNCTION("""COMPUTED_VALUE"""),379.0)</f>
        <v>379</v>
      </c>
      <c r="U186" s="235">
        <f>IFERROR(__xludf.DUMMYFUNCTION("""COMPUTED_VALUE"""),117.0)</f>
        <v>117</v>
      </c>
      <c r="V186" s="235">
        <f>IFERROR(__xludf.DUMMYFUNCTION("""COMPUTED_VALUE"""),124.0)</f>
        <v>124</v>
      </c>
      <c r="W186" s="235">
        <f>IFERROR(__xludf.DUMMYFUNCTION("""COMPUTED_VALUE"""),13.0)</f>
        <v>13</v>
      </c>
      <c r="X186" s="235">
        <f>IFERROR(__xludf.DUMMYFUNCTION("""COMPUTED_VALUE"""),4.0)</f>
        <v>4</v>
      </c>
      <c r="Y186" s="235">
        <f>IFERROR(__xludf.DUMMYFUNCTION("""COMPUTED_VALUE"""),2.0)</f>
        <v>2</v>
      </c>
      <c r="Z186" s="235">
        <f>IFERROR(__xludf.DUMMYFUNCTION("""COMPUTED_VALUE"""),1168.0)</f>
        <v>1168</v>
      </c>
    </row>
    <row r="187">
      <c r="A187" s="234">
        <f>IFERROR(__xludf.DUMMYFUNCTION("""COMPUTED_VALUE"""),44121.0)</f>
        <v>44121</v>
      </c>
      <c r="B187" s="235">
        <f>IFERROR(__xludf.DUMMYFUNCTION("""COMPUTED_VALUE"""),348.0)</f>
        <v>348</v>
      </c>
      <c r="C187" s="235">
        <f>IFERROR(__xludf.DUMMYFUNCTION("""COMPUTED_VALUE"""),295.0)</f>
        <v>295</v>
      </c>
      <c r="D187" s="235">
        <f>IFERROR(__xludf.DUMMYFUNCTION("""COMPUTED_VALUE"""),38534.0)</f>
        <v>38534</v>
      </c>
      <c r="E187" s="235">
        <f>IFERROR(__xludf.DUMMYFUNCTION("""COMPUTED_VALUE"""),14024.0)</f>
        <v>14024</v>
      </c>
      <c r="F187" s="172">
        <f>IFERROR(__xludf.DUMMYFUNCTION("""COMPUTED_VALUE"""),938876.0)</f>
        <v>938876</v>
      </c>
      <c r="G187" s="172">
        <f>IFERROR(__xludf.DUMMYFUNCTION("""COMPUTED_VALUE"""),14372.0)</f>
        <v>14372</v>
      </c>
      <c r="H187" s="172">
        <f>IFERROR(__xludf.DUMMYFUNCTION("""COMPUTED_VALUE"""),977410.0)</f>
        <v>977410</v>
      </c>
      <c r="I187" s="235">
        <f>IFERROR(__xludf.DUMMYFUNCTION("""COMPUTED_VALUE"""),304.0)</f>
        <v>304</v>
      </c>
      <c r="J187" s="235">
        <f>IFERROR(__xludf.DUMMYFUNCTION("""COMPUTED_VALUE"""),277.0)</f>
        <v>277</v>
      </c>
      <c r="K187" s="235">
        <f>IFERROR(__xludf.DUMMYFUNCTION("""COMPUTED_VALUE"""),28394.0)</f>
        <v>28394</v>
      </c>
      <c r="L187" s="235">
        <f>IFERROR(__xludf.DUMMYFUNCTION("""COMPUTED_VALUE"""),3266.0)</f>
        <v>3266</v>
      </c>
      <c r="M187" s="235">
        <f>IFERROR(__xludf.DUMMYFUNCTION("""COMPUTED_VALUE"""),368764.0)</f>
        <v>368764</v>
      </c>
      <c r="N187" s="235">
        <f>IFERROR(__xludf.DUMMYFUNCTION("""COMPUTED_VALUE"""),397158.0)</f>
        <v>397158</v>
      </c>
      <c r="O187" s="235">
        <f>IFERROR(__xludf.DUMMYFUNCTION("""COMPUTED_VALUE"""),19.0)</f>
        <v>19</v>
      </c>
      <c r="P187" s="235">
        <f>IFERROR(__xludf.DUMMYFUNCTION("""COMPUTED_VALUE"""),3082.0)</f>
        <v>3082</v>
      </c>
      <c r="Q187" s="235">
        <f>IFERROR(__xludf.DUMMYFUNCTION("""COMPUTED_VALUE"""),11.0)</f>
        <v>11</v>
      </c>
      <c r="R187" s="235">
        <f>IFERROR(__xludf.DUMMYFUNCTION("""COMPUTED_VALUE"""),2578.0)</f>
        <v>2578</v>
      </c>
      <c r="S187" s="235">
        <f>IFERROR(__xludf.DUMMYFUNCTION("""COMPUTED_VALUE"""),1.0)</f>
        <v>1</v>
      </c>
      <c r="T187" s="235">
        <f>IFERROR(__xludf.DUMMYFUNCTION("""COMPUTED_VALUE"""),380.0)</f>
        <v>380</v>
      </c>
      <c r="U187" s="235">
        <f>IFERROR(__xludf.DUMMYFUNCTION("""COMPUTED_VALUE"""),124.0)</f>
        <v>124</v>
      </c>
      <c r="V187" s="235">
        <f>IFERROR(__xludf.DUMMYFUNCTION("""COMPUTED_VALUE"""),122.0)</f>
        <v>122</v>
      </c>
      <c r="W187" s="235">
        <f>IFERROR(__xludf.DUMMYFUNCTION("""COMPUTED_VALUE"""),17.0)</f>
        <v>17</v>
      </c>
      <c r="X187" s="235">
        <f>IFERROR(__xludf.DUMMYFUNCTION("""COMPUTED_VALUE"""),4.0)</f>
        <v>4</v>
      </c>
      <c r="Y187" s="235">
        <f>IFERROR(__xludf.DUMMYFUNCTION("""COMPUTED_VALUE"""),2.0)</f>
        <v>2</v>
      </c>
      <c r="Z187" s="235">
        <f>IFERROR(__xludf.DUMMYFUNCTION("""COMPUTED_VALUE"""),1170.0)</f>
        <v>1170</v>
      </c>
    </row>
    <row r="188">
      <c r="A188" s="234">
        <f>IFERROR(__xludf.DUMMYFUNCTION("""COMPUTED_VALUE"""),44122.0)</f>
        <v>44122</v>
      </c>
      <c r="B188" s="235">
        <f>IFERROR(__xludf.DUMMYFUNCTION("""COMPUTED_VALUE"""),153.0)</f>
        <v>153</v>
      </c>
      <c r="C188" s="235">
        <f>IFERROR(__xludf.DUMMYFUNCTION("""COMPUTED_VALUE"""),259.0)</f>
        <v>259</v>
      </c>
      <c r="D188" s="235">
        <f>IFERROR(__xludf.DUMMYFUNCTION("""COMPUTED_VALUE"""),38687.0)</f>
        <v>38687</v>
      </c>
      <c r="E188" s="235">
        <f>IFERROR(__xludf.DUMMYFUNCTION("""COMPUTED_VALUE"""),3991.0)</f>
        <v>3991</v>
      </c>
      <c r="F188" s="172">
        <f>IFERROR(__xludf.DUMMYFUNCTION("""COMPUTED_VALUE"""),942867.0)</f>
        <v>942867</v>
      </c>
      <c r="G188" s="172">
        <f>IFERROR(__xludf.DUMMYFUNCTION("""COMPUTED_VALUE"""),4144.0)</f>
        <v>4144</v>
      </c>
      <c r="H188" s="172">
        <f>IFERROR(__xludf.DUMMYFUNCTION("""COMPUTED_VALUE"""),981554.0)</f>
        <v>981554</v>
      </c>
      <c r="I188" s="235">
        <f>IFERROR(__xludf.DUMMYFUNCTION("""COMPUTED_VALUE"""),127.0)</f>
        <v>127</v>
      </c>
      <c r="J188" s="235">
        <f>IFERROR(__xludf.DUMMYFUNCTION("""COMPUTED_VALUE"""),234.0)</f>
        <v>234</v>
      </c>
      <c r="K188" s="235">
        <f>IFERROR(__xludf.DUMMYFUNCTION("""COMPUTED_VALUE"""),28521.0)</f>
        <v>28521</v>
      </c>
      <c r="L188" s="235">
        <f>IFERROR(__xludf.DUMMYFUNCTION("""COMPUTED_VALUE"""),1310.0)</f>
        <v>1310</v>
      </c>
      <c r="M188" s="235">
        <f>IFERROR(__xludf.DUMMYFUNCTION("""COMPUTED_VALUE"""),370074.0)</f>
        <v>370074</v>
      </c>
      <c r="N188" s="235">
        <f>IFERROR(__xludf.DUMMYFUNCTION("""COMPUTED_VALUE"""),398595.0)</f>
        <v>398595</v>
      </c>
      <c r="O188" s="235">
        <f>IFERROR(__xludf.DUMMYFUNCTION("""COMPUTED_VALUE"""),18.0)</f>
        <v>18</v>
      </c>
      <c r="P188" s="235">
        <f>IFERROR(__xludf.DUMMYFUNCTION("""COMPUTED_VALUE"""),3100.0)</f>
        <v>3100</v>
      </c>
      <c r="Q188" s="235">
        <f>IFERROR(__xludf.DUMMYFUNCTION("""COMPUTED_VALUE"""),11.0)</f>
        <v>11</v>
      </c>
      <c r="R188" s="235">
        <f>IFERROR(__xludf.DUMMYFUNCTION("""COMPUTED_VALUE"""),2589.0)</f>
        <v>2589</v>
      </c>
      <c r="S188" s="235">
        <f>IFERROR(__xludf.DUMMYFUNCTION("""COMPUTED_VALUE"""),0.0)</f>
        <v>0</v>
      </c>
      <c r="T188" s="235">
        <f>IFERROR(__xludf.DUMMYFUNCTION("""COMPUTED_VALUE"""),380.0)</f>
        <v>380</v>
      </c>
      <c r="U188" s="235">
        <f>IFERROR(__xludf.DUMMYFUNCTION("""COMPUTED_VALUE"""),131.0)</f>
        <v>131</v>
      </c>
      <c r="V188" s="235">
        <f>IFERROR(__xludf.DUMMYFUNCTION("""COMPUTED_VALUE"""),124.0)</f>
        <v>124</v>
      </c>
      <c r="W188" s="235">
        <f>IFERROR(__xludf.DUMMYFUNCTION("""COMPUTED_VALUE"""),17.0)</f>
        <v>17</v>
      </c>
      <c r="X188" s="235">
        <f>IFERROR(__xludf.DUMMYFUNCTION("""COMPUTED_VALUE"""),5.0)</f>
        <v>5</v>
      </c>
      <c r="Y188" s="235">
        <f>IFERROR(__xludf.DUMMYFUNCTION("""COMPUTED_VALUE"""),2.0)</f>
        <v>2</v>
      </c>
      <c r="Z188" s="235">
        <f>IFERROR(__xludf.DUMMYFUNCTION("""COMPUTED_VALUE"""),1172.0)</f>
        <v>1172</v>
      </c>
    </row>
    <row r="189">
      <c r="A189" s="234">
        <f>IFERROR(__xludf.DUMMYFUNCTION("""COMPUTED_VALUE"""),44123.0)</f>
        <v>44123</v>
      </c>
      <c r="B189" s="235">
        <f>IFERROR(__xludf.DUMMYFUNCTION("""COMPUTED_VALUE"""),381.0)</f>
        <v>381</v>
      </c>
      <c r="C189" s="235">
        <f>IFERROR(__xludf.DUMMYFUNCTION("""COMPUTED_VALUE"""),294.0)</f>
        <v>294</v>
      </c>
      <c r="D189" s="235">
        <f>IFERROR(__xludf.DUMMYFUNCTION("""COMPUTED_VALUE"""),39068.0)</f>
        <v>39068</v>
      </c>
      <c r="E189" s="235">
        <f>IFERROR(__xludf.DUMMYFUNCTION("""COMPUTED_VALUE"""),8416.0)</f>
        <v>8416</v>
      </c>
      <c r="F189" s="172">
        <f>IFERROR(__xludf.DUMMYFUNCTION("""COMPUTED_VALUE"""),951283.0)</f>
        <v>951283</v>
      </c>
      <c r="G189" s="172">
        <f>IFERROR(__xludf.DUMMYFUNCTION("""COMPUTED_VALUE"""),8797.0)</f>
        <v>8797</v>
      </c>
      <c r="H189" s="172">
        <f>IFERROR(__xludf.DUMMYFUNCTION("""COMPUTED_VALUE"""),990351.0)</f>
        <v>990351</v>
      </c>
      <c r="I189" s="235">
        <f>IFERROR(__xludf.DUMMYFUNCTION("""COMPUTED_VALUE"""),321.0)</f>
        <v>321</v>
      </c>
      <c r="J189" s="235">
        <f>IFERROR(__xludf.DUMMYFUNCTION("""COMPUTED_VALUE"""),251.0)</f>
        <v>251</v>
      </c>
      <c r="K189" s="235">
        <f>IFERROR(__xludf.DUMMYFUNCTION("""COMPUTED_VALUE"""),28842.0)</f>
        <v>28842</v>
      </c>
      <c r="L189" s="235">
        <f>IFERROR(__xludf.DUMMYFUNCTION("""COMPUTED_VALUE"""),2550.0)</f>
        <v>2550</v>
      </c>
      <c r="M189" s="235">
        <f>IFERROR(__xludf.DUMMYFUNCTION("""COMPUTED_VALUE"""),372624.0)</f>
        <v>372624</v>
      </c>
      <c r="N189" s="235">
        <f>IFERROR(__xludf.DUMMYFUNCTION("""COMPUTED_VALUE"""),401466.0)</f>
        <v>401466</v>
      </c>
      <c r="O189" s="235">
        <f>IFERROR(__xludf.DUMMYFUNCTION("""COMPUTED_VALUE"""),21.0)</f>
        <v>21</v>
      </c>
      <c r="P189" s="235">
        <f>IFERROR(__xludf.DUMMYFUNCTION("""COMPUTED_VALUE"""),3121.0)</f>
        <v>3121</v>
      </c>
      <c r="Q189" s="235">
        <f>IFERROR(__xludf.DUMMYFUNCTION("""COMPUTED_VALUE"""),23.0)</f>
        <v>23</v>
      </c>
      <c r="R189" s="235">
        <f>IFERROR(__xludf.DUMMYFUNCTION("""COMPUTED_VALUE"""),2612.0)</f>
        <v>2612</v>
      </c>
      <c r="S189" s="235">
        <f>IFERROR(__xludf.DUMMYFUNCTION("""COMPUTED_VALUE"""),2.0)</f>
        <v>2</v>
      </c>
      <c r="T189" s="235">
        <f>IFERROR(__xludf.DUMMYFUNCTION("""COMPUTED_VALUE"""),382.0)</f>
        <v>382</v>
      </c>
      <c r="U189" s="235">
        <f>IFERROR(__xludf.DUMMYFUNCTION("""COMPUTED_VALUE"""),127.0)</f>
        <v>127</v>
      </c>
      <c r="V189" s="235">
        <f>IFERROR(__xludf.DUMMYFUNCTION("""COMPUTED_VALUE"""),127.0)</f>
        <v>127</v>
      </c>
      <c r="W189" s="235">
        <f>IFERROR(__xludf.DUMMYFUNCTION("""COMPUTED_VALUE"""),15.0)</f>
        <v>15</v>
      </c>
      <c r="X189" s="235">
        <f>IFERROR(__xludf.DUMMYFUNCTION("""COMPUTED_VALUE"""),5.0)</f>
        <v>5</v>
      </c>
      <c r="Y189" s="235">
        <f>IFERROR(__xludf.DUMMYFUNCTION("""COMPUTED_VALUE"""),1.0)</f>
        <v>1</v>
      </c>
      <c r="Z189" s="235">
        <f>IFERROR(__xludf.DUMMYFUNCTION("""COMPUTED_VALUE"""),1173.0)</f>
        <v>1173</v>
      </c>
    </row>
    <row r="190">
      <c r="A190" s="234">
        <f>IFERROR(__xludf.DUMMYFUNCTION("""COMPUTED_VALUE"""),44124.0)</f>
        <v>44124</v>
      </c>
      <c r="B190" s="235">
        <f>IFERROR(__xludf.DUMMYFUNCTION("""COMPUTED_VALUE"""),429.0)</f>
        <v>429</v>
      </c>
      <c r="C190" s="235">
        <f>IFERROR(__xludf.DUMMYFUNCTION("""COMPUTED_VALUE"""),321.0)</f>
        <v>321</v>
      </c>
      <c r="D190" s="235">
        <f>IFERROR(__xludf.DUMMYFUNCTION("""COMPUTED_VALUE"""),39497.0)</f>
        <v>39497</v>
      </c>
      <c r="E190" s="235">
        <f>IFERROR(__xludf.DUMMYFUNCTION("""COMPUTED_VALUE"""),13137.0)</f>
        <v>13137</v>
      </c>
      <c r="F190" s="172">
        <f>IFERROR(__xludf.DUMMYFUNCTION("""COMPUTED_VALUE"""),964420.0)</f>
        <v>964420</v>
      </c>
      <c r="G190" s="172">
        <f>IFERROR(__xludf.DUMMYFUNCTION("""COMPUTED_VALUE"""),13566.0)</f>
        <v>13566</v>
      </c>
      <c r="H190" s="172">
        <f>IFERROR(__xludf.DUMMYFUNCTION("""COMPUTED_VALUE"""),1003917.0)</f>
        <v>1003917</v>
      </c>
      <c r="I190" s="235">
        <f>IFERROR(__xludf.DUMMYFUNCTION("""COMPUTED_VALUE"""),380.0)</f>
        <v>380</v>
      </c>
      <c r="J190" s="235">
        <f>IFERROR(__xludf.DUMMYFUNCTION("""COMPUTED_VALUE"""),276.0)</f>
        <v>276</v>
      </c>
      <c r="K190" s="235">
        <f>IFERROR(__xludf.DUMMYFUNCTION("""COMPUTED_VALUE"""),29222.0)</f>
        <v>29222</v>
      </c>
      <c r="L190" s="235">
        <f>IFERROR(__xludf.DUMMYFUNCTION("""COMPUTED_VALUE"""),2970.0)</f>
        <v>2970</v>
      </c>
      <c r="M190" s="235">
        <f>IFERROR(__xludf.DUMMYFUNCTION("""COMPUTED_VALUE"""),375594.0)</f>
        <v>375594</v>
      </c>
      <c r="N190" s="235">
        <f>IFERROR(__xludf.DUMMYFUNCTION("""COMPUTED_VALUE"""),404816.0)</f>
        <v>404816</v>
      </c>
      <c r="O190" s="235">
        <f>IFERROR(__xludf.DUMMYFUNCTION("""COMPUTED_VALUE"""),22.0)</f>
        <v>22</v>
      </c>
      <c r="P190" s="235">
        <f>IFERROR(__xludf.DUMMYFUNCTION("""COMPUTED_VALUE"""),3143.0)</f>
        <v>3143</v>
      </c>
      <c r="Q190" s="235">
        <f>IFERROR(__xludf.DUMMYFUNCTION("""COMPUTED_VALUE"""),17.0)</f>
        <v>17</v>
      </c>
      <c r="R190" s="235">
        <f>IFERROR(__xludf.DUMMYFUNCTION("""COMPUTED_VALUE"""),2629.0)</f>
        <v>2629</v>
      </c>
      <c r="S190" s="235">
        <f>IFERROR(__xludf.DUMMYFUNCTION("""COMPUTED_VALUE"""),0.0)</f>
        <v>0</v>
      </c>
      <c r="T190" s="235">
        <f>IFERROR(__xludf.DUMMYFUNCTION("""COMPUTED_VALUE"""),382.0)</f>
        <v>382</v>
      </c>
      <c r="U190" s="235">
        <f>IFERROR(__xludf.DUMMYFUNCTION("""COMPUTED_VALUE"""),132.0)</f>
        <v>132</v>
      </c>
      <c r="V190" s="235">
        <f>IFERROR(__xludf.DUMMYFUNCTION("""COMPUTED_VALUE"""),130.0)</f>
        <v>130</v>
      </c>
      <c r="W190" s="235">
        <f>IFERROR(__xludf.DUMMYFUNCTION("""COMPUTED_VALUE"""),14.0)</f>
        <v>14</v>
      </c>
      <c r="X190" s="235">
        <f>IFERROR(__xludf.DUMMYFUNCTION("""COMPUTED_VALUE"""),7.0)</f>
        <v>7</v>
      </c>
      <c r="Y190" s="235">
        <f>IFERROR(__xludf.DUMMYFUNCTION("""COMPUTED_VALUE"""),3.0)</f>
        <v>3</v>
      </c>
      <c r="Z190" s="235">
        <f>IFERROR(__xludf.DUMMYFUNCTION("""COMPUTED_VALUE"""),1176.0)</f>
        <v>1176</v>
      </c>
    </row>
    <row r="191">
      <c r="A191" s="234">
        <f>IFERROR(__xludf.DUMMYFUNCTION("""COMPUTED_VALUE"""),44125.0)</f>
        <v>44125</v>
      </c>
      <c r="B191" s="235">
        <f>IFERROR(__xludf.DUMMYFUNCTION("""COMPUTED_VALUE"""),537.0)</f>
        <v>537</v>
      </c>
      <c r="C191" s="235">
        <f>IFERROR(__xludf.DUMMYFUNCTION("""COMPUTED_VALUE"""),449.0)</f>
        <v>449</v>
      </c>
      <c r="D191" s="235">
        <f>IFERROR(__xludf.DUMMYFUNCTION("""COMPUTED_VALUE"""),40034.0)</f>
        <v>40034</v>
      </c>
      <c r="E191" s="235">
        <f>IFERROR(__xludf.DUMMYFUNCTION("""COMPUTED_VALUE"""),17408.0)</f>
        <v>17408</v>
      </c>
      <c r="F191" s="172">
        <f>IFERROR(__xludf.DUMMYFUNCTION("""COMPUTED_VALUE"""),981828.0)</f>
        <v>981828</v>
      </c>
      <c r="G191" s="172">
        <f>IFERROR(__xludf.DUMMYFUNCTION("""COMPUTED_VALUE"""),17945.0)</f>
        <v>17945</v>
      </c>
      <c r="H191" s="172">
        <f>IFERROR(__xludf.DUMMYFUNCTION("""COMPUTED_VALUE"""),1021862.0)</f>
        <v>1021862</v>
      </c>
      <c r="I191" s="235">
        <f>IFERROR(__xludf.DUMMYFUNCTION("""COMPUTED_VALUE"""),471.0)</f>
        <v>471</v>
      </c>
      <c r="J191" s="235">
        <f>IFERROR(__xludf.DUMMYFUNCTION("""COMPUTED_VALUE"""),391.0)</f>
        <v>391</v>
      </c>
      <c r="K191" s="235">
        <f>IFERROR(__xludf.DUMMYFUNCTION("""COMPUTED_VALUE"""),29693.0)</f>
        <v>29693</v>
      </c>
      <c r="L191" s="235">
        <f>IFERROR(__xludf.DUMMYFUNCTION("""COMPUTED_VALUE"""),3536.0)</f>
        <v>3536</v>
      </c>
      <c r="M191" s="235">
        <f>IFERROR(__xludf.DUMMYFUNCTION("""COMPUTED_VALUE"""),379130.0)</f>
        <v>379130</v>
      </c>
      <c r="N191" s="235">
        <f>IFERROR(__xludf.DUMMYFUNCTION("""COMPUTED_VALUE"""),408823.0)</f>
        <v>408823</v>
      </c>
      <c r="O191" s="235">
        <f>IFERROR(__xludf.DUMMYFUNCTION("""COMPUTED_VALUE"""),21.0)</f>
        <v>21</v>
      </c>
      <c r="P191" s="235">
        <f>IFERROR(__xludf.DUMMYFUNCTION("""COMPUTED_VALUE"""),3164.0)</f>
        <v>3164</v>
      </c>
      <c r="Q191" s="235">
        <f>IFERROR(__xludf.DUMMYFUNCTION("""COMPUTED_VALUE"""),9.0)</f>
        <v>9</v>
      </c>
      <c r="R191" s="235">
        <f>IFERROR(__xludf.DUMMYFUNCTION("""COMPUTED_VALUE"""),2638.0)</f>
        <v>2638</v>
      </c>
      <c r="S191" s="235">
        <f>IFERROR(__xludf.DUMMYFUNCTION("""COMPUTED_VALUE"""),2.0)</f>
        <v>2</v>
      </c>
      <c r="T191" s="235">
        <f>IFERROR(__xludf.DUMMYFUNCTION("""COMPUTED_VALUE"""),384.0)</f>
        <v>384</v>
      </c>
      <c r="U191" s="235">
        <f>IFERROR(__xludf.DUMMYFUNCTION("""COMPUTED_VALUE"""),142.0)</f>
        <v>142</v>
      </c>
      <c r="V191" s="235">
        <f>IFERROR(__xludf.DUMMYFUNCTION("""COMPUTED_VALUE"""),134.0)</f>
        <v>134</v>
      </c>
      <c r="W191" s="235">
        <f>IFERROR(__xludf.DUMMYFUNCTION("""COMPUTED_VALUE"""),15.0)</f>
        <v>15</v>
      </c>
      <c r="X191" s="235">
        <f>IFERROR(__xludf.DUMMYFUNCTION("""COMPUTED_VALUE"""),9.0)</f>
        <v>9</v>
      </c>
      <c r="Y191" s="235">
        <f>IFERROR(__xludf.DUMMYFUNCTION("""COMPUTED_VALUE"""),3.0)</f>
        <v>3</v>
      </c>
      <c r="Z191" s="235">
        <f>IFERROR(__xludf.DUMMYFUNCTION("""COMPUTED_VALUE"""),1179.0)</f>
        <v>1179</v>
      </c>
    </row>
    <row r="192">
      <c r="A192" s="234">
        <f>IFERROR(__xludf.DUMMYFUNCTION("""COMPUTED_VALUE"""),44126.0)</f>
        <v>44126</v>
      </c>
      <c r="B192" s="235">
        <f>IFERROR(__xludf.DUMMYFUNCTION("""COMPUTED_VALUE"""),537.0)</f>
        <v>537</v>
      </c>
      <c r="C192" s="235">
        <f>IFERROR(__xludf.DUMMYFUNCTION("""COMPUTED_VALUE"""),501.0)</f>
        <v>501</v>
      </c>
      <c r="D192" s="235">
        <f>IFERROR(__xludf.DUMMYFUNCTION("""COMPUTED_VALUE"""),40571.0)</f>
        <v>40571</v>
      </c>
      <c r="E192" s="235">
        <f>IFERROR(__xludf.DUMMYFUNCTION("""COMPUTED_VALUE"""),15850.0)</f>
        <v>15850</v>
      </c>
      <c r="F192" s="172">
        <f>IFERROR(__xludf.DUMMYFUNCTION("""COMPUTED_VALUE"""),997678.0)</f>
        <v>997678</v>
      </c>
      <c r="G192" s="172">
        <f>IFERROR(__xludf.DUMMYFUNCTION("""COMPUTED_VALUE"""),16387.0)</f>
        <v>16387</v>
      </c>
      <c r="H192" s="172">
        <f>IFERROR(__xludf.DUMMYFUNCTION("""COMPUTED_VALUE"""),1038249.0)</f>
        <v>1038249</v>
      </c>
      <c r="I192" s="235">
        <f>IFERROR(__xludf.DUMMYFUNCTION("""COMPUTED_VALUE"""),486.0)</f>
        <v>486</v>
      </c>
      <c r="J192" s="235">
        <f>IFERROR(__xludf.DUMMYFUNCTION("""COMPUTED_VALUE"""),446.0)</f>
        <v>446</v>
      </c>
      <c r="K192" s="235">
        <f>IFERROR(__xludf.DUMMYFUNCTION("""COMPUTED_VALUE"""),30179.0)</f>
        <v>30179</v>
      </c>
      <c r="L192" s="235">
        <f>IFERROR(__xludf.DUMMYFUNCTION("""COMPUTED_VALUE"""),3225.0)</f>
        <v>3225</v>
      </c>
      <c r="M192" s="235">
        <f>IFERROR(__xludf.DUMMYFUNCTION("""COMPUTED_VALUE"""),382355.0)</f>
        <v>382355</v>
      </c>
      <c r="N192" s="235">
        <f>IFERROR(__xludf.DUMMYFUNCTION("""COMPUTED_VALUE"""),412534.0)</f>
        <v>412534</v>
      </c>
      <c r="O192" s="235">
        <f>IFERROR(__xludf.DUMMYFUNCTION("""COMPUTED_VALUE"""),24.0)</f>
        <v>24</v>
      </c>
      <c r="P192" s="235">
        <f>IFERROR(__xludf.DUMMYFUNCTION("""COMPUTED_VALUE"""),3188.0)</f>
        <v>3188</v>
      </c>
      <c r="Q192" s="235">
        <f>IFERROR(__xludf.DUMMYFUNCTION("""COMPUTED_VALUE"""),21.0)</f>
        <v>21</v>
      </c>
      <c r="R192" s="235">
        <f>IFERROR(__xludf.DUMMYFUNCTION("""COMPUTED_VALUE"""),2659.0)</f>
        <v>2659</v>
      </c>
      <c r="S192" s="235">
        <f>IFERROR(__xludf.DUMMYFUNCTION("""COMPUTED_VALUE"""),3.0)</f>
        <v>3</v>
      </c>
      <c r="T192" s="235">
        <f>IFERROR(__xludf.DUMMYFUNCTION("""COMPUTED_VALUE"""),387.0)</f>
        <v>387</v>
      </c>
      <c r="U192" s="235">
        <f>IFERROR(__xludf.DUMMYFUNCTION("""COMPUTED_VALUE"""),142.0)</f>
        <v>142</v>
      </c>
      <c r="V192" s="235">
        <f>IFERROR(__xludf.DUMMYFUNCTION("""COMPUTED_VALUE"""),139.0)</f>
        <v>139</v>
      </c>
      <c r="W192" s="235">
        <f>IFERROR(__xludf.DUMMYFUNCTION("""COMPUTED_VALUE"""),14.0)</f>
        <v>14</v>
      </c>
      <c r="X192" s="235">
        <f>IFERROR(__xludf.DUMMYFUNCTION("""COMPUTED_VALUE"""),9.0)</f>
        <v>9</v>
      </c>
      <c r="Y192" s="235">
        <f>IFERROR(__xludf.DUMMYFUNCTION("""COMPUTED_VALUE"""),3.0)</f>
        <v>3</v>
      </c>
      <c r="Z192" s="235">
        <f>IFERROR(__xludf.DUMMYFUNCTION("""COMPUTED_VALUE"""),1182.0)</f>
        <v>1182</v>
      </c>
    </row>
    <row r="193">
      <c r="A193" s="234">
        <f>IFERROR(__xludf.DUMMYFUNCTION("""COMPUTED_VALUE"""),44127.0)</f>
        <v>44127</v>
      </c>
      <c r="B193" s="235">
        <f>IFERROR(__xludf.DUMMYFUNCTION("""COMPUTED_VALUE"""),510.0)</f>
        <v>510</v>
      </c>
      <c r="C193" s="235">
        <f>IFERROR(__xludf.DUMMYFUNCTION("""COMPUTED_VALUE"""),528.0)</f>
        <v>528</v>
      </c>
      <c r="D193" s="235">
        <f>IFERROR(__xludf.DUMMYFUNCTION("""COMPUTED_VALUE"""),41081.0)</f>
        <v>41081</v>
      </c>
      <c r="E193" s="235">
        <f>IFERROR(__xludf.DUMMYFUNCTION("""COMPUTED_VALUE"""),16620.0)</f>
        <v>16620</v>
      </c>
      <c r="F193" s="172">
        <f>IFERROR(__xludf.DUMMYFUNCTION("""COMPUTED_VALUE"""),1014298.0)</f>
        <v>1014298</v>
      </c>
      <c r="G193" s="172">
        <f>IFERROR(__xludf.DUMMYFUNCTION("""COMPUTED_VALUE"""),17130.0)</f>
        <v>17130</v>
      </c>
      <c r="H193" s="172">
        <f>IFERROR(__xludf.DUMMYFUNCTION("""COMPUTED_VALUE"""),1055379.0)</f>
        <v>1055379</v>
      </c>
      <c r="I193" s="235">
        <f>IFERROR(__xludf.DUMMYFUNCTION("""COMPUTED_VALUE"""),445.0)</f>
        <v>445</v>
      </c>
      <c r="J193" s="235">
        <f>IFERROR(__xludf.DUMMYFUNCTION("""COMPUTED_VALUE"""),467.0)</f>
        <v>467</v>
      </c>
      <c r="K193" s="235">
        <f>IFERROR(__xludf.DUMMYFUNCTION("""COMPUTED_VALUE"""),30624.0)</f>
        <v>30624</v>
      </c>
      <c r="L193" s="235">
        <f>IFERROR(__xludf.DUMMYFUNCTION("""COMPUTED_VALUE"""),2911.0)</f>
        <v>2911</v>
      </c>
      <c r="M193" s="235">
        <f>IFERROR(__xludf.DUMMYFUNCTION("""COMPUTED_VALUE"""),385266.0)</f>
        <v>385266</v>
      </c>
      <c r="N193" s="235">
        <f>IFERROR(__xludf.DUMMYFUNCTION("""COMPUTED_VALUE"""),415890.0)</f>
        <v>415890</v>
      </c>
      <c r="O193" s="235">
        <f>IFERROR(__xludf.DUMMYFUNCTION("""COMPUTED_VALUE"""),22.0)</f>
        <v>22</v>
      </c>
      <c r="P193" s="235">
        <f>IFERROR(__xludf.DUMMYFUNCTION("""COMPUTED_VALUE"""),3210.0)</f>
        <v>3210</v>
      </c>
      <c r="Q193" s="235">
        <f>IFERROR(__xludf.DUMMYFUNCTION("""COMPUTED_VALUE"""),26.0)</f>
        <v>26</v>
      </c>
      <c r="R193" s="235">
        <f>IFERROR(__xludf.DUMMYFUNCTION("""COMPUTED_VALUE"""),2685.0)</f>
        <v>2685</v>
      </c>
      <c r="S193" s="235">
        <f>IFERROR(__xludf.DUMMYFUNCTION("""COMPUTED_VALUE"""),1.0)</f>
        <v>1</v>
      </c>
      <c r="T193" s="235">
        <f>IFERROR(__xludf.DUMMYFUNCTION("""COMPUTED_VALUE"""),388.0)</f>
        <v>388</v>
      </c>
      <c r="U193" s="235">
        <f>IFERROR(__xludf.DUMMYFUNCTION("""COMPUTED_VALUE"""),137.0)</f>
        <v>137</v>
      </c>
      <c r="V193" s="235">
        <f>IFERROR(__xludf.DUMMYFUNCTION("""COMPUTED_VALUE"""),140.0)</f>
        <v>140</v>
      </c>
      <c r="W193" s="235">
        <f>IFERROR(__xludf.DUMMYFUNCTION("""COMPUTED_VALUE"""),15.0)</f>
        <v>15</v>
      </c>
      <c r="X193" s="235">
        <f>IFERROR(__xludf.DUMMYFUNCTION("""COMPUTED_VALUE"""),9.0)</f>
        <v>9</v>
      </c>
      <c r="Y193" s="235">
        <f>IFERROR(__xludf.DUMMYFUNCTION("""COMPUTED_VALUE"""),3.0)</f>
        <v>3</v>
      </c>
      <c r="Z193" s="235">
        <f>IFERROR(__xludf.DUMMYFUNCTION("""COMPUTED_VALUE"""),1185.0)</f>
        <v>1185</v>
      </c>
    </row>
    <row r="194">
      <c r="A194" s="234">
        <f>IFERROR(__xludf.DUMMYFUNCTION("""COMPUTED_VALUE"""),44128.0)</f>
        <v>44128</v>
      </c>
      <c r="B194" s="235">
        <f>IFERROR(__xludf.DUMMYFUNCTION("""COMPUTED_VALUE"""),355.0)</f>
        <v>355</v>
      </c>
      <c r="C194" s="235">
        <f>IFERROR(__xludf.DUMMYFUNCTION("""COMPUTED_VALUE"""),467.0)</f>
        <v>467</v>
      </c>
      <c r="D194" s="235">
        <f>IFERROR(__xludf.DUMMYFUNCTION("""COMPUTED_VALUE"""),41436.0)</f>
        <v>41436</v>
      </c>
      <c r="E194" s="235">
        <f>IFERROR(__xludf.DUMMYFUNCTION("""COMPUTED_VALUE"""),10063.0)</f>
        <v>10063</v>
      </c>
      <c r="F194" s="172">
        <f>IFERROR(__xludf.DUMMYFUNCTION("""COMPUTED_VALUE"""),1024361.0)</f>
        <v>1024361</v>
      </c>
      <c r="G194" s="172">
        <f>IFERROR(__xludf.DUMMYFUNCTION("""COMPUTED_VALUE"""),10418.0)</f>
        <v>10418</v>
      </c>
      <c r="H194" s="172">
        <f>IFERROR(__xludf.DUMMYFUNCTION("""COMPUTED_VALUE"""),1065797.0)</f>
        <v>1065797</v>
      </c>
      <c r="I194" s="235">
        <f>IFERROR(__xludf.DUMMYFUNCTION("""COMPUTED_VALUE"""),328.0)</f>
        <v>328</v>
      </c>
      <c r="J194" s="235">
        <f>IFERROR(__xludf.DUMMYFUNCTION("""COMPUTED_VALUE"""),420.0)</f>
        <v>420</v>
      </c>
      <c r="K194" s="235">
        <f>IFERROR(__xludf.DUMMYFUNCTION("""COMPUTED_VALUE"""),30952.0)</f>
        <v>30952</v>
      </c>
      <c r="L194" s="235">
        <f>IFERROR(__xludf.DUMMYFUNCTION("""COMPUTED_VALUE"""),2289.0)</f>
        <v>2289</v>
      </c>
      <c r="M194" s="235">
        <f>IFERROR(__xludf.DUMMYFUNCTION("""COMPUTED_VALUE"""),387555.0)</f>
        <v>387555</v>
      </c>
      <c r="N194" s="235">
        <f>IFERROR(__xludf.DUMMYFUNCTION("""COMPUTED_VALUE"""),418507.0)</f>
        <v>418507</v>
      </c>
      <c r="O194" s="235">
        <f>IFERROR(__xludf.DUMMYFUNCTION("""COMPUTED_VALUE"""),15.0)</f>
        <v>15</v>
      </c>
      <c r="P194" s="235">
        <f>IFERROR(__xludf.DUMMYFUNCTION("""COMPUTED_VALUE"""),3225.0)</f>
        <v>3225</v>
      </c>
      <c r="Q194" s="235">
        <f>IFERROR(__xludf.DUMMYFUNCTION("""COMPUTED_VALUE"""),11.0)</f>
        <v>11</v>
      </c>
      <c r="R194" s="235">
        <f>IFERROR(__xludf.DUMMYFUNCTION("""COMPUTED_VALUE"""),2696.0)</f>
        <v>2696</v>
      </c>
      <c r="S194" s="235">
        <f>IFERROR(__xludf.DUMMYFUNCTION("""COMPUTED_VALUE"""),0.0)</f>
        <v>0</v>
      </c>
      <c r="T194" s="235">
        <f>IFERROR(__xludf.DUMMYFUNCTION("""COMPUTED_VALUE"""),388.0)</f>
        <v>388</v>
      </c>
      <c r="U194" s="235">
        <f>IFERROR(__xludf.DUMMYFUNCTION("""COMPUTED_VALUE"""),141.0)</f>
        <v>141</v>
      </c>
      <c r="V194" s="235">
        <f>IFERROR(__xludf.DUMMYFUNCTION("""COMPUTED_VALUE"""),140.0)</f>
        <v>140</v>
      </c>
      <c r="W194" s="235">
        <f>IFERROR(__xludf.DUMMYFUNCTION("""COMPUTED_VALUE"""),14.0)</f>
        <v>14</v>
      </c>
      <c r="X194" s="235">
        <f>IFERROR(__xludf.DUMMYFUNCTION("""COMPUTED_VALUE"""),8.0)</f>
        <v>8</v>
      </c>
      <c r="Y194" s="235">
        <f>IFERROR(__xludf.DUMMYFUNCTION("""COMPUTED_VALUE"""),1.0)</f>
        <v>1</v>
      </c>
      <c r="Z194" s="235">
        <f>IFERROR(__xludf.DUMMYFUNCTION("""COMPUTED_VALUE"""),1186.0)</f>
        <v>1186</v>
      </c>
    </row>
    <row r="195">
      <c r="A195" s="234">
        <f>IFERROR(__xludf.DUMMYFUNCTION("""COMPUTED_VALUE"""),44129.0)</f>
        <v>44129</v>
      </c>
      <c r="B195" s="235">
        <f>IFERROR(__xludf.DUMMYFUNCTION("""COMPUTED_VALUE"""),231.0)</f>
        <v>231</v>
      </c>
      <c r="C195" s="235">
        <f>IFERROR(__xludf.DUMMYFUNCTION("""COMPUTED_VALUE"""),365.0)</f>
        <v>365</v>
      </c>
      <c r="D195" s="235">
        <f>IFERROR(__xludf.DUMMYFUNCTION("""COMPUTED_VALUE"""),41667.0)</f>
        <v>41667</v>
      </c>
      <c r="E195" s="235">
        <f>IFERROR(__xludf.DUMMYFUNCTION("""COMPUTED_VALUE"""),4761.0)</f>
        <v>4761</v>
      </c>
      <c r="F195" s="172">
        <f>IFERROR(__xludf.DUMMYFUNCTION("""COMPUTED_VALUE"""),1029122.0)</f>
        <v>1029122</v>
      </c>
      <c r="G195" s="172">
        <f>IFERROR(__xludf.DUMMYFUNCTION("""COMPUTED_VALUE"""),4992.0)</f>
        <v>4992</v>
      </c>
      <c r="H195" s="172">
        <f>IFERROR(__xludf.DUMMYFUNCTION("""COMPUTED_VALUE"""),1070789.0)</f>
        <v>1070789</v>
      </c>
      <c r="I195" s="235">
        <f>IFERROR(__xludf.DUMMYFUNCTION("""COMPUTED_VALUE"""),205.0)</f>
        <v>205</v>
      </c>
      <c r="J195" s="235">
        <f>IFERROR(__xludf.DUMMYFUNCTION("""COMPUTED_VALUE"""),326.0)</f>
        <v>326</v>
      </c>
      <c r="K195" s="235">
        <f>IFERROR(__xludf.DUMMYFUNCTION("""COMPUTED_VALUE"""),31157.0)</f>
        <v>31157</v>
      </c>
      <c r="L195" s="235">
        <f>IFERROR(__xludf.DUMMYFUNCTION("""COMPUTED_VALUE"""),1493.0)</f>
        <v>1493</v>
      </c>
      <c r="M195" s="235">
        <f>IFERROR(__xludf.DUMMYFUNCTION("""COMPUTED_VALUE"""),389048.0)</f>
        <v>389048</v>
      </c>
      <c r="N195" s="235">
        <f>IFERROR(__xludf.DUMMYFUNCTION("""COMPUTED_VALUE"""),420205.0)</f>
        <v>420205</v>
      </c>
      <c r="O195" s="235">
        <f>IFERROR(__xludf.DUMMYFUNCTION("""COMPUTED_VALUE"""),15.0)</f>
        <v>15</v>
      </c>
      <c r="P195" s="235">
        <f>IFERROR(__xludf.DUMMYFUNCTION("""COMPUTED_VALUE"""),3240.0)</f>
        <v>3240</v>
      </c>
      <c r="Q195" s="235">
        <f>IFERROR(__xludf.DUMMYFUNCTION("""COMPUTED_VALUE"""),15.0)</f>
        <v>15</v>
      </c>
      <c r="R195" s="235">
        <f>IFERROR(__xludf.DUMMYFUNCTION("""COMPUTED_VALUE"""),2711.0)</f>
        <v>2711</v>
      </c>
      <c r="S195" s="235">
        <f>IFERROR(__xludf.DUMMYFUNCTION("""COMPUTED_VALUE"""),1.0)</f>
        <v>1</v>
      </c>
      <c r="T195" s="235">
        <f>IFERROR(__xludf.DUMMYFUNCTION("""COMPUTED_VALUE"""),389.0)</f>
        <v>389</v>
      </c>
      <c r="U195" s="235">
        <f>IFERROR(__xludf.DUMMYFUNCTION("""COMPUTED_VALUE"""),140.0)</f>
        <v>140</v>
      </c>
      <c r="V195" s="235">
        <f>IFERROR(__xludf.DUMMYFUNCTION("""COMPUTED_VALUE"""),139.0)</f>
        <v>139</v>
      </c>
      <c r="W195" s="235">
        <f>IFERROR(__xludf.DUMMYFUNCTION("""COMPUTED_VALUE"""),15.0)</f>
        <v>15</v>
      </c>
      <c r="X195" s="235">
        <f>IFERROR(__xludf.DUMMYFUNCTION("""COMPUTED_VALUE"""),8.0)</f>
        <v>8</v>
      </c>
      <c r="Y195" s="235">
        <f>IFERROR(__xludf.DUMMYFUNCTION("""COMPUTED_VALUE"""),1.0)</f>
        <v>1</v>
      </c>
      <c r="Z195" s="235">
        <f>IFERROR(__xludf.DUMMYFUNCTION("""COMPUTED_VALUE"""),1187.0)</f>
        <v>1187</v>
      </c>
    </row>
    <row r="196">
      <c r="A196" s="234">
        <f>IFERROR(__xludf.DUMMYFUNCTION("""COMPUTED_VALUE"""),44130.0)</f>
        <v>44130</v>
      </c>
      <c r="B196" s="235">
        <f>IFERROR(__xludf.DUMMYFUNCTION("""COMPUTED_VALUE"""),446.0)</f>
        <v>446</v>
      </c>
      <c r="C196" s="235">
        <f>IFERROR(__xludf.DUMMYFUNCTION("""COMPUTED_VALUE"""),344.0)</f>
        <v>344</v>
      </c>
      <c r="D196" s="235">
        <f>IFERROR(__xludf.DUMMYFUNCTION("""COMPUTED_VALUE"""),42113.0)</f>
        <v>42113</v>
      </c>
      <c r="E196" s="235">
        <f>IFERROR(__xludf.DUMMYFUNCTION("""COMPUTED_VALUE"""),9142.0)</f>
        <v>9142</v>
      </c>
      <c r="F196" s="172">
        <f>IFERROR(__xludf.DUMMYFUNCTION("""COMPUTED_VALUE"""),1038264.0)</f>
        <v>1038264</v>
      </c>
      <c r="G196" s="172">
        <f>IFERROR(__xludf.DUMMYFUNCTION("""COMPUTED_VALUE"""),9588.0)</f>
        <v>9588</v>
      </c>
      <c r="H196" s="172">
        <f>IFERROR(__xludf.DUMMYFUNCTION("""COMPUTED_VALUE"""),1080377.0)</f>
        <v>1080377</v>
      </c>
      <c r="I196" s="235">
        <f>IFERROR(__xludf.DUMMYFUNCTION("""COMPUTED_VALUE"""),385.0)</f>
        <v>385</v>
      </c>
      <c r="J196" s="235">
        <f>IFERROR(__xludf.DUMMYFUNCTION("""COMPUTED_VALUE"""),306.0)</f>
        <v>306</v>
      </c>
      <c r="K196" s="235">
        <f>IFERROR(__xludf.DUMMYFUNCTION("""COMPUTED_VALUE"""),31542.0)</f>
        <v>31542</v>
      </c>
      <c r="L196" s="235">
        <f>IFERROR(__xludf.DUMMYFUNCTION("""COMPUTED_VALUE"""),2990.0)</f>
        <v>2990</v>
      </c>
      <c r="M196" s="235">
        <f>IFERROR(__xludf.DUMMYFUNCTION("""COMPUTED_VALUE"""),392038.0)</f>
        <v>392038</v>
      </c>
      <c r="N196" s="235">
        <f>IFERROR(__xludf.DUMMYFUNCTION("""COMPUTED_VALUE"""),423580.0)</f>
        <v>423580</v>
      </c>
      <c r="O196" s="235">
        <f>IFERROR(__xludf.DUMMYFUNCTION("""COMPUTED_VALUE"""),22.0)</f>
        <v>22</v>
      </c>
      <c r="P196" s="235">
        <f>IFERROR(__xludf.DUMMYFUNCTION("""COMPUTED_VALUE"""),3262.0)</f>
        <v>3262</v>
      </c>
      <c r="Q196" s="235">
        <f>IFERROR(__xludf.DUMMYFUNCTION("""COMPUTED_VALUE"""),20.0)</f>
        <v>20</v>
      </c>
      <c r="R196" s="235">
        <f>IFERROR(__xludf.DUMMYFUNCTION("""COMPUTED_VALUE"""),2731.0)</f>
        <v>2731</v>
      </c>
      <c r="S196" s="235">
        <f>IFERROR(__xludf.DUMMYFUNCTION("""COMPUTED_VALUE"""),2.0)</f>
        <v>2</v>
      </c>
      <c r="T196" s="235">
        <f>IFERROR(__xludf.DUMMYFUNCTION("""COMPUTED_VALUE"""),391.0)</f>
        <v>391</v>
      </c>
      <c r="U196" s="235">
        <f>IFERROR(__xludf.DUMMYFUNCTION("""COMPUTED_VALUE"""),140.0)</f>
        <v>140</v>
      </c>
      <c r="V196" s="235">
        <f>IFERROR(__xludf.DUMMYFUNCTION("""COMPUTED_VALUE"""),140.0)</f>
        <v>140</v>
      </c>
      <c r="W196" s="235">
        <f>IFERROR(__xludf.DUMMYFUNCTION("""COMPUTED_VALUE"""),17.0)</f>
        <v>17</v>
      </c>
      <c r="X196" s="235">
        <f>IFERROR(__xludf.DUMMYFUNCTION("""COMPUTED_VALUE"""),8.0)</f>
        <v>8</v>
      </c>
      <c r="Y196" s="235">
        <f>IFERROR(__xludf.DUMMYFUNCTION("""COMPUTED_VALUE"""),3.0)</f>
        <v>3</v>
      </c>
      <c r="Z196" s="235">
        <f>IFERROR(__xludf.DUMMYFUNCTION("""COMPUTED_VALUE"""),1190.0)</f>
        <v>1190</v>
      </c>
    </row>
    <row r="197">
      <c r="A197" s="234">
        <f>IFERROR(__xludf.DUMMYFUNCTION("""COMPUTED_VALUE"""),44131.0)</f>
        <v>44131</v>
      </c>
      <c r="B197" s="235">
        <f>IFERROR(__xludf.DUMMYFUNCTION("""COMPUTED_VALUE"""),516.0)</f>
        <v>516</v>
      </c>
      <c r="C197" s="235">
        <f>IFERROR(__xludf.DUMMYFUNCTION("""COMPUTED_VALUE"""),398.0)</f>
        <v>398</v>
      </c>
      <c r="D197" s="235">
        <f>IFERROR(__xludf.DUMMYFUNCTION("""COMPUTED_VALUE"""),42629.0)</f>
        <v>42629</v>
      </c>
      <c r="E197" s="235">
        <f>IFERROR(__xludf.DUMMYFUNCTION("""COMPUTED_VALUE"""),13582.0)</f>
        <v>13582</v>
      </c>
      <c r="F197" s="172">
        <f>IFERROR(__xludf.DUMMYFUNCTION("""COMPUTED_VALUE"""),1051846.0)</f>
        <v>1051846</v>
      </c>
      <c r="G197" s="172">
        <f>IFERROR(__xludf.DUMMYFUNCTION("""COMPUTED_VALUE"""),14098.0)</f>
        <v>14098</v>
      </c>
      <c r="H197" s="172">
        <f>IFERROR(__xludf.DUMMYFUNCTION("""COMPUTED_VALUE"""),1094475.0)</f>
        <v>1094475</v>
      </c>
      <c r="I197" s="235">
        <f>IFERROR(__xludf.DUMMYFUNCTION("""COMPUTED_VALUE"""),447.0)</f>
        <v>447</v>
      </c>
      <c r="J197" s="235">
        <f>IFERROR(__xludf.DUMMYFUNCTION("""COMPUTED_VALUE"""),346.0)</f>
        <v>346</v>
      </c>
      <c r="K197" s="235">
        <f>IFERROR(__xludf.DUMMYFUNCTION("""COMPUTED_VALUE"""),31989.0)</f>
        <v>31989</v>
      </c>
      <c r="L197" s="235">
        <f>IFERROR(__xludf.DUMMYFUNCTION("""COMPUTED_VALUE"""),2403.0)</f>
        <v>2403</v>
      </c>
      <c r="M197" s="235">
        <f>IFERROR(__xludf.DUMMYFUNCTION("""COMPUTED_VALUE"""),394441.0)</f>
        <v>394441</v>
      </c>
      <c r="N197" s="235">
        <f>IFERROR(__xludf.DUMMYFUNCTION("""COMPUTED_VALUE"""),426430.0)</f>
        <v>426430</v>
      </c>
      <c r="O197" s="235">
        <f>IFERROR(__xludf.DUMMYFUNCTION("""COMPUTED_VALUE"""),27.0)</f>
        <v>27</v>
      </c>
      <c r="P197" s="235">
        <f>IFERROR(__xludf.DUMMYFUNCTION("""COMPUTED_VALUE"""),3289.0)</f>
        <v>3289</v>
      </c>
      <c r="Q197" s="235">
        <f>IFERROR(__xludf.DUMMYFUNCTION("""COMPUTED_VALUE"""),11.0)</f>
        <v>11</v>
      </c>
      <c r="R197" s="235">
        <f>IFERROR(__xludf.DUMMYFUNCTION("""COMPUTED_VALUE"""),2742.0)</f>
        <v>2742</v>
      </c>
      <c r="S197" s="235">
        <f>IFERROR(__xludf.DUMMYFUNCTION("""COMPUTED_VALUE"""),2.0)</f>
        <v>2</v>
      </c>
      <c r="T197" s="235">
        <f>IFERROR(__xludf.DUMMYFUNCTION("""COMPUTED_VALUE"""),393.0)</f>
        <v>393</v>
      </c>
      <c r="U197" s="235">
        <f>IFERROR(__xludf.DUMMYFUNCTION("""COMPUTED_VALUE"""),154.0)</f>
        <v>154</v>
      </c>
      <c r="V197" s="235">
        <f>IFERROR(__xludf.DUMMYFUNCTION("""COMPUTED_VALUE"""),145.0)</f>
        <v>145</v>
      </c>
      <c r="W197" s="235">
        <f>IFERROR(__xludf.DUMMYFUNCTION("""COMPUTED_VALUE"""),16.0)</f>
        <v>16</v>
      </c>
      <c r="X197" s="235">
        <f>IFERROR(__xludf.DUMMYFUNCTION("""COMPUTED_VALUE"""),9.0)</f>
        <v>9</v>
      </c>
      <c r="Y197" s="235">
        <f>IFERROR(__xludf.DUMMYFUNCTION("""COMPUTED_VALUE"""),4.0)</f>
        <v>4</v>
      </c>
      <c r="Z197" s="235">
        <f>IFERROR(__xludf.DUMMYFUNCTION("""COMPUTED_VALUE"""),1194.0)</f>
        <v>1194</v>
      </c>
    </row>
    <row r="198">
      <c r="A198" s="234">
        <f>IFERROR(__xludf.DUMMYFUNCTION("""COMPUTED_VALUE"""),44132.0)</f>
        <v>44132</v>
      </c>
      <c r="B198" s="235">
        <f>IFERROR(__xludf.DUMMYFUNCTION("""COMPUTED_VALUE"""),468.0)</f>
        <v>468</v>
      </c>
      <c r="C198" s="235">
        <f>IFERROR(__xludf.DUMMYFUNCTION("""COMPUTED_VALUE"""),477.0)</f>
        <v>477</v>
      </c>
      <c r="D198" s="235">
        <f>IFERROR(__xludf.DUMMYFUNCTION("""COMPUTED_VALUE"""),43097.0)</f>
        <v>43097</v>
      </c>
      <c r="E198" s="235">
        <f>IFERROR(__xludf.DUMMYFUNCTION("""COMPUTED_VALUE"""),14802.0)</f>
        <v>14802</v>
      </c>
      <c r="F198" s="172">
        <f>IFERROR(__xludf.DUMMYFUNCTION("""COMPUTED_VALUE"""),1066648.0)</f>
        <v>1066648</v>
      </c>
      <c r="G198" s="172">
        <f>IFERROR(__xludf.DUMMYFUNCTION("""COMPUTED_VALUE"""),15270.0)</f>
        <v>15270</v>
      </c>
      <c r="H198" s="172">
        <f>IFERROR(__xludf.DUMMYFUNCTION("""COMPUTED_VALUE"""),1109745.0)</f>
        <v>1109745</v>
      </c>
      <c r="I198" s="235">
        <f>IFERROR(__xludf.DUMMYFUNCTION("""COMPUTED_VALUE"""),403.0)</f>
        <v>403</v>
      </c>
      <c r="J198" s="235">
        <f>IFERROR(__xludf.DUMMYFUNCTION("""COMPUTED_VALUE"""),412.0)</f>
        <v>412</v>
      </c>
      <c r="K198" s="235">
        <f>IFERROR(__xludf.DUMMYFUNCTION("""COMPUTED_VALUE"""),32392.0)</f>
        <v>32392</v>
      </c>
      <c r="L198" s="235">
        <f>IFERROR(__xludf.DUMMYFUNCTION("""COMPUTED_VALUE"""),2723.0)</f>
        <v>2723</v>
      </c>
      <c r="M198" s="235">
        <f>IFERROR(__xludf.DUMMYFUNCTION("""COMPUTED_VALUE"""),397164.0)</f>
        <v>397164</v>
      </c>
      <c r="N198" s="235">
        <f>IFERROR(__xludf.DUMMYFUNCTION("""COMPUTED_VALUE"""),429556.0)</f>
        <v>429556</v>
      </c>
      <c r="O198" s="235">
        <f>IFERROR(__xludf.DUMMYFUNCTION("""COMPUTED_VALUE"""),20.0)</f>
        <v>20</v>
      </c>
      <c r="P198" s="235">
        <f>IFERROR(__xludf.DUMMYFUNCTION("""COMPUTED_VALUE"""),3309.0)</f>
        <v>3309</v>
      </c>
      <c r="Q198" s="235">
        <f>IFERROR(__xludf.DUMMYFUNCTION("""COMPUTED_VALUE"""),21.0)</f>
        <v>21</v>
      </c>
      <c r="R198" s="235">
        <f>IFERROR(__xludf.DUMMYFUNCTION("""COMPUTED_VALUE"""),2763.0)</f>
        <v>2763</v>
      </c>
      <c r="S198" s="235">
        <f>IFERROR(__xludf.DUMMYFUNCTION("""COMPUTED_VALUE"""),1.0)</f>
        <v>1</v>
      </c>
      <c r="T198" s="235">
        <f>IFERROR(__xludf.DUMMYFUNCTION("""COMPUTED_VALUE"""),394.0)</f>
        <v>394</v>
      </c>
      <c r="U198" s="235">
        <f>IFERROR(__xludf.DUMMYFUNCTION("""COMPUTED_VALUE"""),152.0)</f>
        <v>152</v>
      </c>
      <c r="V198" s="235">
        <f>IFERROR(__xludf.DUMMYFUNCTION("""COMPUTED_VALUE"""),149.0)</f>
        <v>149</v>
      </c>
      <c r="W198" s="235">
        <f>IFERROR(__xludf.DUMMYFUNCTION("""COMPUTED_VALUE"""),15.0)</f>
        <v>15</v>
      </c>
      <c r="X198" s="235">
        <f>IFERROR(__xludf.DUMMYFUNCTION("""COMPUTED_VALUE"""),9.0)</f>
        <v>9</v>
      </c>
      <c r="Y198" s="235">
        <f>IFERROR(__xludf.DUMMYFUNCTION("""COMPUTED_VALUE"""),3.0)</f>
        <v>3</v>
      </c>
      <c r="Z198" s="235">
        <f>IFERROR(__xludf.DUMMYFUNCTION("""COMPUTED_VALUE"""),1197.0)</f>
        <v>1197</v>
      </c>
    </row>
    <row r="199">
      <c r="A199" s="234">
        <f>IFERROR(__xludf.DUMMYFUNCTION("""COMPUTED_VALUE"""),44133.0)</f>
        <v>44133</v>
      </c>
      <c r="B199" s="235">
        <f>IFERROR(__xludf.DUMMYFUNCTION("""COMPUTED_VALUE"""),551.0)</f>
        <v>551</v>
      </c>
      <c r="C199" s="235">
        <f>IFERROR(__xludf.DUMMYFUNCTION("""COMPUTED_VALUE"""),512.0)</f>
        <v>512</v>
      </c>
      <c r="D199" s="235">
        <f>IFERROR(__xludf.DUMMYFUNCTION("""COMPUTED_VALUE"""),43648.0)</f>
        <v>43648</v>
      </c>
      <c r="E199" s="235">
        <f>IFERROR(__xludf.DUMMYFUNCTION("""COMPUTED_VALUE"""),14011.0)</f>
        <v>14011</v>
      </c>
      <c r="F199" s="172">
        <f>IFERROR(__xludf.DUMMYFUNCTION("""COMPUTED_VALUE"""),1080659.0)</f>
        <v>1080659</v>
      </c>
      <c r="G199" s="172">
        <f>IFERROR(__xludf.DUMMYFUNCTION("""COMPUTED_VALUE"""),14562.0)</f>
        <v>14562</v>
      </c>
      <c r="H199" s="172">
        <f>IFERROR(__xludf.DUMMYFUNCTION("""COMPUTED_VALUE"""),1124307.0)</f>
        <v>1124307</v>
      </c>
      <c r="I199" s="235">
        <f>IFERROR(__xludf.DUMMYFUNCTION("""COMPUTED_VALUE"""),482.0)</f>
        <v>482</v>
      </c>
      <c r="J199" s="235">
        <f>IFERROR(__xludf.DUMMYFUNCTION("""COMPUTED_VALUE"""),444.0)</f>
        <v>444</v>
      </c>
      <c r="K199" s="235">
        <f>IFERROR(__xludf.DUMMYFUNCTION("""COMPUTED_VALUE"""),32874.0)</f>
        <v>32874</v>
      </c>
      <c r="L199" s="235">
        <f>IFERROR(__xludf.DUMMYFUNCTION("""COMPUTED_VALUE"""),2838.0)</f>
        <v>2838</v>
      </c>
      <c r="M199" s="235">
        <f>IFERROR(__xludf.DUMMYFUNCTION("""COMPUTED_VALUE"""),400002.0)</f>
        <v>400002</v>
      </c>
      <c r="N199" s="235">
        <f>IFERROR(__xludf.DUMMYFUNCTION("""COMPUTED_VALUE"""),432876.0)</f>
        <v>432876</v>
      </c>
      <c r="O199" s="235" t="str">
        <f>IFERROR(__xludf.DUMMYFUNCTION("""COMPUTED_VALUE"""),"")</f>
        <v/>
      </c>
      <c r="P199" s="235" t="str">
        <f>IFERROR(__xludf.DUMMYFUNCTION("""COMPUTED_VALUE"""),"")</f>
        <v/>
      </c>
      <c r="Q199" s="235" t="str">
        <f>IFERROR(__xludf.DUMMYFUNCTION("""COMPUTED_VALUE"""),"")</f>
        <v/>
      </c>
      <c r="R199" s="235" t="str">
        <f>IFERROR(__xludf.DUMMYFUNCTION("""COMPUTED_VALUE"""),"")</f>
        <v/>
      </c>
      <c r="S199" s="235" t="str">
        <f>IFERROR(__xludf.DUMMYFUNCTION("""COMPUTED_VALUE"""),"")</f>
        <v/>
      </c>
      <c r="T199" s="235" t="str">
        <f>IFERROR(__xludf.DUMMYFUNCTION("""COMPUTED_VALUE"""),"")</f>
        <v/>
      </c>
      <c r="U199" s="235" t="str">
        <f>IFERROR(__xludf.DUMMYFUNCTION("""COMPUTED_VALUE"""),"")</f>
        <v/>
      </c>
      <c r="V199" s="235" t="str">
        <f>IFERROR(__xludf.DUMMYFUNCTION("""COMPUTED_VALUE"""),"")</f>
        <v/>
      </c>
      <c r="W199" s="235" t="str">
        <f>IFERROR(__xludf.DUMMYFUNCTION("""COMPUTED_VALUE"""),"")</f>
        <v/>
      </c>
      <c r="X199" s="235" t="str">
        <f>IFERROR(__xludf.DUMMYFUNCTION("""COMPUTED_VALUE"""),"")</f>
        <v/>
      </c>
      <c r="Y199" s="235">
        <f>IFERROR(__xludf.DUMMYFUNCTION("""COMPUTED_VALUE"""),4.0)</f>
        <v>4</v>
      </c>
      <c r="Z199" s="235">
        <f>IFERROR(__xludf.DUMMYFUNCTION("""COMPUTED_VALUE"""),1201.0)</f>
        <v>1201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6" t="s">
        <v>731</v>
      </c>
      <c r="B1" s="237" t="s">
        <v>228</v>
      </c>
      <c r="C1" s="170" t="s">
        <v>125</v>
      </c>
    </row>
    <row r="2" ht="14.25" customHeight="1">
      <c r="A2" s="238" t="str">
        <f>'Cases by ZCTA'!A2</f>
        <v>02802</v>
      </c>
      <c r="B2" s="239">
        <f>'Cases by ZCTA'!B2</f>
        <v>13</v>
      </c>
      <c r="C2" s="239">
        <f>'Cases by ZCTA'!C2</f>
        <v>1937</v>
      </c>
    </row>
    <row r="3" ht="14.25" customHeight="1">
      <c r="A3" s="238" t="str">
        <f>'Cases by ZCTA'!A3</f>
        <v>02804</v>
      </c>
      <c r="B3" s="239">
        <f>'Cases by ZCTA'!B3</f>
        <v>8</v>
      </c>
      <c r="C3" s="239">
        <f>'Cases by ZCTA'!C3</f>
        <v>399</v>
      </c>
    </row>
    <row r="4" ht="14.25" customHeight="1">
      <c r="A4" s="238" t="str">
        <f>'Cases by ZCTA'!A4</f>
        <v>02806</v>
      </c>
      <c r="B4" s="239">
        <f>'Cases by ZCTA'!B4</f>
        <v>123</v>
      </c>
      <c r="C4" s="239">
        <f>'Cases by ZCTA'!C4</f>
        <v>760</v>
      </c>
    </row>
    <row r="5" ht="14.25" customHeight="1">
      <c r="A5" s="238" t="str">
        <f>'Cases by ZCTA'!A5</f>
        <v>02807</v>
      </c>
      <c r="B5" s="239">
        <f>'Cases by ZCTA'!B5</f>
        <v>8</v>
      </c>
      <c r="C5" s="239">
        <f>'Cases by ZCTA'!C5</f>
        <v>967</v>
      </c>
    </row>
    <row r="6" ht="14.25" customHeight="1">
      <c r="A6" s="238" t="str">
        <f>'Cases by ZCTA'!A6</f>
        <v>02808</v>
      </c>
      <c r="B6" s="239">
        <f>'Cases by ZCTA'!B6</f>
        <v>23</v>
      </c>
      <c r="C6" s="239">
        <f>'Cases by ZCTA'!C6</f>
        <v>897</v>
      </c>
    </row>
    <row r="7" ht="14.25" customHeight="1">
      <c r="A7" s="238" t="str">
        <f>'Cases by ZCTA'!A7</f>
        <v>02809</v>
      </c>
      <c r="B7" s="239">
        <f>'Cases by ZCTA'!B7</f>
        <v>283</v>
      </c>
      <c r="C7" s="239">
        <f>'Cases by ZCTA'!C7</f>
        <v>1271</v>
      </c>
    </row>
    <row r="8" ht="14.25" customHeight="1">
      <c r="A8" s="238" t="str">
        <f>'Cases by ZCTA'!A8</f>
        <v>02812</v>
      </c>
      <c r="B8" s="239">
        <f>'Cases by ZCTA'!B8</f>
        <v>13</v>
      </c>
      <c r="C8" s="239">
        <f>'Cases by ZCTA'!C8</f>
        <v>1076</v>
      </c>
    </row>
    <row r="9" ht="14.25" customHeight="1">
      <c r="A9" s="238" t="str">
        <f>'Cases by ZCTA'!A9</f>
        <v>02813</v>
      </c>
      <c r="B9" s="239">
        <f>'Cases by ZCTA'!B9</f>
        <v>51</v>
      </c>
      <c r="C9" s="239">
        <f>'Cases by ZCTA'!C9</f>
        <v>656</v>
      </c>
    </row>
    <row r="10" ht="14.25" customHeight="1">
      <c r="A10" s="238" t="str">
        <f>'Cases by ZCTA'!A10</f>
        <v>02814</v>
      </c>
      <c r="B10" s="239">
        <f>'Cases by ZCTA'!B10</f>
        <v>79</v>
      </c>
      <c r="C10" s="239">
        <f>'Cases by ZCTA'!C10</f>
        <v>1030</v>
      </c>
    </row>
    <row r="11" ht="14.25" customHeight="1">
      <c r="A11" s="238" t="str">
        <f>'Cases by ZCTA'!A11</f>
        <v>02815</v>
      </c>
      <c r="B11" s="239">
        <f>'Cases by ZCTA'!B11</f>
        <v>0</v>
      </c>
      <c r="C11" s="239">
        <f>'Cases by ZCTA'!C11</f>
        <v>0</v>
      </c>
    </row>
    <row r="12" ht="14.25" customHeight="1">
      <c r="A12" s="238" t="str">
        <f>'Cases by ZCTA'!A12</f>
        <v>02816</v>
      </c>
      <c r="B12" s="239">
        <f>'Cases by ZCTA'!B12</f>
        <v>445</v>
      </c>
      <c r="C12" s="239">
        <f>'Cases by ZCTA'!C12</f>
        <v>1356</v>
      </c>
    </row>
    <row r="13" ht="14.25" customHeight="1">
      <c r="A13" s="238" t="str">
        <f>'Cases by ZCTA'!A13</f>
        <v>02817</v>
      </c>
      <c r="B13" s="239">
        <f>'Cases by ZCTA'!B13</f>
        <v>70</v>
      </c>
      <c r="C13" s="239">
        <f>'Cases by ZCTA'!C13</f>
        <v>1160</v>
      </c>
    </row>
    <row r="14" ht="14.25" customHeight="1">
      <c r="A14" s="238" t="str">
        <f>'Cases by ZCTA'!A14</f>
        <v>02818</v>
      </c>
      <c r="B14" s="239">
        <f>'Cases by ZCTA'!B14</f>
        <v>211</v>
      </c>
      <c r="C14" s="239">
        <f>'Cases by ZCTA'!C14</f>
        <v>1160</v>
      </c>
    </row>
    <row r="15" ht="14.25" customHeight="1">
      <c r="A15" s="238" t="str">
        <f>'Cases by ZCTA'!A15</f>
        <v>02822</v>
      </c>
      <c r="B15" s="239">
        <f>'Cases by ZCTA'!B15</f>
        <v>62</v>
      </c>
      <c r="C15" s="239">
        <f>'Cases by ZCTA'!C15</f>
        <v>942</v>
      </c>
    </row>
    <row r="16" ht="14.25" customHeight="1">
      <c r="A16" s="238" t="str">
        <f>'Cases by ZCTA'!A16</f>
        <v>02825</v>
      </c>
      <c r="B16" s="239">
        <f>'Cases by ZCTA'!B16</f>
        <v>52</v>
      </c>
      <c r="C16" s="239">
        <f>'Cases by ZCTA'!C16</f>
        <v>945</v>
      </c>
    </row>
    <row r="17" ht="14.25" customHeight="1">
      <c r="A17" s="238" t="str">
        <f>'Cases by ZCTA'!A17</f>
        <v>02826</v>
      </c>
      <c r="B17" s="239">
        <f>'Cases by ZCTA'!B17</f>
        <v>5</v>
      </c>
      <c r="C17" s="239">
        <f>'Cases by ZCTA'!C17</f>
        <v>998</v>
      </c>
    </row>
    <row r="18" ht="14.25" customHeight="1">
      <c r="A18" s="238" t="str">
        <f>'Cases by ZCTA'!A18</f>
        <v>02827</v>
      </c>
      <c r="B18" s="239">
        <f>'Cases by ZCTA'!B18</f>
        <v>23</v>
      </c>
      <c r="C18" s="239">
        <f>'Cases by ZCTA'!C18</f>
        <v>1117</v>
      </c>
    </row>
    <row r="19" ht="14.25" customHeight="1">
      <c r="A19" s="238" t="str">
        <f>'Cases by ZCTA'!A19</f>
        <v>02828</v>
      </c>
      <c r="B19" s="239">
        <f>'Cases by ZCTA'!B19</f>
        <v>274</v>
      </c>
      <c r="C19" s="239">
        <f>'Cases by ZCTA'!C19</f>
        <v>3485</v>
      </c>
    </row>
    <row r="20" ht="14.25" customHeight="1">
      <c r="A20" s="238" t="str">
        <f>'Cases by ZCTA'!A20</f>
        <v>02830</v>
      </c>
      <c r="B20" s="239">
        <f>'Cases by ZCTA'!B20</f>
        <v>54</v>
      </c>
      <c r="C20" s="239">
        <f>'Cases by ZCTA'!C20</f>
        <v>910</v>
      </c>
    </row>
    <row r="21" ht="14.25" customHeight="1">
      <c r="A21" s="238" t="str">
        <f>'Cases by ZCTA'!A21</f>
        <v>02831</v>
      </c>
      <c r="B21" s="239">
        <f>'Cases by ZCTA'!B21</f>
        <v>52</v>
      </c>
      <c r="C21" s="239">
        <f>'Cases by ZCTA'!C21</f>
        <v>1485</v>
      </c>
    </row>
    <row r="22" ht="14.25" customHeight="1">
      <c r="A22" s="238" t="str">
        <f>'Cases by ZCTA'!A22</f>
        <v>02832</v>
      </c>
      <c r="B22" s="239">
        <f>'Cases by ZCTA'!B22</f>
        <v>23</v>
      </c>
      <c r="C22" s="239">
        <f>'Cases by ZCTA'!C22</f>
        <v>532</v>
      </c>
    </row>
    <row r="23" ht="14.25" customHeight="1">
      <c r="A23" s="238" t="str">
        <f>'Cases by ZCTA'!A23</f>
        <v>02833</v>
      </c>
      <c r="B23" s="239">
        <f>'Cases by ZCTA'!B23</f>
        <v>0</v>
      </c>
      <c r="C23" s="239">
        <f>'Cases by ZCTA'!C23</f>
        <v>0</v>
      </c>
    </row>
    <row r="24" ht="14.25" customHeight="1">
      <c r="A24" s="238" t="str">
        <f>'Cases by ZCTA'!A24</f>
        <v>02835</v>
      </c>
      <c r="B24" s="239">
        <f>'Cases by ZCTA'!B24</f>
        <v>41</v>
      </c>
      <c r="C24" s="239">
        <f>'Cases by ZCTA'!C24</f>
        <v>746</v>
      </c>
    </row>
    <row r="25" ht="14.25" customHeight="1">
      <c r="A25" s="238" t="str">
        <f>'Cases by ZCTA'!A25</f>
        <v>02836</v>
      </c>
      <c r="B25" s="239">
        <f>'Cases by ZCTA'!B25</f>
        <v>0</v>
      </c>
      <c r="C25" s="239">
        <f>'Cases by ZCTA'!C25</f>
        <v>0</v>
      </c>
    </row>
    <row r="26" ht="14.25" customHeight="1">
      <c r="A26" s="238" t="str">
        <f>'Cases by ZCTA'!A26</f>
        <v>02837</v>
      </c>
      <c r="B26" s="239">
        <f>'Cases by ZCTA'!B26</f>
        <v>21</v>
      </c>
      <c r="C26" s="239">
        <f>'Cases by ZCTA'!C26</f>
        <v>599</v>
      </c>
    </row>
    <row r="27" ht="14.25" customHeight="1">
      <c r="A27" s="238" t="str">
        <f>'Cases by ZCTA'!A27</f>
        <v>02838</v>
      </c>
      <c r="B27" s="239">
        <f>'Cases by ZCTA'!B27</f>
        <v>148</v>
      </c>
      <c r="C27" s="239">
        <f>'Cases by ZCTA'!C27</f>
        <v>4206</v>
      </c>
    </row>
    <row r="28" ht="14.25" customHeight="1">
      <c r="A28" s="238" t="str">
        <f>'Cases by ZCTA'!A28</f>
        <v>02839</v>
      </c>
      <c r="B28" s="239">
        <f>'Cases by ZCTA'!B28</f>
        <v>25</v>
      </c>
      <c r="C28" s="239">
        <f>'Cases by ZCTA'!C28</f>
        <v>1212</v>
      </c>
    </row>
    <row r="29" ht="14.25" customHeight="1">
      <c r="A29" s="238" t="str">
        <f>'Cases by ZCTA'!A29</f>
        <v>02840</v>
      </c>
      <c r="B29" s="239">
        <f>'Cases by ZCTA'!B29</f>
        <v>203</v>
      </c>
      <c r="C29" s="239">
        <f>'Cases by ZCTA'!C29</f>
        <v>875</v>
      </c>
    </row>
    <row r="30" ht="14.25" customHeight="1">
      <c r="A30" s="238" t="str">
        <f>'Cases by ZCTA'!A30</f>
        <v>02841</v>
      </c>
      <c r="B30" s="239">
        <f>'Cases by ZCTA'!B30</f>
        <v>12</v>
      </c>
      <c r="C30" s="239">
        <f>'Cases by ZCTA'!C30</f>
        <v>735</v>
      </c>
    </row>
    <row r="31" ht="14.25" customHeight="1">
      <c r="A31" s="238" t="str">
        <f>'Cases by ZCTA'!A31</f>
        <v>02842</v>
      </c>
      <c r="B31" s="239">
        <f>'Cases by ZCTA'!B31</f>
        <v>100</v>
      </c>
      <c r="C31" s="239">
        <f>'Cases by ZCTA'!C31</f>
        <v>625</v>
      </c>
    </row>
    <row r="32" ht="14.25" customHeight="1">
      <c r="A32" s="238" t="str">
        <f>'Cases by ZCTA'!A32</f>
        <v>02852</v>
      </c>
      <c r="B32" s="239">
        <f>'Cases by ZCTA'!B32</f>
        <v>366</v>
      </c>
      <c r="C32" s="239">
        <f>'Cases by ZCTA'!C32</f>
        <v>1661</v>
      </c>
    </row>
    <row r="33" ht="14.25" customHeight="1">
      <c r="A33" s="238" t="str">
        <f>'Cases by ZCTA'!A33</f>
        <v>02857</v>
      </c>
      <c r="B33" s="239">
        <f>'Cases by ZCTA'!B33</f>
        <v>78</v>
      </c>
      <c r="C33" s="239">
        <f>'Cases by ZCTA'!C33</f>
        <v>893</v>
      </c>
    </row>
    <row r="34" ht="14.25" customHeight="1">
      <c r="A34" s="238" t="str">
        <f>'Cases by ZCTA'!A34</f>
        <v>02858</v>
      </c>
      <c r="B34" s="239">
        <f>'Cases by ZCTA'!B34</f>
        <v>5</v>
      </c>
      <c r="C34" s="239">
        <f>'Cases by ZCTA'!C34</f>
        <v>687</v>
      </c>
    </row>
    <row r="35" ht="14.25" customHeight="1">
      <c r="A35" s="238" t="str">
        <f>'Cases by ZCTA'!A35</f>
        <v>02859</v>
      </c>
      <c r="B35" s="239">
        <f>'Cases by ZCTA'!B35</f>
        <v>129</v>
      </c>
      <c r="C35" s="239">
        <f>'Cases by ZCTA'!C35</f>
        <v>1785</v>
      </c>
    </row>
    <row r="36" ht="14.25" customHeight="1">
      <c r="A36" s="238" t="str">
        <f>'Cases by ZCTA'!A36</f>
        <v>02860</v>
      </c>
      <c r="B36" s="239">
        <f>'Cases by ZCTA'!B36</f>
        <v>2232</v>
      </c>
      <c r="C36" s="239">
        <f>'Cases by ZCTA'!C36</f>
        <v>4736</v>
      </c>
    </row>
    <row r="37" ht="14.25" customHeight="1">
      <c r="A37" s="238" t="str">
        <f>'Cases by ZCTA'!A37</f>
        <v>02861</v>
      </c>
      <c r="B37" s="239">
        <f>'Cases by ZCTA'!B37</f>
        <v>792</v>
      </c>
      <c r="C37" s="239">
        <f>'Cases by ZCTA'!C37</f>
        <v>3162</v>
      </c>
    </row>
    <row r="38" ht="14.25" customHeight="1">
      <c r="A38" s="238" t="str">
        <f>'Cases by ZCTA'!A38</f>
        <v>02863</v>
      </c>
      <c r="B38" s="239">
        <f>'Cases by ZCTA'!B38</f>
        <v>1640</v>
      </c>
      <c r="C38" s="239">
        <f>'Cases by ZCTA'!C38</f>
        <v>8477</v>
      </c>
    </row>
    <row r="39" ht="14.25" customHeight="1">
      <c r="A39" s="238" t="str">
        <f>'Cases by ZCTA'!A39</f>
        <v>02864</v>
      </c>
      <c r="B39" s="239">
        <f>'Cases by ZCTA'!B39</f>
        <v>659</v>
      </c>
      <c r="C39" s="239">
        <f>'Cases by ZCTA'!C39</f>
        <v>1903</v>
      </c>
    </row>
    <row r="40" ht="14.25" customHeight="1">
      <c r="A40" s="238" t="str">
        <f>'Cases by ZCTA'!A40</f>
        <v>02865</v>
      </c>
      <c r="B40" s="239">
        <f>'Cases by ZCTA'!B40</f>
        <v>309</v>
      </c>
      <c r="C40" s="239">
        <f>'Cases by ZCTA'!C40</f>
        <v>1771</v>
      </c>
    </row>
    <row r="41" ht="14.25" customHeight="1">
      <c r="A41" s="238" t="str">
        <f>'Cases by ZCTA'!A41</f>
        <v>02871</v>
      </c>
      <c r="B41" s="239">
        <f>'Cases by ZCTA'!B41</f>
        <v>110</v>
      </c>
      <c r="C41" s="239">
        <f>'Cases by ZCTA'!C41</f>
        <v>642</v>
      </c>
    </row>
    <row r="42" ht="14.25" customHeight="1">
      <c r="A42" s="238" t="str">
        <f>'Cases by ZCTA'!A42</f>
        <v>02872</v>
      </c>
      <c r="B42" s="239">
        <f>'Cases by ZCTA'!B42</f>
        <v>0</v>
      </c>
      <c r="C42" s="239">
        <f>'Cases by ZCTA'!C42</f>
        <v>0</v>
      </c>
    </row>
    <row r="43" ht="14.25" customHeight="1">
      <c r="A43" s="238" t="str">
        <f>'Cases by ZCTA'!A43</f>
        <v>02873</v>
      </c>
      <c r="B43" s="239">
        <f>'Cases by ZCTA'!B43</f>
        <v>0</v>
      </c>
      <c r="C43" s="239">
        <f>'Cases by ZCTA'!C43</f>
        <v>0</v>
      </c>
    </row>
    <row r="44" ht="14.25" customHeight="1">
      <c r="A44" s="238" t="str">
        <f>'Cases by ZCTA'!A44</f>
        <v>02874</v>
      </c>
      <c r="B44" s="239">
        <f>'Cases by ZCTA'!B44</f>
        <v>73</v>
      </c>
      <c r="C44" s="239">
        <f>'Cases by ZCTA'!C44</f>
        <v>1225</v>
      </c>
    </row>
    <row r="45" ht="14.25" customHeight="1">
      <c r="A45" s="238" t="str">
        <f>'Cases by ZCTA'!A45</f>
        <v>02875</v>
      </c>
      <c r="B45" s="239">
        <f>'Cases by ZCTA'!B45</f>
        <v>0</v>
      </c>
      <c r="C45" s="239">
        <f>'Cases by ZCTA'!C45</f>
        <v>0</v>
      </c>
    </row>
    <row r="46" ht="14.25" customHeight="1">
      <c r="A46" s="238" t="str">
        <f>'Cases by ZCTA'!A46</f>
        <v>02876</v>
      </c>
      <c r="B46" s="239">
        <f>'Cases by ZCTA'!B46</f>
        <v>7</v>
      </c>
      <c r="C46" s="239">
        <f>'Cases by ZCTA'!C46</f>
        <v>2405</v>
      </c>
    </row>
    <row r="47" ht="14.25" customHeight="1">
      <c r="A47" s="238" t="str">
        <f>'Cases by ZCTA'!A47</f>
        <v>02878</v>
      </c>
      <c r="B47" s="239">
        <f>'Cases by ZCTA'!B47</f>
        <v>181</v>
      </c>
      <c r="C47" s="239">
        <f>'Cases by ZCTA'!C47</f>
        <v>1144</v>
      </c>
    </row>
    <row r="48" ht="14.25" customHeight="1">
      <c r="A48" s="238" t="str">
        <f>'Cases by ZCTA'!A48</f>
        <v>02879</v>
      </c>
      <c r="B48" s="239">
        <f>'Cases by ZCTA'!B48</f>
        <v>210</v>
      </c>
      <c r="C48" s="239">
        <f>'Cases by ZCTA'!C48</f>
        <v>1023</v>
      </c>
    </row>
    <row r="49" ht="14.25" customHeight="1">
      <c r="A49" s="238" t="str">
        <f>'Cases by ZCTA'!A49</f>
        <v>02881</v>
      </c>
      <c r="B49" s="239">
        <f>'Cases by ZCTA'!B49</f>
        <v>89</v>
      </c>
      <c r="C49" s="239">
        <f>'Cases by ZCTA'!C49</f>
        <v>1136</v>
      </c>
    </row>
    <row r="50" ht="14.25" customHeight="1">
      <c r="A50" s="238" t="str">
        <f>'Cases by ZCTA'!A50</f>
        <v>02882</v>
      </c>
      <c r="B50" s="239">
        <f>'Cases by ZCTA'!B50</f>
        <v>339</v>
      </c>
      <c r="C50" s="239">
        <f>'Cases by ZCTA'!C50</f>
        <v>2430</v>
      </c>
    </row>
    <row r="51" ht="14.25" customHeight="1">
      <c r="A51" s="238" t="str">
        <f>'Cases by ZCTA'!A51</f>
        <v>02885</v>
      </c>
      <c r="B51" s="239">
        <f>'Cases by ZCTA'!B51</f>
        <v>148</v>
      </c>
      <c r="C51" s="239">
        <f>'Cases by ZCTA'!C51</f>
        <v>1414</v>
      </c>
    </row>
    <row r="52" ht="14.25" customHeight="1">
      <c r="A52" s="238" t="str">
        <f>'Cases by ZCTA'!A52</f>
        <v>02886</v>
      </c>
      <c r="B52" s="239">
        <f>'Cases by ZCTA'!B52</f>
        <v>400</v>
      </c>
      <c r="C52" s="239">
        <f>'Cases by ZCTA'!C52</f>
        <v>1379</v>
      </c>
    </row>
    <row r="53" ht="14.25" customHeight="1">
      <c r="A53" s="238" t="str">
        <f>'Cases by ZCTA'!A53</f>
        <v>02888</v>
      </c>
      <c r="B53" s="239">
        <f>'Cases by ZCTA'!B53</f>
        <v>282</v>
      </c>
      <c r="C53" s="239">
        <f>'Cases by ZCTA'!C53</f>
        <v>1471</v>
      </c>
    </row>
    <row r="54" ht="14.25" customHeight="1">
      <c r="A54" s="238" t="str">
        <f>'Cases by ZCTA'!A54</f>
        <v>02889</v>
      </c>
      <c r="B54" s="239">
        <f>'Cases by ZCTA'!B54</f>
        <v>537</v>
      </c>
      <c r="C54" s="239">
        <f>'Cases by ZCTA'!C54</f>
        <v>1965</v>
      </c>
    </row>
    <row r="55" ht="14.25" customHeight="1">
      <c r="A55" s="238" t="str">
        <f>'Cases by ZCTA'!A55</f>
        <v>02891</v>
      </c>
      <c r="B55" s="239">
        <f>'Cases by ZCTA'!B55</f>
        <v>169</v>
      </c>
      <c r="C55" s="239">
        <f>'Cases by ZCTA'!C55</f>
        <v>802</v>
      </c>
    </row>
    <row r="56" ht="14.25" customHeight="1">
      <c r="A56" s="238" t="str">
        <f>'Cases by ZCTA'!A56</f>
        <v>02892</v>
      </c>
      <c r="B56" s="239">
        <f>'Cases by ZCTA'!B56</f>
        <v>46</v>
      </c>
      <c r="C56" s="239">
        <f>'Cases by ZCTA'!C56</f>
        <v>887</v>
      </c>
    </row>
    <row r="57" ht="14.25" customHeight="1">
      <c r="A57" s="238" t="str">
        <f>'Cases by ZCTA'!A57</f>
        <v>02893</v>
      </c>
      <c r="B57" s="239">
        <f>'Cases by ZCTA'!B57</f>
        <v>548</v>
      </c>
      <c r="C57" s="239">
        <f>'Cases by ZCTA'!C57</f>
        <v>1880</v>
      </c>
    </row>
    <row r="58" ht="14.25" customHeight="1">
      <c r="A58" s="238" t="str">
        <f>'Cases by ZCTA'!A58</f>
        <v>02894</v>
      </c>
      <c r="B58" s="239">
        <f>'Cases by ZCTA'!B58</f>
        <v>7</v>
      </c>
      <c r="C58" s="239">
        <f>'Cases by ZCTA'!C58</f>
        <v>1039</v>
      </c>
    </row>
    <row r="59" ht="14.25" customHeight="1">
      <c r="A59" s="238" t="str">
        <f>'Cases by ZCTA'!A59</f>
        <v>02895</v>
      </c>
      <c r="B59" s="239">
        <f>'Cases by ZCTA'!B59</f>
        <v>1033</v>
      </c>
      <c r="C59" s="239">
        <f>'Cases by ZCTA'!C59</f>
        <v>2487</v>
      </c>
    </row>
    <row r="60" ht="14.25" customHeight="1">
      <c r="A60" s="238" t="str">
        <f>'Cases by ZCTA'!A60</f>
        <v>02896</v>
      </c>
      <c r="B60" s="239">
        <f>'Cases by ZCTA'!B60</f>
        <v>222</v>
      </c>
      <c r="C60" s="239">
        <f>'Cases by ZCTA'!C60</f>
        <v>1841</v>
      </c>
    </row>
    <row r="61" ht="14.25" customHeight="1">
      <c r="A61" s="238" t="str">
        <f>'Cases by ZCTA'!A61</f>
        <v>02898</v>
      </c>
      <c r="B61" s="239">
        <f>'Cases by ZCTA'!B61</f>
        <v>22</v>
      </c>
      <c r="C61" s="239">
        <f>'Cases by ZCTA'!C61</f>
        <v>1339</v>
      </c>
    </row>
    <row r="62" ht="14.25" customHeight="1">
      <c r="A62" s="238" t="str">
        <f>'Cases by ZCTA'!A62</f>
        <v>02903</v>
      </c>
      <c r="B62" s="239">
        <f>'Cases by ZCTA'!B62</f>
        <v>307</v>
      </c>
      <c r="C62" s="239">
        <f>'Cases by ZCTA'!C62</f>
        <v>2912</v>
      </c>
    </row>
    <row r="63" ht="14.25" customHeight="1">
      <c r="A63" s="238" t="str">
        <f>'Cases by ZCTA'!A63</f>
        <v>02904</v>
      </c>
      <c r="B63" s="239">
        <f>'Cases by ZCTA'!B63</f>
        <v>1401</v>
      </c>
      <c r="C63" s="239">
        <f>'Cases by ZCTA'!C63</f>
        <v>4590</v>
      </c>
    </row>
    <row r="64" ht="14.25" customHeight="1">
      <c r="A64" s="238" t="str">
        <f>'Cases by ZCTA'!A64</f>
        <v>02905</v>
      </c>
      <c r="B64" s="239">
        <f>'Cases by ZCTA'!B64</f>
        <v>1080</v>
      </c>
      <c r="C64" s="239">
        <f>'Cases by ZCTA'!C64</f>
        <v>4237</v>
      </c>
    </row>
    <row r="65" ht="14.25" customHeight="1">
      <c r="A65" s="238" t="str">
        <f>'Cases by ZCTA'!A65</f>
        <v>02906</v>
      </c>
      <c r="B65" s="239">
        <f>'Cases by ZCTA'!B65</f>
        <v>538</v>
      </c>
      <c r="C65" s="239">
        <f>'Cases by ZCTA'!C65</f>
        <v>1908</v>
      </c>
    </row>
    <row r="66" ht="14.25" customHeight="1">
      <c r="A66" s="238" t="str">
        <f>'Cases by ZCTA'!A66</f>
        <v>02907</v>
      </c>
      <c r="B66" s="239">
        <f>'Cases by ZCTA'!B66</f>
        <v>2172</v>
      </c>
      <c r="C66" s="239">
        <f>'Cases by ZCTA'!C66</f>
        <v>7056</v>
      </c>
    </row>
    <row r="67" ht="14.25" customHeight="1">
      <c r="A67" s="238" t="str">
        <f>'Cases by ZCTA'!A67</f>
        <v>02908</v>
      </c>
      <c r="B67" s="239">
        <f>'Cases by ZCTA'!B67</f>
        <v>2396</v>
      </c>
      <c r="C67" s="239">
        <f>'Cases by ZCTA'!C67</f>
        <v>6381</v>
      </c>
    </row>
    <row r="68" ht="14.25" customHeight="1">
      <c r="A68" s="238" t="str">
        <f>'Cases by ZCTA'!A68</f>
        <v>02909</v>
      </c>
      <c r="B68" s="239">
        <f>'Cases by ZCTA'!B68</f>
        <v>2965</v>
      </c>
      <c r="C68" s="239">
        <f>'Cases by ZCTA'!C68</f>
        <v>7308</v>
      </c>
    </row>
    <row r="69" ht="14.25" customHeight="1">
      <c r="A69" s="238" t="str">
        <f>'Cases by ZCTA'!A69</f>
        <v>02910</v>
      </c>
      <c r="B69" s="239">
        <f>'Cases by ZCTA'!B69</f>
        <v>531</v>
      </c>
      <c r="C69" s="239">
        <f>'Cases by ZCTA'!C69</f>
        <v>2398</v>
      </c>
    </row>
    <row r="70" ht="14.25" customHeight="1">
      <c r="A70" s="238" t="str">
        <f>'Cases by ZCTA'!A70</f>
        <v>02911</v>
      </c>
      <c r="B70" s="239">
        <f>'Cases by ZCTA'!B70</f>
        <v>413</v>
      </c>
      <c r="C70" s="239">
        <f>'Cases by ZCTA'!C70</f>
        <v>2603</v>
      </c>
    </row>
    <row r="71" ht="14.25" customHeight="1">
      <c r="A71" s="238" t="str">
        <f>'Cases by ZCTA'!A71</f>
        <v>02912</v>
      </c>
      <c r="B71" s="239">
        <f>'Cases by ZCTA'!B71</f>
        <v>7</v>
      </c>
      <c r="C71" s="239">
        <f>'Cases by ZCTA'!C71</f>
        <v>515</v>
      </c>
    </row>
    <row r="72" ht="14.25" customHeight="1">
      <c r="A72" s="238" t="str">
        <f>'Cases by ZCTA'!A72</f>
        <v>02914</v>
      </c>
      <c r="B72" s="239">
        <f>'Cases by ZCTA'!B72</f>
        <v>628</v>
      </c>
      <c r="C72" s="239">
        <f>'Cases by ZCTA'!C72</f>
        <v>2907</v>
      </c>
    </row>
    <row r="73" ht="14.25" customHeight="1">
      <c r="A73" s="238" t="str">
        <f>'Cases by ZCTA'!A73</f>
        <v>02915</v>
      </c>
      <c r="B73" s="239">
        <f>'Cases by ZCTA'!B73</f>
        <v>314</v>
      </c>
      <c r="C73" s="239">
        <f>'Cases by ZCTA'!C73</f>
        <v>1886</v>
      </c>
    </row>
    <row r="74" ht="14.25" customHeight="1">
      <c r="A74" s="238" t="str">
        <f>'Cases by ZCTA'!A74</f>
        <v>02916</v>
      </c>
      <c r="B74" s="239">
        <f>'Cases by ZCTA'!B74</f>
        <v>138</v>
      </c>
      <c r="C74" s="239">
        <f>'Cases by ZCTA'!C74</f>
        <v>1521</v>
      </c>
    </row>
    <row r="75" ht="14.25" customHeight="1">
      <c r="A75" s="238" t="str">
        <f>'Cases by ZCTA'!A75</f>
        <v>02917</v>
      </c>
      <c r="B75" s="239">
        <f>'Cases by ZCTA'!B75</f>
        <v>202</v>
      </c>
      <c r="C75" s="239">
        <f>'Cases by ZCTA'!C75</f>
        <v>1463</v>
      </c>
    </row>
    <row r="76" ht="14.25" customHeight="1">
      <c r="A76" s="238" t="str">
        <f>'Cases by ZCTA'!A76</f>
        <v>02919</v>
      </c>
      <c r="B76" s="239">
        <f>'Cases by ZCTA'!B76</f>
        <v>902</v>
      </c>
      <c r="C76" s="239">
        <f>'Cases by ZCTA'!C76</f>
        <v>3083</v>
      </c>
    </row>
    <row r="77" ht="14.25" customHeight="1">
      <c r="A77" s="238" t="str">
        <f>'Cases by ZCTA'!A77</f>
        <v>02920</v>
      </c>
      <c r="B77" s="239">
        <f>'Cases by ZCTA'!B77</f>
        <v>1092</v>
      </c>
      <c r="C77" s="239">
        <f>'Cases by ZCTA'!C77</f>
        <v>2936</v>
      </c>
    </row>
    <row r="78" ht="14.25" customHeight="1">
      <c r="A78" s="238" t="str">
        <f>'Cases by ZCTA'!A78</f>
        <v>02921</v>
      </c>
      <c r="B78" s="239">
        <f>'Cases by ZCTA'!B78</f>
        <v>230</v>
      </c>
      <c r="C78" s="239">
        <f>'Cases by ZCTA'!C78</f>
        <v>1853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0" t="s">
        <v>1</v>
      </c>
      <c r="C1" s="240" t="s">
        <v>2</v>
      </c>
      <c r="D1" s="240" t="s">
        <v>3</v>
      </c>
      <c r="E1" s="240" t="s">
        <v>4</v>
      </c>
      <c r="F1" s="241" t="s">
        <v>5</v>
      </c>
      <c r="G1" s="241" t="s">
        <v>6</v>
      </c>
      <c r="H1" s="241" t="s">
        <v>7</v>
      </c>
      <c r="I1" s="242" t="s">
        <v>8</v>
      </c>
      <c r="J1" s="243" t="s">
        <v>9</v>
      </c>
      <c r="K1" s="242" t="s">
        <v>10</v>
      </c>
      <c r="L1" s="242" t="s">
        <v>11</v>
      </c>
      <c r="M1" s="242" t="s">
        <v>12</v>
      </c>
      <c r="N1" s="242" t="s">
        <v>13</v>
      </c>
      <c r="O1" s="244" t="s">
        <v>14</v>
      </c>
      <c r="P1" s="244" t="s">
        <v>15</v>
      </c>
      <c r="Q1" s="244" t="s">
        <v>16</v>
      </c>
      <c r="R1" s="244" t="s">
        <v>17</v>
      </c>
      <c r="S1" s="244" t="s">
        <v>18</v>
      </c>
      <c r="T1" s="244" t="s">
        <v>19</v>
      </c>
      <c r="U1" s="244" t="s">
        <v>20</v>
      </c>
      <c r="V1" s="244" t="s">
        <v>21</v>
      </c>
      <c r="W1" s="244" t="s">
        <v>22</v>
      </c>
      <c r="X1" s="244" t="s">
        <v>23</v>
      </c>
      <c r="Y1" s="245" t="s">
        <v>24</v>
      </c>
      <c r="Z1" s="245" t="s">
        <v>25</v>
      </c>
      <c r="AA1" s="246" t="s">
        <v>732</v>
      </c>
      <c r="AB1" s="246" t="s">
        <v>733</v>
      </c>
      <c r="AC1" s="246" t="s">
        <v>734</v>
      </c>
      <c r="AD1" s="246" t="s">
        <v>735</v>
      </c>
    </row>
    <row r="2">
      <c r="A2" s="247">
        <f>Summary!B1</f>
        <v>44134</v>
      </c>
      <c r="B2" s="248">
        <f>Summary!B2</f>
        <v>551</v>
      </c>
      <c r="C2" s="249">
        <f>Summary!B3</f>
        <v>512</v>
      </c>
      <c r="D2" s="249">
        <f>Summary!B4</f>
        <v>43648</v>
      </c>
      <c r="E2" s="249">
        <f>Summary!B5</f>
        <v>14011</v>
      </c>
      <c r="F2" s="249">
        <f>Summary!B6</f>
        <v>1080659</v>
      </c>
      <c r="G2" s="249">
        <f>Summary!B7</f>
        <v>14562</v>
      </c>
      <c r="H2" s="249">
        <f>Summary!B8</f>
        <v>1124307</v>
      </c>
      <c r="I2" s="249">
        <f>Summary!B9</f>
        <v>482</v>
      </c>
      <c r="J2" s="249">
        <f>Summary!B10</f>
        <v>444</v>
      </c>
      <c r="K2" s="249">
        <f>Summary!B11</f>
        <v>32874</v>
      </c>
      <c r="L2" s="249">
        <f>Summary!B12</f>
        <v>2838</v>
      </c>
      <c r="M2" s="249">
        <f>Summary!B13</f>
        <v>400002</v>
      </c>
      <c r="N2" s="249">
        <f>Summary!B14</f>
        <v>432876</v>
      </c>
      <c r="O2" s="249">
        <f>Summary!B15</f>
        <v>20</v>
      </c>
      <c r="P2" s="249">
        <f>Summary!B16</f>
        <v>3309</v>
      </c>
      <c r="Q2" s="249">
        <f>Summary!B17</f>
        <v>21</v>
      </c>
      <c r="R2" s="249">
        <f>Summary!B18</f>
        <v>2763</v>
      </c>
      <c r="S2" s="249">
        <f>Summary!B19</f>
        <v>1</v>
      </c>
      <c r="T2" s="249">
        <f>Summary!B20</f>
        <v>394</v>
      </c>
      <c r="U2" s="249">
        <f>Summary!B21</f>
        <v>152</v>
      </c>
      <c r="V2" s="249">
        <f>Summary!B22</f>
        <v>149</v>
      </c>
      <c r="W2" s="249">
        <f>Summary!B23</f>
        <v>15</v>
      </c>
      <c r="X2" s="249">
        <f>Summary!B24</f>
        <v>9</v>
      </c>
      <c r="Y2" s="249">
        <f>Summary!B25</f>
        <v>6</v>
      </c>
      <c r="Z2" s="249">
        <f>Summary!B26</f>
        <v>1201</v>
      </c>
      <c r="AA2" s="250">
        <f>I2+E2</f>
        <v>14493</v>
      </c>
      <c r="AB2" s="250">
        <f>K2+F2</f>
        <v>1113533</v>
      </c>
      <c r="AC2" s="251">
        <f>K2/H2</f>
        <v>0.02923934477</v>
      </c>
      <c r="AD2" s="251">
        <f>I2/G2</f>
        <v>0.03309984892</v>
      </c>
    </row>
    <row r="3">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row>
    <row r="4">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row>
    <row r="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row>
    <row r="6">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row>
    <row r="7">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row>
    <row r="8">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row>
    <row r="10">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row>
    <row r="58">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row>
    <row r="59">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row>
    <row r="70">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row>
    <row r="76">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row>
    <row r="77">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row>
    <row r="78">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row>
    <row r="79">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row>
    <row r="80">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row>
    <row r="8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row>
    <row r="8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row>
    <row r="83">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row>
    <row r="84">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row>
    <row r="85">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row>
    <row r="86">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row>
    <row r="87">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row>
    <row r="88">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row>
    <row r="89">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row>
    <row r="90">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row>
    <row r="9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row>
    <row r="9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row>
    <row r="93">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row>
    <row r="94">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row>
    <row r="95">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row>
    <row r="96">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row>
    <row r="97">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row>
    <row r="98">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row>
    <row r="99">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row>
    <row r="100">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row>
    <row r="10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row>
    <row r="102">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row>
    <row r="103">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row>
    <row r="104">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row>
    <row r="105">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row>
    <row r="106">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row>
    <row r="107">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row>
    <row r="108">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row>
    <row r="109">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row>
    <row r="110">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row>
    <row r="11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row>
    <row r="112">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row>
    <row r="113">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row>
    <row r="114">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row>
    <row r="115">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row>
    <row r="116">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row>
    <row r="117">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row>
    <row r="118">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row>
    <row r="119">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row>
    <row r="120">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row>
    <row r="12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row>
    <row r="122">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row>
    <row r="123">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row>
    <row r="124">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row>
    <row r="125">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row>
    <row r="126">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row>
    <row r="127">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row>
    <row r="128">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row>
    <row r="129">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row>
    <row r="130">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row>
    <row r="13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row>
    <row r="132">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row>
    <row r="133">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row>
    <row r="134">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row>
    <row r="135">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row>
    <row r="136">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row>
    <row r="137">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row>
    <row r="138">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row>
    <row r="139">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row>
    <row r="140">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row>
    <row r="14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row>
    <row r="142">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row>
    <row r="143">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c r="AA143" s="252"/>
      <c r="AB143" s="252"/>
      <c r="AC143" s="252"/>
      <c r="AD143" s="252"/>
    </row>
    <row r="144">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row>
    <row r="145">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c r="AA145" s="252"/>
      <c r="AB145" s="252"/>
      <c r="AC145" s="252"/>
      <c r="AD145" s="252"/>
    </row>
    <row r="146">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row>
    <row r="147">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row>
    <row r="148">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c r="AA148" s="252"/>
      <c r="AB148" s="252"/>
      <c r="AC148" s="252"/>
      <c r="AD148" s="252"/>
    </row>
    <row r="149">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c r="AA149" s="252"/>
      <c r="AB149" s="252"/>
      <c r="AC149" s="252"/>
      <c r="AD149" s="252"/>
    </row>
    <row r="150">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c r="AA150" s="252"/>
      <c r="AB150" s="252"/>
      <c r="AC150" s="252"/>
      <c r="AD150" s="252"/>
    </row>
    <row r="15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c r="AA151" s="252"/>
      <c r="AB151" s="252"/>
      <c r="AC151" s="252"/>
      <c r="AD151" s="252"/>
    </row>
    <row r="152">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c r="AA152" s="252"/>
      <c r="AB152" s="252"/>
      <c r="AC152" s="252"/>
      <c r="AD152" s="252"/>
    </row>
    <row r="153">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c r="AA153" s="252"/>
      <c r="AB153" s="252"/>
      <c r="AC153" s="252"/>
      <c r="AD153" s="252"/>
    </row>
    <row r="154">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c r="AA154" s="252"/>
      <c r="AB154" s="252"/>
      <c r="AC154" s="252"/>
      <c r="AD154" s="252"/>
    </row>
    <row r="155">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c r="AA155" s="252"/>
      <c r="AB155" s="252"/>
      <c r="AC155" s="252"/>
      <c r="AD155" s="252"/>
    </row>
    <row r="156">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c r="AA156" s="252"/>
      <c r="AB156" s="252"/>
      <c r="AC156" s="252"/>
      <c r="AD156" s="252"/>
    </row>
    <row r="157">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c r="AA157" s="252"/>
      <c r="AB157" s="252"/>
      <c r="AC157" s="252"/>
      <c r="AD157" s="252"/>
    </row>
    <row r="158">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c r="AA158" s="252"/>
      <c r="AB158" s="252"/>
      <c r="AC158" s="252"/>
      <c r="AD158" s="252"/>
    </row>
    <row r="159">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c r="AA159" s="252"/>
      <c r="AB159" s="252"/>
      <c r="AC159" s="252"/>
      <c r="AD159" s="252"/>
    </row>
    <row r="160">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c r="AA160" s="252"/>
      <c r="AB160" s="252"/>
      <c r="AC160" s="252"/>
      <c r="AD160" s="252"/>
    </row>
    <row r="16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c r="AA161" s="252"/>
      <c r="AB161" s="252"/>
      <c r="AC161" s="252"/>
      <c r="AD161" s="252"/>
    </row>
    <row r="16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c r="AA162" s="252"/>
      <c r="AB162" s="252"/>
      <c r="AC162" s="252"/>
      <c r="AD162" s="252"/>
    </row>
    <row r="163">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c r="AA163" s="252"/>
      <c r="AB163" s="252"/>
      <c r="AC163" s="252"/>
      <c r="AD163" s="252"/>
    </row>
    <row r="164">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c r="AA164" s="252"/>
      <c r="AB164" s="252"/>
      <c r="AC164" s="252"/>
      <c r="AD164" s="252"/>
    </row>
    <row r="165">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c r="AA165" s="252"/>
      <c r="AB165" s="252"/>
      <c r="AC165" s="252"/>
      <c r="AD165" s="252"/>
    </row>
    <row r="166">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c r="AA166" s="252"/>
      <c r="AB166" s="252"/>
      <c r="AC166" s="252"/>
      <c r="AD166" s="252"/>
    </row>
    <row r="167">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c r="AA167" s="252"/>
      <c r="AB167" s="252"/>
      <c r="AC167" s="252"/>
      <c r="AD167" s="252"/>
    </row>
    <row r="168">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c r="AA168" s="252"/>
      <c r="AB168" s="252"/>
      <c r="AC168" s="252"/>
      <c r="AD168" s="252"/>
    </row>
    <row r="169">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c r="AA169" s="252"/>
      <c r="AB169" s="252"/>
      <c r="AC169" s="252"/>
      <c r="AD169" s="252"/>
    </row>
    <row r="170">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c r="AA170" s="252"/>
      <c r="AB170" s="252"/>
      <c r="AC170" s="252"/>
      <c r="AD170" s="252"/>
    </row>
    <row r="17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c r="AA171" s="252"/>
      <c r="AB171" s="252"/>
      <c r="AC171" s="252"/>
      <c r="AD171" s="252"/>
    </row>
    <row r="17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c r="AA172" s="252"/>
      <c r="AB172" s="252"/>
      <c r="AC172" s="252"/>
      <c r="AD172" s="252"/>
    </row>
    <row r="173">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c r="AA173" s="252"/>
      <c r="AB173" s="252"/>
      <c r="AC173" s="252"/>
      <c r="AD173" s="252"/>
    </row>
    <row r="174">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c r="AA174" s="252"/>
      <c r="AB174" s="252"/>
      <c r="AC174" s="252"/>
      <c r="AD174" s="252"/>
    </row>
    <row r="175">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c r="AA175" s="252"/>
      <c r="AB175" s="252"/>
      <c r="AC175" s="252"/>
      <c r="AD175" s="252"/>
    </row>
    <row r="176">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c r="AA176" s="252"/>
      <c r="AB176" s="252"/>
      <c r="AC176" s="252"/>
      <c r="AD176" s="252"/>
    </row>
    <row r="177">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c r="AA177" s="252"/>
      <c r="AB177" s="252"/>
      <c r="AC177" s="252"/>
      <c r="AD177" s="252"/>
    </row>
    <row r="178">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c r="AA178" s="252"/>
      <c r="AB178" s="252"/>
      <c r="AC178" s="252"/>
      <c r="AD178" s="252"/>
    </row>
    <row r="179">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c r="AA179" s="252"/>
      <c r="AB179" s="252"/>
      <c r="AC179" s="252"/>
      <c r="AD179" s="252"/>
    </row>
    <row r="180">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c r="AA180" s="252"/>
      <c r="AB180" s="252"/>
      <c r="AC180" s="252"/>
      <c r="AD180" s="252"/>
    </row>
    <row r="18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c r="AA181" s="252"/>
      <c r="AB181" s="252"/>
      <c r="AC181" s="252"/>
      <c r="AD181" s="252"/>
    </row>
    <row r="18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c r="AA182" s="252"/>
      <c r="AB182" s="252"/>
      <c r="AC182" s="252"/>
      <c r="AD182" s="252"/>
    </row>
    <row r="183">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c r="AA183" s="252"/>
      <c r="AB183" s="252"/>
      <c r="AC183" s="252"/>
      <c r="AD183" s="252"/>
    </row>
    <row r="184">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c r="AA184" s="252"/>
      <c r="AB184" s="252"/>
      <c r="AC184" s="252"/>
      <c r="AD184" s="252"/>
    </row>
    <row r="185">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c r="AA185" s="252"/>
      <c r="AB185" s="252"/>
      <c r="AC185" s="252"/>
      <c r="AD185" s="252"/>
    </row>
    <row r="186">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c r="AA186" s="252"/>
      <c r="AB186" s="252"/>
      <c r="AC186" s="252"/>
      <c r="AD186" s="252"/>
    </row>
    <row r="187">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row>
    <row r="188">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c r="AA188" s="252"/>
      <c r="AB188" s="252"/>
      <c r="AC188" s="252"/>
      <c r="AD188" s="252"/>
    </row>
    <row r="189">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c r="AA189" s="252"/>
      <c r="AB189" s="252"/>
      <c r="AC189" s="252"/>
      <c r="AD189" s="252"/>
    </row>
    <row r="190">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c r="AA190" s="252"/>
      <c r="AB190" s="252"/>
      <c r="AC190" s="252"/>
      <c r="AD190" s="252"/>
    </row>
    <row r="19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c r="AA191" s="252"/>
      <c r="AB191" s="252"/>
      <c r="AC191" s="252"/>
      <c r="AD191" s="252"/>
    </row>
    <row r="19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c r="AA192" s="252"/>
      <c r="AB192" s="252"/>
      <c r="AC192" s="252"/>
      <c r="AD192" s="252"/>
    </row>
    <row r="193">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c r="AA193" s="252"/>
      <c r="AB193" s="252"/>
      <c r="AC193" s="252"/>
      <c r="AD193" s="252"/>
    </row>
    <row r="194">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c r="AA194" s="252"/>
      <c r="AB194" s="252"/>
      <c r="AC194" s="252"/>
      <c r="AD194" s="252"/>
    </row>
    <row r="195">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c r="AA195" s="252"/>
      <c r="AB195" s="252"/>
      <c r="AC195" s="252"/>
      <c r="AD195" s="252"/>
    </row>
    <row r="196">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c r="AA196" s="252"/>
      <c r="AB196" s="252"/>
      <c r="AC196" s="252"/>
      <c r="AD196" s="252"/>
    </row>
    <row r="197">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c r="AA197" s="252"/>
      <c r="AB197" s="252"/>
      <c r="AC197" s="252"/>
      <c r="AD197" s="252"/>
    </row>
    <row r="198">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c r="AB198" s="252"/>
      <c r="AC198" s="252"/>
      <c r="AD198" s="252"/>
    </row>
    <row r="199">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c r="AB199" s="252"/>
      <c r="AC199" s="252"/>
      <c r="AD199" s="252"/>
    </row>
    <row r="200">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c r="AA200" s="252"/>
      <c r="AB200" s="252"/>
      <c r="AC200" s="252"/>
      <c r="AD200" s="252"/>
    </row>
    <row r="20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c r="AA201" s="252"/>
      <c r="AB201" s="252"/>
      <c r="AC201" s="252"/>
      <c r="AD201" s="252"/>
    </row>
    <row r="20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c r="AA202" s="252"/>
      <c r="AB202" s="252"/>
      <c r="AC202" s="252"/>
      <c r="AD202" s="252"/>
    </row>
    <row r="203">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c r="AB203" s="252"/>
      <c r="AC203" s="252"/>
      <c r="AD203" s="252"/>
    </row>
    <row r="204">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c r="AA204" s="252"/>
      <c r="AB204" s="252"/>
      <c r="AC204" s="252"/>
      <c r="AD204" s="252"/>
    </row>
    <row r="205">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c r="AA205" s="252"/>
      <c r="AB205" s="252"/>
      <c r="AC205" s="252"/>
      <c r="AD205" s="252"/>
    </row>
    <row r="206">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c r="AA206" s="252"/>
      <c r="AB206" s="252"/>
      <c r="AC206" s="252"/>
      <c r="AD206" s="252"/>
    </row>
    <row r="207">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row>
    <row r="208">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c r="AA208" s="252"/>
      <c r="AB208" s="252"/>
      <c r="AC208" s="252"/>
      <c r="AD208" s="252"/>
    </row>
    <row r="209">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c r="AA209" s="252"/>
      <c r="AB209" s="252"/>
      <c r="AC209" s="252"/>
      <c r="AD209" s="252"/>
    </row>
    <row r="210">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c r="AA210" s="252"/>
      <c r="AB210" s="252"/>
      <c r="AC210" s="252"/>
      <c r="AD210" s="252"/>
    </row>
    <row r="21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c r="AA211" s="252"/>
      <c r="AB211" s="252"/>
      <c r="AC211" s="252"/>
      <c r="AD211" s="252"/>
    </row>
    <row r="2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c r="AA212" s="252"/>
      <c r="AB212" s="252"/>
      <c r="AC212" s="252"/>
      <c r="AD212" s="252"/>
    </row>
    <row r="213">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c r="AA213" s="252"/>
      <c r="AB213" s="252"/>
      <c r="AC213" s="252"/>
      <c r="AD213" s="252"/>
    </row>
    <row r="214">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c r="AA214" s="252"/>
      <c r="AB214" s="252"/>
      <c r="AC214" s="252"/>
      <c r="AD214" s="252"/>
    </row>
    <row r="215">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c r="AA215" s="252"/>
      <c r="AB215" s="252"/>
      <c r="AC215" s="252"/>
      <c r="AD215" s="252"/>
    </row>
    <row r="216">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row>
    <row r="217">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c r="AA217" s="252"/>
      <c r="AB217" s="252"/>
      <c r="AC217" s="252"/>
      <c r="AD217" s="252"/>
    </row>
    <row r="218">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c r="AA218" s="252"/>
      <c r="AB218" s="252"/>
      <c r="AC218" s="252"/>
      <c r="AD218" s="252"/>
    </row>
    <row r="219">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row>
    <row r="220">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c r="AA220" s="252"/>
      <c r="AB220" s="252"/>
      <c r="AC220" s="252"/>
      <c r="AD220" s="252"/>
    </row>
    <row r="22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row>
    <row r="22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c r="AA222" s="252"/>
      <c r="AB222" s="252"/>
      <c r="AC222" s="252"/>
      <c r="AD222" s="252"/>
    </row>
    <row r="223">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c r="AA223" s="252"/>
      <c r="AB223" s="252"/>
      <c r="AC223" s="252"/>
      <c r="AD223" s="252"/>
    </row>
    <row r="224">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c r="AA224" s="252"/>
      <c r="AB224" s="252"/>
      <c r="AC224" s="252"/>
      <c r="AD224" s="252"/>
    </row>
    <row r="225">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c r="AA225" s="252"/>
      <c r="AB225" s="252"/>
      <c r="AC225" s="252"/>
      <c r="AD225" s="252"/>
    </row>
    <row r="226">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c r="AA226" s="252"/>
      <c r="AB226" s="252"/>
      <c r="AC226" s="252"/>
      <c r="AD226" s="252"/>
    </row>
    <row r="227">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c r="AA227" s="252"/>
      <c r="AB227" s="252"/>
      <c r="AC227" s="252"/>
      <c r="AD227" s="252"/>
    </row>
    <row r="228">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c r="AA228" s="252"/>
      <c r="AB228" s="252"/>
      <c r="AC228" s="252"/>
      <c r="AD228" s="252"/>
    </row>
    <row r="229">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c r="AA229" s="252"/>
      <c r="AB229" s="252"/>
      <c r="AC229" s="252"/>
      <c r="AD229" s="252"/>
    </row>
    <row r="230">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c r="AA230" s="252"/>
      <c r="AB230" s="252"/>
      <c r="AC230" s="252"/>
      <c r="AD230" s="252"/>
    </row>
    <row r="231">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c r="AA231" s="252"/>
      <c r="AB231" s="252"/>
      <c r="AC231" s="252"/>
      <c r="AD231" s="252"/>
    </row>
    <row r="23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c r="AA232" s="252"/>
      <c r="AB232" s="252"/>
      <c r="AC232" s="252"/>
      <c r="AD232" s="252"/>
    </row>
    <row r="233">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c r="AA233" s="252"/>
      <c r="AB233" s="252"/>
      <c r="AC233" s="252"/>
      <c r="AD233" s="252"/>
    </row>
    <row r="234">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c r="AA234" s="252"/>
      <c r="AB234" s="252"/>
      <c r="AC234" s="252"/>
      <c r="AD234" s="252"/>
    </row>
    <row r="235">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c r="AA235" s="252"/>
      <c r="AB235" s="252"/>
      <c r="AC235" s="252"/>
      <c r="AD235" s="252"/>
    </row>
    <row r="236">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c r="AA236" s="252"/>
      <c r="AB236" s="252"/>
      <c r="AC236" s="252"/>
      <c r="AD236" s="252"/>
    </row>
    <row r="237">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c r="AA237" s="252"/>
      <c r="AB237" s="252"/>
      <c r="AC237" s="252"/>
      <c r="AD237" s="252"/>
    </row>
    <row r="238">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c r="AA238" s="252"/>
      <c r="AB238" s="252"/>
      <c r="AC238" s="252"/>
      <c r="AD238" s="252"/>
    </row>
    <row r="239">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c r="AA239" s="252"/>
      <c r="AB239" s="252"/>
      <c r="AC239" s="252"/>
      <c r="AD239" s="252"/>
    </row>
    <row r="240">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c r="AA240" s="252"/>
      <c r="AB240" s="252"/>
      <c r="AC240" s="252"/>
      <c r="AD240" s="252"/>
    </row>
    <row r="241">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c r="AA241" s="252"/>
      <c r="AB241" s="252"/>
      <c r="AC241" s="252"/>
      <c r="AD241" s="252"/>
    </row>
    <row r="24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c r="AA242" s="252"/>
      <c r="AB242" s="252"/>
      <c r="AC242" s="252"/>
      <c r="AD242" s="252"/>
    </row>
    <row r="243">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c r="AA243" s="252"/>
      <c r="AB243" s="252"/>
      <c r="AC243" s="252"/>
      <c r="AD243" s="252"/>
    </row>
    <row r="244">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c r="AA244" s="252"/>
      <c r="AB244" s="252"/>
      <c r="AC244" s="252"/>
      <c r="AD244" s="252"/>
    </row>
    <row r="245">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row>
    <row r="246">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c r="AA246" s="252"/>
      <c r="AB246" s="252"/>
      <c r="AC246" s="252"/>
      <c r="AD246" s="252"/>
    </row>
    <row r="247">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c r="AA247" s="252"/>
      <c r="AB247" s="252"/>
      <c r="AC247" s="252"/>
      <c r="AD247" s="252"/>
    </row>
    <row r="248">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c r="AA248" s="252"/>
      <c r="AB248" s="252"/>
      <c r="AC248" s="252"/>
      <c r="AD248" s="252"/>
    </row>
    <row r="249">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c r="AA249" s="252"/>
      <c r="AB249" s="252"/>
      <c r="AC249" s="252"/>
      <c r="AD249" s="252"/>
    </row>
    <row r="250">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c r="AA250" s="252"/>
      <c r="AB250" s="252"/>
      <c r="AC250" s="252"/>
      <c r="AD250" s="252"/>
    </row>
    <row r="25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c r="AA251" s="252"/>
      <c r="AB251" s="252"/>
      <c r="AC251" s="252"/>
      <c r="AD251" s="252"/>
    </row>
    <row r="25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c r="AA252" s="252"/>
      <c r="AB252" s="252"/>
      <c r="AC252" s="252"/>
      <c r="AD252" s="252"/>
    </row>
    <row r="253">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c r="AA253" s="252"/>
      <c r="AB253" s="252"/>
      <c r="AC253" s="252"/>
      <c r="AD253" s="252"/>
    </row>
    <row r="254">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c r="AA254" s="252"/>
      <c r="AB254" s="252"/>
      <c r="AC254" s="252"/>
      <c r="AD254" s="252"/>
    </row>
    <row r="255">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c r="AA255" s="252"/>
      <c r="AB255" s="252"/>
      <c r="AC255" s="252"/>
      <c r="AD255" s="252"/>
    </row>
    <row r="256">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c r="AA256" s="252"/>
      <c r="AB256" s="252"/>
      <c r="AC256" s="252"/>
      <c r="AD256" s="252"/>
    </row>
    <row r="257">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c r="AA257" s="252"/>
      <c r="AB257" s="252"/>
      <c r="AC257" s="252"/>
      <c r="AD257" s="252"/>
    </row>
    <row r="258">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c r="AA258" s="252"/>
      <c r="AB258" s="252"/>
      <c r="AC258" s="252"/>
      <c r="AD258" s="252"/>
    </row>
    <row r="259">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c r="AA259" s="252"/>
      <c r="AB259" s="252"/>
      <c r="AC259" s="252"/>
      <c r="AD259" s="252"/>
    </row>
    <row r="260">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c r="AA260" s="252"/>
      <c r="AB260" s="252"/>
      <c r="AC260" s="252"/>
      <c r="AD260" s="252"/>
    </row>
    <row r="26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c r="AA261" s="252"/>
      <c r="AB261" s="252"/>
      <c r="AC261" s="252"/>
      <c r="AD261" s="252"/>
    </row>
    <row r="26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c r="AA262" s="252"/>
      <c r="AB262" s="252"/>
      <c r="AC262" s="252"/>
      <c r="AD262" s="252"/>
    </row>
    <row r="263">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c r="AA263" s="252"/>
      <c r="AB263" s="252"/>
      <c r="AC263" s="252"/>
      <c r="AD263" s="252"/>
    </row>
    <row r="264">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c r="AA264" s="252"/>
      <c r="AB264" s="252"/>
      <c r="AC264" s="252"/>
      <c r="AD264" s="252"/>
    </row>
    <row r="265">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c r="AD265" s="252"/>
    </row>
    <row r="266">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c r="AD266" s="252"/>
    </row>
    <row r="267">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c r="AD267" s="252"/>
    </row>
    <row r="268">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c r="AD268" s="252"/>
    </row>
    <row r="269">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c r="AD269" s="252"/>
    </row>
    <row r="270">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c r="AD270" s="252"/>
    </row>
    <row r="27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c r="AD271" s="252"/>
    </row>
    <row r="27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c r="AD272" s="252"/>
    </row>
    <row r="273">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c r="AD273" s="252"/>
    </row>
    <row r="274">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c r="AD274" s="252"/>
    </row>
    <row r="275">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c r="AD275" s="252"/>
    </row>
    <row r="276">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c r="AD276" s="252"/>
    </row>
    <row r="277">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c r="AD277" s="252"/>
    </row>
    <row r="278">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c r="AD278" s="252"/>
    </row>
    <row r="279">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c r="AD279" s="252"/>
    </row>
    <row r="280">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c r="AD280" s="252"/>
    </row>
    <row r="28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c r="AD281" s="252"/>
    </row>
    <row r="28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c r="AD282" s="252"/>
    </row>
    <row r="283">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c r="AD283" s="252"/>
    </row>
    <row r="284">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row>
    <row r="285">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c r="AD285" s="252"/>
    </row>
    <row r="286">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c r="AD286" s="252"/>
    </row>
    <row r="287">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c r="AD287" s="252"/>
    </row>
    <row r="288">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c r="AD288" s="252"/>
    </row>
    <row r="289">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c r="AD289" s="252"/>
    </row>
    <row r="290">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c r="AD290" s="252"/>
    </row>
    <row r="29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c r="AD291" s="252"/>
    </row>
    <row r="29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c r="AD292" s="252"/>
    </row>
    <row r="293">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c r="AD293" s="252"/>
    </row>
    <row r="294">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row>
    <row r="295">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c r="AD295" s="252"/>
    </row>
    <row r="296">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c r="AD296" s="252"/>
    </row>
    <row r="297">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c r="AD297" s="252"/>
    </row>
    <row r="298">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c r="AD298" s="252"/>
    </row>
    <row r="299">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c r="AD299" s="252"/>
    </row>
    <row r="300">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c r="AD300" s="252"/>
    </row>
    <row r="30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c r="AD301" s="252"/>
    </row>
    <row r="30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c r="AD302" s="252"/>
    </row>
    <row r="303">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c r="AD303" s="252"/>
    </row>
    <row r="304">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c r="AD304" s="252"/>
    </row>
    <row r="305">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c r="AD305" s="252"/>
    </row>
    <row r="306">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c r="AD306" s="252"/>
    </row>
    <row r="307">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c r="AD307" s="252"/>
    </row>
    <row r="308">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c r="AD308" s="252"/>
    </row>
    <row r="309">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c r="AD309" s="252"/>
    </row>
    <row r="310">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c r="AD310" s="252"/>
    </row>
    <row r="31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c r="AD311" s="252"/>
    </row>
    <row r="3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c r="AD312" s="252"/>
    </row>
    <row r="313">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c r="AD313" s="252"/>
    </row>
    <row r="314">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c r="AD314" s="252"/>
    </row>
    <row r="315">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c r="AD315" s="252"/>
    </row>
    <row r="316">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c r="AD316" s="252"/>
    </row>
    <row r="317">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c r="AD317" s="252"/>
    </row>
    <row r="318">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c r="AD318" s="252"/>
    </row>
    <row r="319">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row>
    <row r="320">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c r="AD320" s="252"/>
    </row>
    <row r="32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c r="AD321" s="252"/>
    </row>
    <row r="32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c r="AD322" s="252"/>
    </row>
    <row r="323">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c r="AD323" s="252"/>
    </row>
    <row r="324">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c r="AD324" s="252"/>
    </row>
    <row r="325">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c r="AD325" s="252"/>
    </row>
    <row r="326">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c r="AD326" s="252"/>
    </row>
    <row r="327">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c r="AD327" s="252"/>
    </row>
    <row r="328">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c r="AD328" s="252"/>
    </row>
    <row r="329">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row>
    <row r="330">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c r="AD330" s="252"/>
    </row>
    <row r="33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c r="AD331" s="252"/>
    </row>
    <row r="33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row>
    <row r="333">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c r="AD333" s="252"/>
    </row>
    <row r="334">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c r="AD334" s="252"/>
    </row>
    <row r="335">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c r="AD335" s="252"/>
    </row>
    <row r="336">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c r="AD336" s="252"/>
    </row>
    <row r="337">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c r="AD337" s="252"/>
    </row>
    <row r="338">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c r="AD338" s="252"/>
    </row>
    <row r="339">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c r="AD339" s="252"/>
    </row>
    <row r="340">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c r="AD340" s="252"/>
    </row>
    <row r="34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c r="AD341" s="252"/>
    </row>
    <row r="34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c r="AD342" s="252"/>
    </row>
    <row r="343">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c r="AD343" s="252"/>
    </row>
    <row r="344">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c r="AD344" s="252"/>
    </row>
    <row r="345">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row>
    <row r="346">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c r="AD346" s="252"/>
    </row>
    <row r="347">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c r="AD347" s="252"/>
    </row>
    <row r="348">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c r="AD348" s="252"/>
    </row>
    <row r="349">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c r="AD349" s="252"/>
    </row>
    <row r="350">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c r="AD350" s="252"/>
    </row>
    <row r="35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c r="AD351" s="252"/>
    </row>
    <row r="35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c r="AD352" s="252"/>
    </row>
    <row r="353">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c r="AD353" s="252"/>
    </row>
    <row r="354">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c r="AD354" s="252"/>
    </row>
    <row r="355">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c r="AD355" s="252"/>
    </row>
    <row r="356">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c r="AD356" s="252"/>
    </row>
    <row r="357">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c r="AD357" s="252"/>
    </row>
    <row r="358">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c r="AD358" s="252"/>
    </row>
    <row r="359">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c r="AD359" s="252"/>
    </row>
    <row r="360">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c r="AD360" s="252"/>
    </row>
    <row r="36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c r="AD361" s="252"/>
    </row>
    <row r="36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c r="AD362" s="252"/>
    </row>
    <row r="363">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c r="AD363" s="252"/>
    </row>
    <row r="364">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c r="AD364" s="252"/>
    </row>
    <row r="365">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c r="AD365" s="252"/>
    </row>
    <row r="366">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c r="AD366" s="252"/>
    </row>
    <row r="367">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c r="AD367" s="252"/>
    </row>
    <row r="368">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c r="AD368" s="252"/>
    </row>
    <row r="369">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c r="AD369" s="252"/>
    </row>
    <row r="370">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c r="AD370" s="252"/>
    </row>
    <row r="37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c r="AD371" s="252"/>
    </row>
    <row r="37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c r="AD372" s="252"/>
    </row>
    <row r="373">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c r="AD373" s="252"/>
    </row>
    <row r="374">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c r="AD374" s="252"/>
    </row>
    <row r="375">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row>
    <row r="376">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c r="AD376" s="252"/>
    </row>
    <row r="377">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c r="AD377" s="252"/>
    </row>
    <row r="378">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c r="AD378" s="252"/>
    </row>
    <row r="379">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c r="AD379" s="252"/>
    </row>
    <row r="380">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c r="AD380" s="252"/>
    </row>
    <row r="38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c r="AD381" s="252"/>
    </row>
    <row r="38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c r="AD382" s="252"/>
    </row>
    <row r="383">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c r="AD383" s="252"/>
    </row>
    <row r="384">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c r="AD384" s="252"/>
    </row>
    <row r="385">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c r="AD385" s="252"/>
    </row>
    <row r="386">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c r="AD386" s="252"/>
    </row>
    <row r="387">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c r="AD387" s="252"/>
    </row>
    <row r="388">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c r="AD388" s="252"/>
    </row>
    <row r="389">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c r="AD389" s="252"/>
    </row>
    <row r="390">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c r="AD390" s="252"/>
    </row>
    <row r="39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c r="AD391" s="252"/>
    </row>
    <row r="39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c r="AD392" s="252"/>
    </row>
    <row r="393">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c r="AD393" s="252"/>
    </row>
    <row r="394">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c r="AD394" s="252"/>
    </row>
    <row r="395">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c r="AD395" s="252"/>
    </row>
    <row r="396">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c r="AD396" s="252"/>
    </row>
    <row r="397">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c r="AD397" s="252"/>
    </row>
    <row r="398">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c r="AD398" s="252"/>
    </row>
    <row r="399">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c r="AD399" s="252"/>
    </row>
    <row r="400">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c r="AD400" s="252"/>
    </row>
    <row r="40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c r="AD401" s="252"/>
    </row>
    <row r="40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c r="AD402" s="252"/>
    </row>
    <row r="403">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c r="AD403" s="252"/>
    </row>
    <row r="404">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c r="AD404" s="252"/>
    </row>
    <row r="405">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c r="AD405" s="252"/>
    </row>
    <row r="406">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row>
    <row r="407">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c r="AD407" s="252"/>
    </row>
    <row r="408">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c r="AD408" s="252"/>
    </row>
    <row r="409">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c r="AD409" s="252"/>
    </row>
    <row r="410">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c r="AD410" s="252"/>
    </row>
    <row r="41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c r="AD411" s="252"/>
    </row>
    <row r="4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c r="AD412" s="252"/>
    </row>
    <row r="413">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c r="AD413" s="252"/>
    </row>
    <row r="414">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c r="AD414" s="252"/>
    </row>
    <row r="415">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c r="AD415" s="252"/>
    </row>
    <row r="416">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c r="AD416" s="252"/>
    </row>
    <row r="417">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c r="AD417" s="252"/>
    </row>
    <row r="418">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c r="AD418" s="252"/>
    </row>
    <row r="419">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c r="AD419" s="252"/>
    </row>
    <row r="420">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c r="AD420" s="252"/>
    </row>
    <row r="42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c r="AD421" s="252"/>
    </row>
    <row r="42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c r="AD422" s="252"/>
    </row>
    <row r="423">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c r="AD423" s="252"/>
    </row>
    <row r="424">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c r="AD424" s="252"/>
    </row>
    <row r="425">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c r="AD425" s="252"/>
    </row>
    <row r="426">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c r="AD426" s="252"/>
    </row>
    <row r="427">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c r="AD427" s="252"/>
    </row>
    <row r="428">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c r="AD428" s="252"/>
    </row>
    <row r="429">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c r="AD429" s="252"/>
    </row>
    <row r="430">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c r="AD430" s="252"/>
    </row>
    <row r="43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c r="AD431" s="252"/>
    </row>
    <row r="43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c r="AD432" s="252"/>
    </row>
    <row r="433">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c r="AD433" s="252"/>
    </row>
    <row r="434">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c r="AD434" s="252"/>
    </row>
    <row r="435">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c r="AD435" s="252"/>
    </row>
    <row r="436">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c r="AD436" s="252"/>
    </row>
    <row r="437">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c r="AD437" s="252"/>
    </row>
    <row r="438">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c r="AD438" s="252"/>
    </row>
    <row r="439">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c r="AD439" s="252"/>
    </row>
    <row r="440">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c r="AD440" s="252"/>
    </row>
    <row r="44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c r="AD441" s="252"/>
    </row>
    <row r="44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c r="AD442" s="252"/>
    </row>
    <row r="443">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c r="AD443" s="252"/>
    </row>
    <row r="444">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c r="AD444" s="252"/>
    </row>
    <row r="445">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c r="AD445" s="252"/>
    </row>
    <row r="446">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c r="AD446" s="252"/>
    </row>
    <row r="447">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c r="AD447" s="252"/>
    </row>
    <row r="448">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c r="AD448" s="252"/>
    </row>
    <row r="449">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c r="AD449" s="252"/>
    </row>
    <row r="450">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c r="AD450" s="252"/>
    </row>
    <row r="45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c r="AD451" s="252"/>
    </row>
    <row r="45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c r="AD452" s="252"/>
    </row>
    <row r="453">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c r="AD453" s="252"/>
    </row>
    <row r="454">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c r="AD454" s="252"/>
    </row>
    <row r="455">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c r="AD455" s="252"/>
    </row>
    <row r="456">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c r="AD456" s="252"/>
    </row>
    <row r="457">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c r="AD457" s="252"/>
    </row>
    <row r="458">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c r="AD458" s="252"/>
    </row>
    <row r="459">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c r="AD459" s="252"/>
    </row>
    <row r="460">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c r="AD460" s="252"/>
    </row>
    <row r="46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c r="AD461" s="252"/>
    </row>
    <row r="46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c r="AD462" s="252"/>
    </row>
    <row r="463">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c r="AD463" s="252"/>
    </row>
    <row r="464">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c r="AD464" s="252"/>
    </row>
    <row r="465">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c r="AD465" s="252"/>
    </row>
    <row r="466">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c r="AD466" s="252"/>
    </row>
    <row r="467">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c r="AD467" s="252"/>
    </row>
    <row r="468">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c r="AD468" s="252"/>
    </row>
    <row r="469">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c r="AD469" s="252"/>
    </row>
    <row r="470">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c r="AD470" s="252"/>
    </row>
    <row r="47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c r="AD471" s="252"/>
    </row>
    <row r="47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c r="AD472" s="252"/>
    </row>
    <row r="473">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c r="AD473" s="252"/>
    </row>
    <row r="474">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c r="AD474" s="252"/>
    </row>
    <row r="475">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row>
    <row r="476">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c r="AD476" s="252"/>
    </row>
    <row r="477">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c r="AD477" s="252"/>
    </row>
    <row r="478">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c r="AD478" s="252"/>
    </row>
    <row r="479">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c r="AD479" s="252"/>
    </row>
    <row r="480">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c r="AD480" s="252"/>
    </row>
    <row r="48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c r="AD481" s="252"/>
    </row>
    <row r="48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c r="AD482" s="252"/>
    </row>
    <row r="483">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c r="AD483" s="252"/>
    </row>
    <row r="484">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row>
    <row r="485">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c r="AD485" s="252"/>
    </row>
    <row r="486">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c r="AD486" s="252"/>
    </row>
    <row r="487">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c r="AD487" s="252"/>
    </row>
    <row r="488">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c r="AD488" s="252"/>
    </row>
    <row r="489">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c r="AD489" s="252"/>
    </row>
    <row r="490">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c r="AD490" s="252"/>
    </row>
    <row r="49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c r="AD491" s="252"/>
    </row>
    <row r="49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c r="AD492" s="252"/>
    </row>
    <row r="493">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c r="AD493" s="252"/>
    </row>
    <row r="494">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c r="AD494" s="252"/>
    </row>
    <row r="495">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c r="AD495" s="252"/>
    </row>
    <row r="496">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c r="AD496" s="252"/>
    </row>
    <row r="497">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c r="AD497" s="252"/>
    </row>
    <row r="498">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c r="AD498" s="252"/>
    </row>
    <row r="499">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c r="AD499" s="252"/>
    </row>
    <row r="500">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c r="AD500" s="252"/>
    </row>
    <row r="50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c r="AD501" s="252"/>
    </row>
    <row r="50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c r="AD502" s="252"/>
    </row>
    <row r="503">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c r="AD503" s="252"/>
    </row>
    <row r="504">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c r="AD504" s="252"/>
    </row>
    <row r="505">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c r="AD505" s="252"/>
    </row>
    <row r="506">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row>
    <row r="507">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c r="AD507" s="252"/>
    </row>
    <row r="508">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c r="AD508" s="252"/>
    </row>
    <row r="509">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c r="AD509" s="252"/>
    </row>
    <row r="510">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c r="AD510" s="252"/>
    </row>
    <row r="51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c r="AD511" s="252"/>
    </row>
    <row r="5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c r="AD512" s="252"/>
    </row>
    <row r="513">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c r="AD513" s="252"/>
    </row>
    <row r="514">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c r="AD514" s="252"/>
    </row>
    <row r="515">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c r="AD515" s="252"/>
    </row>
    <row r="516">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c r="AD516" s="252"/>
    </row>
    <row r="517">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c r="AD517" s="252"/>
    </row>
    <row r="518">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c r="AD518" s="252"/>
    </row>
    <row r="519">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c r="AD519" s="252"/>
    </row>
    <row r="520">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c r="AD520" s="252"/>
    </row>
    <row r="52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c r="AD521" s="252"/>
    </row>
    <row r="52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c r="AD522" s="252"/>
    </row>
    <row r="523">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c r="AD523" s="252"/>
    </row>
    <row r="524">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c r="AD524" s="252"/>
    </row>
    <row r="525">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c r="AD525" s="252"/>
    </row>
    <row r="526">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c r="AD526" s="252"/>
    </row>
    <row r="527">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c r="AD527" s="252"/>
    </row>
    <row r="528">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c r="AD528" s="252"/>
    </row>
    <row r="529">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c r="AD529" s="252"/>
    </row>
    <row r="530">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c r="AD530" s="252"/>
    </row>
    <row r="53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c r="AD531" s="252"/>
    </row>
    <row r="53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c r="AD532" s="252"/>
    </row>
    <row r="533">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c r="AD533" s="252"/>
    </row>
    <row r="534">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c r="AD534" s="252"/>
    </row>
    <row r="535">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c r="AD535" s="252"/>
    </row>
    <row r="536">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c r="AD536" s="252"/>
    </row>
    <row r="537">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c r="AD537" s="252"/>
    </row>
    <row r="538">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c r="AD538" s="252"/>
    </row>
    <row r="539">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c r="AD539" s="252"/>
    </row>
    <row r="540">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row>
    <row r="54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c r="AD541" s="252"/>
    </row>
    <row r="54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c r="AD542" s="252"/>
    </row>
    <row r="543">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c r="AD543" s="252"/>
    </row>
    <row r="544">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c r="AD544" s="252"/>
    </row>
    <row r="545">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c r="AD545" s="252"/>
    </row>
    <row r="546">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c r="AD546" s="252"/>
    </row>
    <row r="547">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c r="AD547" s="252"/>
    </row>
    <row r="548">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c r="AD548" s="252"/>
    </row>
    <row r="549">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c r="AD549" s="252"/>
    </row>
    <row r="550">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c r="AD550" s="252"/>
    </row>
    <row r="55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c r="AD551" s="252"/>
    </row>
    <row r="55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c r="AD552" s="252"/>
    </row>
    <row r="553">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c r="AD553" s="252"/>
    </row>
    <row r="554">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c r="AD554" s="252"/>
    </row>
    <row r="555">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c r="AD555" s="252"/>
    </row>
    <row r="556">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c r="AD556" s="252"/>
    </row>
    <row r="557">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c r="AD557" s="252"/>
    </row>
    <row r="558">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c r="AD558" s="252"/>
    </row>
    <row r="559">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c r="AD559" s="252"/>
    </row>
    <row r="560">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c r="AD560" s="252"/>
    </row>
    <row r="56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c r="AD561" s="252"/>
    </row>
    <row r="56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c r="AD562" s="252"/>
    </row>
    <row r="563">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c r="AD563" s="252"/>
    </row>
    <row r="564">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c r="AD564" s="252"/>
    </row>
    <row r="565">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c r="AD565" s="252"/>
    </row>
    <row r="566">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c r="AD566" s="252"/>
    </row>
    <row r="567">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c r="AD567" s="252"/>
    </row>
    <row r="568">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c r="AD568" s="252"/>
    </row>
    <row r="569">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c r="AD569" s="252"/>
    </row>
    <row r="570">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c r="AD570" s="252"/>
    </row>
    <row r="57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c r="AD571" s="252"/>
    </row>
    <row r="57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c r="AD572" s="252"/>
    </row>
    <row r="573">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c r="AD573" s="252"/>
    </row>
    <row r="574">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c r="AD574" s="252"/>
    </row>
    <row r="575">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c r="AD575" s="252"/>
    </row>
    <row r="576">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c r="AD576" s="252"/>
    </row>
    <row r="577">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c r="AD577" s="252"/>
    </row>
    <row r="578">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c r="AD578" s="252"/>
    </row>
    <row r="579">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c r="AD579" s="252"/>
    </row>
    <row r="580">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c r="AD580" s="252"/>
    </row>
    <row r="58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c r="AD581" s="252"/>
    </row>
    <row r="58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c r="AD582" s="252"/>
    </row>
    <row r="583">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c r="AD583" s="252"/>
    </row>
    <row r="584">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c r="AD584" s="252"/>
    </row>
    <row r="585">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c r="AD585" s="252"/>
    </row>
    <row r="586">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c r="AD586" s="252"/>
    </row>
    <row r="587">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c r="AD587" s="252"/>
    </row>
    <row r="588">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c r="AD588" s="252"/>
    </row>
    <row r="589">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c r="AD589" s="252"/>
    </row>
    <row r="590">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c r="AD590" s="252"/>
    </row>
    <row r="59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c r="AD591" s="252"/>
    </row>
    <row r="59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c r="AD592" s="252"/>
    </row>
    <row r="593">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c r="AD593" s="252"/>
    </row>
    <row r="594">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c r="AD594" s="252"/>
    </row>
    <row r="595">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c r="AD595" s="252"/>
    </row>
    <row r="596">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c r="AD596" s="252"/>
    </row>
    <row r="597">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c r="AD597" s="252"/>
    </row>
    <row r="598">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c r="AD598" s="252"/>
    </row>
    <row r="599">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c r="AD599" s="252"/>
    </row>
    <row r="600">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c r="AD600" s="252"/>
    </row>
    <row r="60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c r="AD601" s="252"/>
    </row>
    <row r="60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c r="AD602" s="252"/>
    </row>
    <row r="603">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c r="AD603" s="252"/>
    </row>
    <row r="604">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c r="AD604" s="252"/>
    </row>
    <row r="605">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c r="AD605" s="252"/>
    </row>
    <row r="606">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c r="AD606" s="252"/>
    </row>
    <row r="607">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c r="AD607" s="252"/>
    </row>
    <row r="608">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c r="AD608" s="252"/>
    </row>
    <row r="609">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c r="AD609" s="252"/>
    </row>
    <row r="610">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c r="AD610" s="252"/>
    </row>
    <row r="61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c r="AD611" s="252"/>
    </row>
    <row r="6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c r="AD612" s="252"/>
    </row>
    <row r="613">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c r="AD613" s="252"/>
    </row>
    <row r="614">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c r="AD614" s="252"/>
    </row>
    <row r="615">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c r="AD615" s="252"/>
    </row>
    <row r="616">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c r="AD616" s="252"/>
    </row>
    <row r="617">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c r="AD617" s="252"/>
    </row>
    <row r="618">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c r="AD618" s="252"/>
    </row>
    <row r="619">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c r="AD619" s="252"/>
    </row>
    <row r="620">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c r="AD620" s="252"/>
    </row>
    <row r="62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c r="AD621" s="252"/>
    </row>
    <row r="62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c r="AD622" s="252"/>
    </row>
    <row r="623">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c r="AD623" s="252"/>
    </row>
    <row r="624">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c r="AD624" s="252"/>
    </row>
    <row r="625">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c r="AD625" s="252"/>
    </row>
    <row r="626">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c r="AD626" s="252"/>
    </row>
    <row r="627">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c r="AD627" s="252"/>
    </row>
    <row r="628">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c r="AD628" s="252"/>
    </row>
    <row r="629">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c r="AD629" s="252"/>
    </row>
    <row r="630">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c r="AD630" s="252"/>
    </row>
    <row r="63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c r="AD631" s="252"/>
    </row>
    <row r="63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c r="AD632" s="252"/>
    </row>
    <row r="633">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c r="AD633" s="252"/>
    </row>
    <row r="634">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c r="AD634" s="252"/>
    </row>
    <row r="635">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c r="AD635" s="252"/>
    </row>
    <row r="636">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c r="AD636" s="252"/>
    </row>
    <row r="637">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c r="AD637" s="252"/>
    </row>
    <row r="638">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c r="AD638" s="252"/>
    </row>
    <row r="639">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c r="AD639" s="252"/>
    </row>
    <row r="640">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c r="AD640" s="252"/>
    </row>
    <row r="64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c r="AD641" s="252"/>
    </row>
    <row r="64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c r="AD642" s="252"/>
    </row>
    <row r="643">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c r="AD643" s="252"/>
    </row>
    <row r="644">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c r="AD644" s="252"/>
    </row>
    <row r="645">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c r="AD645" s="252"/>
    </row>
    <row r="646">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c r="AD646" s="252"/>
    </row>
    <row r="647">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c r="AD647" s="252"/>
    </row>
    <row r="648">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c r="AD648" s="252"/>
    </row>
    <row r="649">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c r="AD649" s="252"/>
    </row>
    <row r="650">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c r="AD650" s="252"/>
    </row>
    <row r="65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c r="AD651" s="252"/>
    </row>
    <row r="65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c r="AD652" s="252"/>
    </row>
    <row r="653">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c r="AD653" s="252"/>
    </row>
    <row r="654">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c r="AD654" s="252"/>
    </row>
    <row r="655">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c r="AD655" s="252"/>
    </row>
    <row r="656">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c r="AD656" s="252"/>
    </row>
    <row r="657">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c r="AD657" s="252"/>
    </row>
    <row r="658">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c r="AD658" s="252"/>
    </row>
    <row r="659">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c r="AD659" s="252"/>
    </row>
    <row r="660">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c r="AD660" s="252"/>
    </row>
    <row r="66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c r="AD661" s="252"/>
    </row>
    <row r="66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c r="AD662" s="252"/>
    </row>
    <row r="663">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c r="AD663" s="252"/>
    </row>
    <row r="664">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c r="AD664" s="252"/>
    </row>
    <row r="665">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c r="AD665" s="252"/>
    </row>
    <row r="666">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c r="AD666" s="252"/>
    </row>
    <row r="667">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c r="AD667" s="252"/>
    </row>
    <row r="668">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c r="AD668" s="252"/>
    </row>
    <row r="669">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c r="AD669" s="252"/>
    </row>
    <row r="670">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c r="AD670" s="252"/>
    </row>
    <row r="67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c r="AD671" s="252"/>
    </row>
    <row r="67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c r="AD672" s="252"/>
    </row>
    <row r="673">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c r="AD673" s="252"/>
    </row>
    <row r="674">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c r="AD674" s="252"/>
    </row>
    <row r="675">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c r="AD675" s="252"/>
    </row>
    <row r="676">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c r="AD676" s="252"/>
    </row>
    <row r="677">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c r="AD677" s="252"/>
    </row>
    <row r="678">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c r="AD678" s="252"/>
    </row>
    <row r="679">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c r="AD679" s="252"/>
    </row>
    <row r="680">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c r="AD680" s="252"/>
    </row>
    <row r="68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c r="AD681" s="252"/>
    </row>
    <row r="68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c r="AD682" s="252"/>
    </row>
    <row r="683">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c r="AD683" s="252"/>
    </row>
    <row r="684">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c r="AD684" s="252"/>
    </row>
    <row r="685">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c r="AD685" s="252"/>
    </row>
    <row r="686">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c r="AD686" s="252"/>
    </row>
    <row r="687">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c r="AD687" s="252"/>
    </row>
    <row r="688">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c r="AD688" s="252"/>
    </row>
    <row r="689">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c r="AD689" s="252"/>
    </row>
    <row r="690">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c r="AD690" s="252"/>
    </row>
    <row r="69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c r="AD691" s="252"/>
    </row>
    <row r="69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c r="AD692" s="252"/>
    </row>
    <row r="693">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c r="AD693" s="252"/>
    </row>
    <row r="694">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c r="AD694" s="252"/>
    </row>
    <row r="695">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c r="AD695" s="252"/>
    </row>
    <row r="696">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c r="AD696" s="252"/>
    </row>
    <row r="697">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c r="AD697" s="252"/>
    </row>
    <row r="698">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c r="AD698" s="252"/>
    </row>
    <row r="699">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c r="AD699" s="252"/>
    </row>
    <row r="700">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c r="AD700" s="252"/>
    </row>
    <row r="70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c r="AD701" s="252"/>
    </row>
    <row r="70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c r="AD702" s="252"/>
    </row>
    <row r="703">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c r="AD703" s="252"/>
    </row>
    <row r="704">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c r="AD704" s="252"/>
    </row>
    <row r="705">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c r="AD705" s="252"/>
    </row>
    <row r="706">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c r="AD706" s="252"/>
    </row>
    <row r="707">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c r="AD707" s="252"/>
    </row>
    <row r="708">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c r="AD708" s="252"/>
    </row>
    <row r="709">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c r="AD709" s="252"/>
    </row>
    <row r="710">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c r="AD710" s="252"/>
    </row>
    <row r="71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c r="AD711" s="252"/>
    </row>
    <row r="7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c r="AD712" s="252"/>
    </row>
    <row r="713">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c r="AD713" s="252"/>
    </row>
    <row r="714">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c r="AD714" s="252"/>
    </row>
    <row r="715">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c r="AD715" s="252"/>
    </row>
    <row r="716">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c r="AD716" s="252"/>
    </row>
    <row r="717">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c r="AD717" s="252"/>
    </row>
    <row r="718">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c r="AD718" s="252"/>
    </row>
    <row r="719">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c r="AD719" s="252"/>
    </row>
    <row r="720">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c r="AD720" s="252"/>
    </row>
    <row r="72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c r="AD721" s="252"/>
    </row>
    <row r="72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c r="AD722" s="252"/>
    </row>
    <row r="723">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c r="AD723" s="252"/>
    </row>
    <row r="724">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c r="AD724" s="252"/>
    </row>
    <row r="725">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c r="AD725" s="252"/>
    </row>
    <row r="726">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c r="AD726" s="252"/>
    </row>
    <row r="727">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c r="AD727" s="252"/>
    </row>
    <row r="728">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c r="AD728" s="252"/>
    </row>
    <row r="729">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c r="AD729" s="252"/>
    </row>
    <row r="730">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c r="AD730" s="252"/>
    </row>
    <row r="73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c r="AD731" s="252"/>
    </row>
    <row r="73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c r="AD732" s="252"/>
    </row>
    <row r="733">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c r="AD733" s="252"/>
    </row>
    <row r="734">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c r="AD734" s="252"/>
    </row>
    <row r="735">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c r="AD735" s="252"/>
    </row>
    <row r="736">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c r="AD736" s="252"/>
    </row>
    <row r="737">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c r="AD737" s="252"/>
    </row>
    <row r="738">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c r="AD738" s="252"/>
    </row>
    <row r="739">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c r="AD739" s="252"/>
    </row>
    <row r="740">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c r="AD740" s="252"/>
    </row>
    <row r="74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c r="AD741" s="252"/>
    </row>
    <row r="74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c r="AD742" s="252"/>
    </row>
    <row r="743">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c r="AD743" s="252"/>
    </row>
    <row r="744">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c r="AD744" s="252"/>
    </row>
    <row r="745">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c r="AD745" s="252"/>
    </row>
    <row r="746">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c r="AD746" s="252"/>
    </row>
    <row r="747">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c r="AD747" s="252"/>
    </row>
    <row r="748">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c r="AD748" s="252"/>
    </row>
    <row r="749">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c r="AD749" s="252"/>
    </row>
    <row r="750">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c r="AD750" s="252"/>
    </row>
    <row r="75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c r="AD751" s="252"/>
    </row>
    <row r="75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c r="AD752" s="252"/>
    </row>
    <row r="753">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c r="AD753" s="252"/>
    </row>
    <row r="754">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c r="AD754" s="252"/>
    </row>
    <row r="755">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c r="AD755" s="252"/>
    </row>
    <row r="756">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c r="AD756" s="252"/>
    </row>
    <row r="757">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c r="AD757" s="252"/>
    </row>
    <row r="758">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c r="AD758" s="252"/>
    </row>
    <row r="759">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c r="AD759" s="252"/>
    </row>
    <row r="760">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c r="AD760" s="252"/>
    </row>
    <row r="76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c r="AD761" s="252"/>
    </row>
    <row r="76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c r="AD762" s="252"/>
    </row>
    <row r="763">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c r="AD763" s="252"/>
    </row>
    <row r="764">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c r="AD764" s="252"/>
    </row>
    <row r="765">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c r="AD765" s="252"/>
    </row>
    <row r="766">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c r="AD766" s="252"/>
    </row>
    <row r="767">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c r="AD767" s="252"/>
    </row>
    <row r="768">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c r="AD768" s="252"/>
    </row>
    <row r="769">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c r="AD769" s="252"/>
    </row>
    <row r="770">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c r="AD770" s="252"/>
    </row>
    <row r="77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c r="AD771" s="252"/>
    </row>
    <row r="77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c r="AD772" s="252"/>
    </row>
    <row r="773">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c r="AD773" s="252"/>
    </row>
    <row r="774">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c r="AD774" s="252"/>
    </row>
    <row r="775">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c r="AD775" s="252"/>
    </row>
    <row r="776">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c r="AD776" s="252"/>
    </row>
    <row r="777">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c r="AD777" s="252"/>
    </row>
    <row r="778">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c r="AD778" s="252"/>
    </row>
    <row r="779">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c r="AD779" s="252"/>
    </row>
    <row r="780">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c r="AD780" s="252"/>
    </row>
    <row r="78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c r="AD781" s="252"/>
    </row>
    <row r="78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c r="AD782" s="252"/>
    </row>
    <row r="783">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c r="AD783" s="252"/>
    </row>
    <row r="784">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c r="AD784" s="252"/>
    </row>
    <row r="785">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c r="AD785" s="252"/>
    </row>
    <row r="786">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c r="AD786" s="252"/>
    </row>
    <row r="787">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c r="AD787" s="252"/>
    </row>
    <row r="788">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c r="AD788" s="252"/>
    </row>
    <row r="789">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c r="AD789" s="252"/>
    </row>
    <row r="790">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c r="AD790" s="252"/>
    </row>
    <row r="79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c r="AD791" s="252"/>
    </row>
    <row r="79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c r="AD792" s="252"/>
    </row>
    <row r="793">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c r="AD793" s="252"/>
    </row>
    <row r="794">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c r="AD794" s="252"/>
    </row>
    <row r="795">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c r="AD795" s="252"/>
    </row>
    <row r="796">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c r="AD796" s="252"/>
    </row>
    <row r="797">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c r="AD797" s="252"/>
    </row>
    <row r="798">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c r="AD798" s="252"/>
    </row>
    <row r="799">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c r="AD799" s="252"/>
    </row>
    <row r="800">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c r="AD800" s="252"/>
    </row>
    <row r="80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c r="AD801" s="252"/>
    </row>
    <row r="80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c r="AD802" s="252"/>
    </row>
    <row r="803">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c r="AD803" s="252"/>
    </row>
    <row r="804">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c r="AD804" s="252"/>
    </row>
    <row r="805">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c r="AD805" s="252"/>
    </row>
    <row r="806">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c r="AD806" s="252"/>
    </row>
    <row r="807">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c r="AD807" s="252"/>
    </row>
    <row r="808">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c r="AD808" s="252"/>
    </row>
    <row r="809">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c r="AD809" s="252"/>
    </row>
    <row r="810">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c r="AD810" s="252"/>
    </row>
    <row r="81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c r="AD811" s="252"/>
    </row>
    <row r="8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c r="AD812" s="252"/>
    </row>
    <row r="813">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c r="AD813" s="252"/>
    </row>
    <row r="814">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c r="AD814" s="252"/>
    </row>
    <row r="815">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c r="AD815" s="252"/>
    </row>
    <row r="816">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c r="AD816" s="252"/>
    </row>
    <row r="817">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c r="AD817" s="252"/>
    </row>
    <row r="818">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c r="AD818" s="252"/>
    </row>
    <row r="819">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c r="AD819" s="252"/>
    </row>
    <row r="820">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c r="AD820" s="252"/>
    </row>
    <row r="82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c r="AD821" s="252"/>
    </row>
    <row r="82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c r="AD822" s="252"/>
    </row>
    <row r="823">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c r="AD823" s="252"/>
    </row>
    <row r="824">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c r="AD824" s="252"/>
    </row>
    <row r="825">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c r="AD825" s="252"/>
    </row>
    <row r="826">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c r="AD826" s="252"/>
    </row>
    <row r="827">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c r="AD827" s="252"/>
    </row>
    <row r="828">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c r="AD828" s="252"/>
    </row>
    <row r="829">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c r="AD829" s="252"/>
    </row>
    <row r="830">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c r="AD830" s="252"/>
    </row>
    <row r="83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c r="AD831" s="252"/>
    </row>
    <row r="83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c r="AD832" s="252"/>
    </row>
    <row r="833">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c r="AD833" s="252"/>
    </row>
    <row r="834">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c r="AD834" s="252"/>
    </row>
    <row r="835">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c r="AD835" s="252"/>
    </row>
    <row r="836">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c r="AD836" s="252"/>
    </row>
    <row r="837">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c r="AD837" s="252"/>
    </row>
    <row r="838">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c r="AD838" s="252"/>
    </row>
    <row r="839">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c r="AD839" s="252"/>
    </row>
    <row r="840">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c r="AD840" s="252"/>
    </row>
    <row r="84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c r="AD841" s="252"/>
    </row>
    <row r="84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c r="AD842" s="252"/>
    </row>
    <row r="843">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c r="AD843" s="252"/>
    </row>
    <row r="844">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c r="AD844" s="252"/>
    </row>
    <row r="845">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c r="AD845" s="252"/>
    </row>
    <row r="846">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c r="AD846" s="252"/>
    </row>
    <row r="847">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c r="AD847" s="252"/>
    </row>
    <row r="848">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c r="AD848" s="252"/>
    </row>
    <row r="849">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c r="AD849" s="252"/>
    </row>
    <row r="850">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c r="AD850" s="252"/>
    </row>
    <row r="85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c r="AD851" s="252"/>
    </row>
    <row r="85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c r="AD852" s="252"/>
    </row>
    <row r="853">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c r="AD853" s="252"/>
    </row>
    <row r="854">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c r="AD854" s="252"/>
    </row>
    <row r="855">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c r="AD855" s="252"/>
    </row>
    <row r="856">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c r="AD856" s="252"/>
    </row>
    <row r="857">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c r="AD857" s="252"/>
    </row>
    <row r="858">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c r="AD858" s="252"/>
    </row>
    <row r="859">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c r="AD859" s="252"/>
    </row>
    <row r="860">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c r="AD860" s="252"/>
    </row>
    <row r="86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c r="AD861" s="252"/>
    </row>
    <row r="86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c r="AD862" s="252"/>
    </row>
    <row r="863">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c r="AD863" s="252"/>
    </row>
    <row r="864">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c r="AD864" s="252"/>
    </row>
    <row r="865">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c r="AD865" s="252"/>
    </row>
    <row r="866">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c r="AD866" s="252"/>
    </row>
    <row r="867">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c r="AD867" s="252"/>
    </row>
    <row r="868">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c r="AD868" s="252"/>
    </row>
    <row r="869">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c r="AD869" s="252"/>
    </row>
    <row r="870">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c r="AD870" s="252"/>
    </row>
    <row r="87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c r="AD871" s="252"/>
    </row>
    <row r="87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c r="AD872" s="252"/>
    </row>
    <row r="873">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c r="AD873" s="252"/>
    </row>
    <row r="874">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c r="AD874" s="252"/>
    </row>
    <row r="875">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c r="AD875" s="252"/>
    </row>
    <row r="876">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c r="AD876" s="252"/>
    </row>
    <row r="877">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c r="AD877" s="252"/>
    </row>
    <row r="878">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c r="AD878" s="252"/>
    </row>
    <row r="879">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c r="AD879" s="252"/>
    </row>
    <row r="880">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c r="AD880" s="252"/>
    </row>
    <row r="88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c r="AD881" s="252"/>
    </row>
    <row r="88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c r="AD882" s="252"/>
    </row>
    <row r="883">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c r="AD883" s="252"/>
    </row>
    <row r="884">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c r="AD884" s="252"/>
    </row>
    <row r="885">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c r="AD885" s="252"/>
    </row>
    <row r="886">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c r="AD886" s="252"/>
    </row>
    <row r="887">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c r="AD887" s="252"/>
    </row>
    <row r="888">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c r="AD888" s="252"/>
    </row>
    <row r="889">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c r="AD889" s="252"/>
    </row>
    <row r="890">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c r="AD890" s="252"/>
    </row>
    <row r="89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c r="AD891" s="252"/>
    </row>
    <row r="89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c r="AD892" s="252"/>
    </row>
    <row r="893">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c r="AD893" s="252"/>
    </row>
    <row r="894">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c r="AD894" s="252"/>
    </row>
    <row r="895">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c r="AD895" s="252"/>
    </row>
    <row r="896">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c r="AD896" s="252"/>
    </row>
    <row r="897">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c r="AD897" s="252"/>
    </row>
    <row r="898">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c r="AD898" s="252"/>
    </row>
    <row r="899">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c r="AD899" s="252"/>
    </row>
    <row r="900">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c r="AD900" s="252"/>
    </row>
    <row r="90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c r="AD901" s="252"/>
    </row>
    <row r="90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c r="AD902" s="252"/>
    </row>
    <row r="903">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c r="AD903" s="252"/>
    </row>
    <row r="904">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c r="AD904" s="252"/>
    </row>
    <row r="905">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c r="AD905" s="252"/>
    </row>
    <row r="906">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c r="AD906" s="252"/>
    </row>
    <row r="907">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c r="AD907" s="252"/>
    </row>
    <row r="908">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c r="AD908" s="252"/>
    </row>
    <row r="909">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c r="AD909" s="252"/>
    </row>
    <row r="910">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c r="AD910" s="252"/>
    </row>
    <row r="91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c r="AD911" s="252"/>
    </row>
    <row r="9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c r="AD912" s="252"/>
    </row>
    <row r="913">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c r="AD913" s="252"/>
    </row>
    <row r="914">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c r="AD914" s="252"/>
    </row>
    <row r="915">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c r="AD915" s="252"/>
    </row>
    <row r="916">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c r="AD916" s="252"/>
    </row>
    <row r="917">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c r="AD917" s="252"/>
    </row>
    <row r="918">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c r="AD918" s="252"/>
    </row>
    <row r="919">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c r="AD919" s="252"/>
    </row>
    <row r="920">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c r="AD920" s="252"/>
    </row>
    <row r="92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c r="AD921" s="252"/>
    </row>
    <row r="92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c r="AD922" s="252"/>
    </row>
    <row r="923">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c r="AD923" s="252"/>
    </row>
    <row r="924">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c r="AD924" s="252"/>
    </row>
    <row r="925">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c r="AD925" s="252"/>
    </row>
    <row r="926">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c r="AD926" s="252"/>
    </row>
    <row r="927">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c r="AD927" s="252"/>
    </row>
    <row r="928">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c r="AD928" s="252"/>
    </row>
    <row r="929">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c r="AD929" s="252"/>
    </row>
    <row r="930">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c r="AD930" s="252"/>
    </row>
    <row r="93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c r="AD931" s="252"/>
    </row>
    <row r="93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c r="AD932" s="252"/>
    </row>
    <row r="933">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c r="AD933" s="252"/>
    </row>
    <row r="934">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c r="AD934" s="252"/>
    </row>
    <row r="935">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c r="AD935" s="252"/>
    </row>
    <row r="936">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c r="AD936" s="252"/>
    </row>
    <row r="937">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c r="AD937" s="252"/>
    </row>
    <row r="938">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c r="AD938" s="252"/>
    </row>
    <row r="939">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c r="AD939" s="252"/>
    </row>
    <row r="940">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c r="AD940" s="252"/>
    </row>
    <row r="94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c r="AD941" s="252"/>
    </row>
    <row r="94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c r="AD942" s="252"/>
    </row>
    <row r="943">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c r="AD943" s="252"/>
    </row>
    <row r="944">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c r="AD944" s="252"/>
    </row>
    <row r="945">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c r="AD945" s="252"/>
    </row>
    <row r="946">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c r="AD946" s="252"/>
    </row>
    <row r="947">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c r="AD947" s="252"/>
    </row>
    <row r="948">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c r="AD948" s="252"/>
    </row>
    <row r="949">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c r="AD949" s="252"/>
    </row>
    <row r="950">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c r="AD950" s="252"/>
    </row>
    <row r="95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c r="AD951" s="252"/>
    </row>
    <row r="952">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c r="AD952" s="252"/>
    </row>
    <row r="953">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c r="AD953" s="252"/>
    </row>
    <row r="954">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c r="AD954" s="252"/>
    </row>
    <row r="955">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c r="AD955" s="252"/>
    </row>
    <row r="956">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c r="AD956" s="252"/>
    </row>
    <row r="957">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c r="AD957" s="252"/>
    </row>
    <row r="958">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c r="AD958" s="252"/>
    </row>
    <row r="959">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c r="AD959" s="252"/>
    </row>
    <row r="960">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c r="AD960" s="252"/>
    </row>
    <row r="96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c r="AD961" s="252"/>
    </row>
    <row r="962">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c r="AD962" s="252"/>
    </row>
    <row r="963">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c r="AD963" s="252"/>
    </row>
    <row r="964">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c r="AD964" s="252"/>
    </row>
    <row r="965">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c r="AD965" s="252"/>
    </row>
    <row r="966">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c r="AD966" s="252"/>
    </row>
    <row r="967">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c r="AD967" s="252"/>
    </row>
    <row r="968">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c r="AD968" s="252"/>
    </row>
    <row r="969">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c r="AD969" s="252"/>
    </row>
    <row r="970">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c r="AD970" s="252"/>
    </row>
    <row r="97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c r="AD971" s="252"/>
    </row>
    <row r="972">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c r="AD972" s="252"/>
    </row>
    <row r="973">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c r="AD973" s="252"/>
    </row>
    <row r="974">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c r="AD974" s="252"/>
    </row>
    <row r="975">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c r="AD975" s="252"/>
    </row>
    <row r="976">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c r="AD976" s="252"/>
    </row>
    <row r="977">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c r="AD977" s="252"/>
    </row>
    <row r="978">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c r="AD978" s="252"/>
    </row>
    <row r="979">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c r="AD979" s="252"/>
    </row>
    <row r="980">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c r="AD980" s="252"/>
    </row>
    <row r="98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c r="AD981" s="252"/>
    </row>
    <row r="982">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c r="AD982" s="252"/>
    </row>
    <row r="983">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c r="AD983" s="252"/>
    </row>
    <row r="984">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c r="AD984" s="252"/>
    </row>
    <row r="985">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c r="AD985" s="252"/>
    </row>
    <row r="986">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c r="AD986" s="252"/>
    </row>
    <row r="987">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c r="AD987" s="252"/>
    </row>
    <row r="988">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c r="AD988" s="252"/>
    </row>
    <row r="989">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c r="AD989" s="252"/>
    </row>
    <row r="990">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row>
    <row r="99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c r="AD991" s="252"/>
    </row>
    <row r="992">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c r="AD992" s="252"/>
    </row>
    <row r="993">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c r="AD993" s="252"/>
    </row>
    <row r="994">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c r="AD994" s="252"/>
    </row>
    <row r="995">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c r="AD995" s="252"/>
    </row>
    <row r="996">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c r="AD996" s="252"/>
    </row>
    <row r="997">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c r="AD997" s="252"/>
    </row>
    <row r="998">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c r="AD998" s="252"/>
    </row>
    <row r="999">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c r="AD999" s="252"/>
    </row>
    <row r="1000">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c r="AD1000" s="2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189.0</v>
      </c>
      <c r="M24" s="22">
        <v>1155.0</v>
      </c>
      <c r="N24" s="22">
        <v>1229.0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1277.0</v>
      </c>
      <c r="N25" s="22">
        <v>1365.0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1536.0</v>
      </c>
      <c r="N26" s="22">
        <v>1649.0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1700.0</v>
      </c>
      <c r="N27" s="22">
        <v>1829.0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1933.0</v>
      </c>
      <c r="N28" s="22">
        <v>2081.0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169.0</v>
      </c>
      <c r="M29" s="22">
        <v>2102.0</v>
      </c>
      <c r="N29" s="22">
        <v>2278.0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171.0</v>
      </c>
      <c r="M30" s="22">
        <v>2273.0</v>
      </c>
      <c r="N30" s="22">
        <v>2490.0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2473.0</v>
      </c>
      <c r="N31" s="22">
        <v>2721.0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2713.0</v>
      </c>
      <c r="N32" s="22">
        <v>3025.0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3025.0</v>
      </c>
      <c r="N33" s="22">
        <v>3442.0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3209.0</v>
      </c>
      <c r="N34" s="22">
        <v>3704.0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3503.0</v>
      </c>
      <c r="N35" s="22">
        <v>4071.0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636.0</v>
      </c>
      <c r="M36" s="22">
        <v>4139.0</v>
      </c>
      <c r="N36" s="22">
        <v>4807.0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4572.0</v>
      </c>
      <c r="N37" s="22">
        <v>5302.0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702.0</v>
      </c>
      <c r="M38" s="22">
        <v>5274.0</v>
      </c>
      <c r="N38" s="22">
        <v>6104.0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612.0</v>
      </c>
      <c r="M39" s="22">
        <v>5886.0</v>
      </c>
      <c r="N39" s="22">
        <v>6854.0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1050.0</v>
      </c>
      <c r="M40" s="22">
        <v>6936.0</v>
      </c>
      <c r="N40" s="22">
        <v>8085.0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1534.0</v>
      </c>
      <c r="M41" s="22">
        <v>8470.0</v>
      </c>
      <c r="N41" s="22">
        <v>9826.0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1467.0</v>
      </c>
      <c r="M42" s="22">
        <v>9937.0</v>
      </c>
      <c r="N42" s="22">
        <v>11554.0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1535.0</v>
      </c>
      <c r="M43" s="22">
        <v>11472.0</v>
      </c>
      <c r="N43" s="22">
        <v>13360.0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1346.0</v>
      </c>
      <c r="M44" s="22">
        <v>12818.0</v>
      </c>
      <c r="N44" s="22">
        <v>14983.0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2340.0</v>
      </c>
      <c r="M45" s="22">
        <v>15158.0</v>
      </c>
      <c r="N45" s="22">
        <v>17723.0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1703.0</v>
      </c>
      <c r="M46" s="22">
        <v>16861.0</v>
      </c>
      <c r="N46" s="22">
        <v>19707.0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1416.0</v>
      </c>
      <c r="M47" s="22">
        <v>18277.0</v>
      </c>
      <c r="N47" s="22">
        <v>21408.0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832.0</v>
      </c>
      <c r="M48" s="22">
        <v>19109.0</v>
      </c>
      <c r="N48" s="22">
        <v>22427.0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1514.0</v>
      </c>
      <c r="M49" s="22">
        <v>20623.0</v>
      </c>
      <c r="N49" s="22">
        <v>24203.0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1530.0</v>
      </c>
      <c r="M50" s="22">
        <v>22153.0</v>
      </c>
      <c r="N50" s="22">
        <v>26039.0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2060.0</v>
      </c>
      <c r="M51" s="22">
        <v>24213.0</v>
      </c>
      <c r="N51" s="22">
        <v>28486.0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1426.0</v>
      </c>
      <c r="M52" s="22">
        <v>25639.0</v>
      </c>
      <c r="N52" s="22">
        <v>30202.0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1311.0</v>
      </c>
      <c r="M53" s="22">
        <v>26950.0</v>
      </c>
      <c r="N53" s="22">
        <v>31797.0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1723.0</v>
      </c>
      <c r="M54" s="22">
        <v>28673.0</v>
      </c>
      <c r="N54" s="22">
        <v>33857.0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1560.0</v>
      </c>
      <c r="M55" s="22">
        <v>30233.0</v>
      </c>
      <c r="N55" s="22">
        <v>35793.0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1684.0</v>
      </c>
      <c r="M56" s="22">
        <v>31917.0</v>
      </c>
      <c r="N56" s="22">
        <v>37860.0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1893.0</v>
      </c>
      <c r="M57" s="22">
        <v>33810.0</v>
      </c>
      <c r="N57" s="22">
        <v>40132.0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1837.0</v>
      </c>
      <c r="M58" s="22">
        <v>35647.0</v>
      </c>
      <c r="N58" s="22">
        <v>42381.0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2596.0</v>
      </c>
      <c r="M59" s="22">
        <v>38243.0</v>
      </c>
      <c r="N59" s="22">
        <v>45384.0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1743.0</v>
      </c>
      <c r="M60" s="22">
        <v>39986.0</v>
      </c>
      <c r="N60" s="22">
        <v>47427.0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1852.0</v>
      </c>
      <c r="M61" s="22">
        <v>41838.0</v>
      </c>
      <c r="N61" s="22">
        <v>49553.0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1150.0</v>
      </c>
      <c r="M62" s="22">
        <v>42988.0</v>
      </c>
      <c r="N62" s="22">
        <v>50909.0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1735.0</v>
      </c>
      <c r="M63" s="22">
        <v>44723.0</v>
      </c>
      <c r="N63" s="22">
        <v>52976.0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2398.0</v>
      </c>
      <c r="M64" s="22">
        <v>47121.0</v>
      </c>
      <c r="N64" s="22">
        <v>55745.0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1892.0</v>
      </c>
      <c r="M65" s="22">
        <v>49013.0</v>
      </c>
      <c r="N65" s="22">
        <v>57987.0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2140.0</v>
      </c>
      <c r="M66" s="22">
        <v>51153.0</v>
      </c>
      <c r="N66" s="22">
        <v>60450.0</v>
      </c>
      <c r="O66" s="23">
        <v>51.0</v>
      </c>
      <c r="P66" s="23">
        <v>1095.0</v>
      </c>
      <c r="Q66" s="23">
        <v>39.0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1255.0</v>
      </c>
      <c r="M67" s="22">
        <v>52408.0</v>
      </c>
      <c r="N67" s="22">
        <v>61897.0</v>
      </c>
      <c r="O67" s="23">
        <v>36.0</v>
      </c>
      <c r="P67" s="23">
        <v>1131.0</v>
      </c>
      <c r="Q67" s="23">
        <v>38.0</v>
      </c>
      <c r="R67" s="23">
        <v>650.0</v>
      </c>
      <c r="S67" s="23">
        <v>5.0</v>
      </c>
      <c r="T67" s="22">
        <v>127.0</v>
      </c>
      <c r="U67" s="22">
        <v>354.0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1551.0</v>
      </c>
      <c r="M68" s="22">
        <v>53959.0</v>
      </c>
      <c r="N68" s="22">
        <v>63631.0</v>
      </c>
      <c r="O68" s="23">
        <v>31.0</v>
      </c>
      <c r="P68" s="23">
        <v>1162.0</v>
      </c>
      <c r="Q68" s="23">
        <v>27.0</v>
      </c>
      <c r="R68" s="23">
        <v>677.0</v>
      </c>
      <c r="S68" s="23">
        <v>8.0</v>
      </c>
      <c r="T68" s="22">
        <v>135.0</v>
      </c>
      <c r="U68" s="22">
        <v>350.0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1540.0</v>
      </c>
      <c r="M69" s="22">
        <v>55499.0</v>
      </c>
      <c r="N69" s="22">
        <v>65461.0</v>
      </c>
      <c r="O69" s="23">
        <v>30.0</v>
      </c>
      <c r="P69" s="23">
        <v>1192.0</v>
      </c>
      <c r="Q69" s="23">
        <v>31.0</v>
      </c>
      <c r="R69" s="23">
        <v>708.0</v>
      </c>
      <c r="S69" s="23">
        <v>5.0</v>
      </c>
      <c r="T69" s="22">
        <v>140.0</v>
      </c>
      <c r="U69" s="22">
        <v>344.0</v>
      </c>
      <c r="V69" s="22">
        <v>349.0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1942.0</v>
      </c>
      <c r="M70" s="22">
        <v>57441.0</v>
      </c>
      <c r="N70" s="22">
        <v>67704.0</v>
      </c>
      <c r="O70" s="23">
        <v>29.0</v>
      </c>
      <c r="P70" s="23">
        <v>1221.0</v>
      </c>
      <c r="Q70" s="23">
        <v>32.0</v>
      </c>
      <c r="R70" s="23">
        <v>740.0</v>
      </c>
      <c r="S70" s="23">
        <v>6.0</v>
      </c>
      <c r="T70" s="22">
        <v>146.0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1902.0</v>
      </c>
      <c r="M71" s="22">
        <v>59343.0</v>
      </c>
      <c r="N71" s="22">
        <v>69946.0</v>
      </c>
      <c r="O71" s="23">
        <v>28.0</v>
      </c>
      <c r="P71" s="23">
        <v>1249.0</v>
      </c>
      <c r="Q71" s="23">
        <v>44.0</v>
      </c>
      <c r="R71" s="23">
        <v>784.0</v>
      </c>
      <c r="S71" s="23">
        <v>9.0</v>
      </c>
      <c r="T71" s="22">
        <v>155.0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1946.0</v>
      </c>
      <c r="M72" s="22">
        <v>61289.0</v>
      </c>
      <c r="N72" s="22">
        <v>72162.0</v>
      </c>
      <c r="O72" s="23">
        <v>36.0</v>
      </c>
      <c r="P72" s="23">
        <v>1285.0</v>
      </c>
      <c r="Q72" s="23">
        <v>43.0</v>
      </c>
      <c r="R72" s="23">
        <v>827.0</v>
      </c>
      <c r="S72" s="23">
        <v>5.0</v>
      </c>
      <c r="T72" s="22">
        <v>160.0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1725.0</v>
      </c>
      <c r="M73" s="22">
        <v>63014.0</v>
      </c>
      <c r="N73" s="22">
        <v>74116.0</v>
      </c>
      <c r="O73" s="23">
        <v>30.0</v>
      </c>
      <c r="P73" s="23">
        <v>1315.0</v>
      </c>
      <c r="Q73" s="23">
        <v>29.0</v>
      </c>
      <c r="R73" s="23">
        <v>856.0</v>
      </c>
      <c r="S73" s="23">
        <v>5.0</v>
      </c>
      <c r="T73" s="22">
        <v>165.0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2229.0</v>
      </c>
      <c r="M74" s="22">
        <v>65243.0</v>
      </c>
      <c r="N74" s="22">
        <v>76635.0</v>
      </c>
      <c r="O74" s="23">
        <v>22.0</v>
      </c>
      <c r="P74" s="23">
        <v>1337.0</v>
      </c>
      <c r="Q74" s="23">
        <v>21.0</v>
      </c>
      <c r="R74" s="23">
        <v>877.0</v>
      </c>
      <c r="S74" s="23">
        <v>4.0</v>
      </c>
      <c r="T74" s="22">
        <v>169.0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1507.0</v>
      </c>
      <c r="M75" s="22">
        <v>66750.0</v>
      </c>
      <c r="N75" s="22">
        <v>78331.0</v>
      </c>
      <c r="O75" s="23">
        <v>20.0</v>
      </c>
      <c r="P75" s="23">
        <v>1357.0</v>
      </c>
      <c r="Q75" s="23">
        <v>23.0</v>
      </c>
      <c r="R75" s="23">
        <v>900.0</v>
      </c>
      <c r="S75" s="23">
        <v>6.0</v>
      </c>
      <c r="T75" s="22">
        <v>175.0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1285.0</v>
      </c>
      <c r="M76" s="22">
        <v>68035.0</v>
      </c>
      <c r="N76" s="22">
        <v>79790.0</v>
      </c>
      <c r="O76" s="23">
        <v>31.0</v>
      </c>
      <c r="P76" s="23">
        <v>1388.0</v>
      </c>
      <c r="Q76" s="23">
        <v>16.0</v>
      </c>
      <c r="R76" s="23">
        <v>916.0</v>
      </c>
      <c r="S76" s="23">
        <v>6.0</v>
      </c>
      <c r="T76" s="22">
        <v>181.0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1691.0</v>
      </c>
      <c r="M77" s="22">
        <v>69726.0</v>
      </c>
      <c r="N77" s="22">
        <v>81705.0</v>
      </c>
      <c r="O77" s="23">
        <v>23.0</v>
      </c>
      <c r="P77" s="23">
        <v>1411.0</v>
      </c>
      <c r="Q77" s="23">
        <v>18.0</v>
      </c>
      <c r="R77" s="23">
        <v>934.0</v>
      </c>
      <c r="S77" s="23">
        <v>4.0</v>
      </c>
      <c r="T77" s="22">
        <v>185.0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1945.0</v>
      </c>
      <c r="M78" s="22">
        <v>71671.0</v>
      </c>
      <c r="N78" s="22">
        <v>83849.0</v>
      </c>
      <c r="O78" s="23">
        <v>23.0</v>
      </c>
      <c r="P78" s="23">
        <v>1434.0</v>
      </c>
      <c r="Q78" s="23">
        <v>25.0</v>
      </c>
      <c r="R78" s="23">
        <v>959.0</v>
      </c>
      <c r="S78" s="23">
        <v>1.0</v>
      </c>
      <c r="T78" s="22">
        <v>186.0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1997.0</v>
      </c>
      <c r="M79" s="22">
        <v>73668.0</v>
      </c>
      <c r="N79" s="22">
        <v>86078.0</v>
      </c>
      <c r="O79" s="23">
        <v>19.0</v>
      </c>
      <c r="P79" s="23">
        <v>1453.0</v>
      </c>
      <c r="Q79" s="23">
        <v>27.0</v>
      </c>
      <c r="R79" s="23">
        <v>986.0</v>
      </c>
      <c r="S79" s="23">
        <v>3.0</v>
      </c>
      <c r="T79" s="22">
        <v>189.0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1789.0</v>
      </c>
      <c r="M80" s="22">
        <v>75457.0</v>
      </c>
      <c r="N80" s="22">
        <v>88099.0</v>
      </c>
      <c r="O80" s="23">
        <v>24.0</v>
      </c>
      <c r="P80" s="23">
        <v>1477.0</v>
      </c>
      <c r="Q80" s="23">
        <v>41.0</v>
      </c>
      <c r="R80" s="23">
        <v>1027.0</v>
      </c>
      <c r="S80" s="23">
        <v>5.0</v>
      </c>
      <c r="T80" s="22">
        <v>194.0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1935.0</v>
      </c>
      <c r="M81" s="22">
        <v>77392.0</v>
      </c>
      <c r="N81" s="22">
        <v>90281.0</v>
      </c>
      <c r="O81" s="23">
        <v>25.0</v>
      </c>
      <c r="P81" s="23">
        <v>1502.0</v>
      </c>
      <c r="Q81" s="23">
        <v>15.0</v>
      </c>
      <c r="R81" s="23">
        <v>1042.0</v>
      </c>
      <c r="S81" s="23">
        <v>5.0</v>
      </c>
      <c r="T81" s="22">
        <v>199.0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1527.0</v>
      </c>
      <c r="M82" s="22">
        <v>78919.0</v>
      </c>
      <c r="N82" s="22">
        <v>91934.0</v>
      </c>
      <c r="O82" s="23">
        <v>17.0</v>
      </c>
      <c r="P82" s="23">
        <v>1519.0</v>
      </c>
      <c r="Q82" s="23">
        <v>9.0</v>
      </c>
      <c r="R82" s="23">
        <v>1051.0</v>
      </c>
      <c r="S82" s="23">
        <v>5.0</v>
      </c>
      <c r="T82" s="22">
        <v>204.0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1360.0</v>
      </c>
      <c r="M83" s="22">
        <v>80279.0</v>
      </c>
      <c r="N83" s="22">
        <v>93429.0</v>
      </c>
      <c r="O83" s="23">
        <v>19.0</v>
      </c>
      <c r="P83" s="23">
        <v>1538.0</v>
      </c>
      <c r="Q83" s="23">
        <v>16.0</v>
      </c>
      <c r="R83" s="23">
        <v>1067.0</v>
      </c>
      <c r="S83" s="23">
        <v>5.0</v>
      </c>
      <c r="T83" s="22">
        <v>209.0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1911.0</v>
      </c>
      <c r="M84" s="22">
        <v>82190.0</v>
      </c>
      <c r="N84" s="22">
        <v>95555.0</v>
      </c>
      <c r="O84" s="23">
        <v>23.0</v>
      </c>
      <c r="P84" s="23">
        <v>1561.0</v>
      </c>
      <c r="Q84" s="23">
        <v>33.0</v>
      </c>
      <c r="R84" s="23">
        <v>1100.0</v>
      </c>
      <c r="S84" s="23">
        <v>5.0</v>
      </c>
      <c r="T84" s="22">
        <v>214.0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1507.0</v>
      </c>
      <c r="M85" s="22">
        <v>83697.0</v>
      </c>
      <c r="N85" s="22">
        <v>97245.0</v>
      </c>
      <c r="O85" s="23">
        <v>19.0</v>
      </c>
      <c r="P85" s="23">
        <v>1580.0</v>
      </c>
      <c r="Q85" s="23">
        <v>23.0</v>
      </c>
      <c r="R85" s="23">
        <v>1123.0</v>
      </c>
      <c r="S85" s="23">
        <v>7.0</v>
      </c>
      <c r="T85" s="22">
        <v>221.0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1921.0</v>
      </c>
      <c r="M86" s="22">
        <v>85618.0</v>
      </c>
      <c r="N86" s="22">
        <v>99334.0</v>
      </c>
      <c r="O86" s="23">
        <v>26.0</v>
      </c>
      <c r="P86" s="23">
        <v>1606.0</v>
      </c>
      <c r="Q86" s="23">
        <v>15.0</v>
      </c>
      <c r="R86" s="23">
        <v>1138.0</v>
      </c>
      <c r="S86" s="23">
        <v>3.0</v>
      </c>
      <c r="T86" s="22">
        <v>224.0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1600.0</v>
      </c>
      <c r="M87" s="22">
        <v>87218.0</v>
      </c>
      <c r="N87" s="22">
        <v>101140.0</v>
      </c>
      <c r="O87" s="23">
        <v>20.0</v>
      </c>
      <c r="P87" s="23">
        <v>1626.0</v>
      </c>
      <c r="Q87" s="23">
        <v>29.0</v>
      </c>
      <c r="R87" s="23">
        <v>1167.0</v>
      </c>
      <c r="S87" s="23">
        <v>5.0</v>
      </c>
      <c r="T87" s="22">
        <v>229.0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1262.0</v>
      </c>
      <c r="M88" s="22">
        <v>88480.0</v>
      </c>
      <c r="N88" s="22">
        <v>102511.0</v>
      </c>
      <c r="O88" s="23">
        <v>19.0</v>
      </c>
      <c r="P88" s="23">
        <v>1645.0</v>
      </c>
      <c r="Q88" s="23">
        <v>11.0</v>
      </c>
      <c r="R88" s="23">
        <v>1178.0</v>
      </c>
      <c r="S88" s="23">
        <v>3.0</v>
      </c>
      <c r="T88" s="22">
        <v>232.0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770.0</v>
      </c>
      <c r="M89" s="22">
        <v>89250.0</v>
      </c>
      <c r="N89" s="22">
        <v>103364.0</v>
      </c>
      <c r="O89" s="23">
        <v>13.0</v>
      </c>
      <c r="P89" s="23">
        <v>1658.0</v>
      </c>
      <c r="Q89" s="23">
        <v>14.0</v>
      </c>
      <c r="R89" s="23">
        <v>1192.0</v>
      </c>
      <c r="S89" s="23">
        <v>2.0</v>
      </c>
      <c r="T89" s="22">
        <v>234.0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759.0</v>
      </c>
      <c r="M90" s="22">
        <v>90009.0</v>
      </c>
      <c r="N90" s="22">
        <v>104199.0</v>
      </c>
      <c r="O90" s="23">
        <v>14.0</v>
      </c>
      <c r="P90" s="23">
        <v>1672.0</v>
      </c>
      <c r="Q90" s="23">
        <v>14.0</v>
      </c>
      <c r="R90" s="23">
        <v>1206.0</v>
      </c>
      <c r="S90" s="23">
        <v>0.0</v>
      </c>
      <c r="T90" s="22">
        <v>234.0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1772.0</v>
      </c>
      <c r="M91" s="22">
        <v>91781.0</v>
      </c>
      <c r="N91" s="22">
        <v>106129.0</v>
      </c>
      <c r="O91" s="23">
        <v>24.0</v>
      </c>
      <c r="P91" s="23">
        <v>1696.0</v>
      </c>
      <c r="Q91" s="23">
        <v>22.0</v>
      </c>
      <c r="R91" s="23">
        <v>1228.0</v>
      </c>
      <c r="S91" s="23">
        <v>5.0</v>
      </c>
      <c r="T91" s="22">
        <v>239.0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1126.0</v>
      </c>
      <c r="M92" s="22">
        <v>92907.0</v>
      </c>
      <c r="N92" s="22">
        <v>107387.0</v>
      </c>
      <c r="O92" s="23">
        <v>20.0</v>
      </c>
      <c r="P92" s="23">
        <v>1716.0</v>
      </c>
      <c r="Q92" s="23">
        <v>18.0</v>
      </c>
      <c r="R92" s="23">
        <v>1246.0</v>
      </c>
      <c r="S92" s="23">
        <v>3.0</v>
      </c>
      <c r="T92" s="22">
        <v>242.0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1111.0</v>
      </c>
      <c r="M93" s="22">
        <v>94018.0</v>
      </c>
      <c r="N93" s="22">
        <v>108628.0</v>
      </c>
      <c r="O93" s="23">
        <v>17.0</v>
      </c>
      <c r="P93" s="23">
        <v>1733.0</v>
      </c>
      <c r="Q93" s="23">
        <v>29.0</v>
      </c>
      <c r="R93" s="23">
        <v>1275.0</v>
      </c>
      <c r="S93" s="23">
        <v>4.0</v>
      </c>
      <c r="T93" s="22">
        <v>246.0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1565.0</v>
      </c>
      <c r="M94" s="22">
        <v>95583.0</v>
      </c>
      <c r="N94" s="22">
        <v>110367.0</v>
      </c>
      <c r="O94" s="23">
        <v>19.0</v>
      </c>
      <c r="P94" s="23">
        <v>1752.0</v>
      </c>
      <c r="Q94" s="23">
        <v>27.0</v>
      </c>
      <c r="R94" s="23">
        <v>1302.0</v>
      </c>
      <c r="S94" s="23">
        <v>6.0</v>
      </c>
      <c r="T94" s="22">
        <v>252.0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1809.0</v>
      </c>
      <c r="M95" s="22">
        <v>97392.0</v>
      </c>
      <c r="N95" s="22">
        <v>112285.0</v>
      </c>
      <c r="O95" s="23">
        <v>16.0</v>
      </c>
      <c r="P95" s="23">
        <v>1768.0</v>
      </c>
      <c r="Q95" s="23">
        <v>19.0</v>
      </c>
      <c r="R95" s="23">
        <v>1321.0</v>
      </c>
      <c r="S95" s="23">
        <v>4.0</v>
      </c>
      <c r="T95" s="22">
        <v>256.0</v>
      </c>
      <c r="U95" s="22">
        <v>191.0</v>
      </c>
      <c r="V95" s="22">
        <v>200.0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14971.0</v>
      </c>
      <c r="L96" s="22">
        <v>851.0</v>
      </c>
      <c r="M96" s="22">
        <v>98243.0</v>
      </c>
      <c r="N96" s="22">
        <v>113214.0</v>
      </c>
      <c r="O96" s="23">
        <v>11.0</v>
      </c>
      <c r="P96" s="23">
        <v>1779.0</v>
      </c>
      <c r="Q96" s="23">
        <v>10.0</v>
      </c>
      <c r="R96" s="23">
        <v>1331.0</v>
      </c>
      <c r="S96" s="23">
        <v>1.0</v>
      </c>
      <c r="T96" s="22">
        <v>257.0</v>
      </c>
      <c r="U96" s="22">
        <v>191.0</v>
      </c>
      <c r="V96" s="22">
        <v>193.0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15064.0</v>
      </c>
      <c r="L97" s="22">
        <v>1375.0</v>
      </c>
      <c r="M97" s="22">
        <v>99618.0</v>
      </c>
      <c r="N97" s="22">
        <v>114682.0</v>
      </c>
      <c r="O97" s="26">
        <v>8.0</v>
      </c>
      <c r="P97" s="26">
        <v>1787.0</v>
      </c>
      <c r="Q97" s="26">
        <v>14.0</v>
      </c>
      <c r="R97" s="26">
        <v>1345.0</v>
      </c>
      <c r="S97" s="26">
        <v>1.0</v>
      </c>
      <c r="T97" s="26">
        <v>258.0</v>
      </c>
      <c r="U97" s="26">
        <v>184.0</v>
      </c>
      <c r="V97" s="22">
        <v>189.0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15162.0</v>
      </c>
      <c r="L98" s="22">
        <v>1431.0</v>
      </c>
      <c r="M98" s="22">
        <v>101049.0</v>
      </c>
      <c r="N98" s="22">
        <v>116211.0</v>
      </c>
      <c r="O98" s="26">
        <v>8.0</v>
      </c>
      <c r="P98" s="26">
        <v>1795.0</v>
      </c>
      <c r="Q98" s="26">
        <v>10.0</v>
      </c>
      <c r="R98" s="26">
        <v>1355.0</v>
      </c>
      <c r="S98" s="26">
        <v>3.0</v>
      </c>
      <c r="T98" s="26">
        <v>261.0</v>
      </c>
      <c r="U98" s="26">
        <v>179.0</v>
      </c>
      <c r="V98" s="22">
        <v>185.0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15261.0</v>
      </c>
      <c r="L99" s="22">
        <v>1648.0</v>
      </c>
      <c r="M99" s="22">
        <v>102697.0</v>
      </c>
      <c r="N99" s="22">
        <v>117958.0</v>
      </c>
      <c r="O99" s="26">
        <v>14.0</v>
      </c>
      <c r="P99" s="26">
        <v>1809.0</v>
      </c>
      <c r="Q99" s="26">
        <v>18.0</v>
      </c>
      <c r="R99" s="26">
        <v>1373.0</v>
      </c>
      <c r="S99" s="26">
        <v>6.0</v>
      </c>
      <c r="T99" s="26">
        <v>267.0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15368.0</v>
      </c>
      <c r="L100" s="22">
        <v>2027.0</v>
      </c>
      <c r="M100" s="22">
        <v>104724.0</v>
      </c>
      <c r="N100" s="22">
        <v>120092.0</v>
      </c>
      <c r="O100" s="26">
        <v>7.0</v>
      </c>
      <c r="P100" s="26">
        <v>1816.0</v>
      </c>
      <c r="Q100" s="26">
        <v>26.0</v>
      </c>
      <c r="R100" s="26">
        <v>1399.0</v>
      </c>
      <c r="S100" s="26">
        <v>4.0</v>
      </c>
      <c r="T100" s="26">
        <v>271.0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15467.0</v>
      </c>
      <c r="L101" s="22">
        <v>1565.0</v>
      </c>
      <c r="M101" s="22">
        <v>106289.0</v>
      </c>
      <c r="N101" s="22">
        <v>121756.0</v>
      </c>
      <c r="O101" s="26">
        <v>15.0</v>
      </c>
      <c r="P101" s="26">
        <v>1831.0</v>
      </c>
      <c r="Q101" s="26">
        <v>13.0</v>
      </c>
      <c r="R101" s="26">
        <v>1412.0</v>
      </c>
      <c r="S101" s="26">
        <v>6.0</v>
      </c>
      <c r="T101" s="26">
        <v>277.0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15534.0</v>
      </c>
      <c r="L102" s="22">
        <v>1117.0</v>
      </c>
      <c r="M102" s="22">
        <v>107406.0</v>
      </c>
      <c r="N102" s="22">
        <v>122940.0</v>
      </c>
      <c r="O102" s="26">
        <v>10.0</v>
      </c>
      <c r="P102" s="26">
        <v>1841.0</v>
      </c>
      <c r="Q102" s="26">
        <v>7.0</v>
      </c>
      <c r="R102" s="26">
        <v>1419.0</v>
      </c>
      <c r="S102" s="26">
        <v>2.0</v>
      </c>
      <c r="T102" s="26">
        <v>279.0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15585.0</v>
      </c>
      <c r="L103" s="22">
        <v>779.0</v>
      </c>
      <c r="M103" s="22">
        <v>108185.0</v>
      </c>
      <c r="N103" s="22">
        <v>123770.0</v>
      </c>
      <c r="O103" s="26">
        <v>11.0</v>
      </c>
      <c r="P103" s="26">
        <v>1852.0</v>
      </c>
      <c r="Q103" s="26">
        <v>7.0</v>
      </c>
      <c r="R103" s="26">
        <v>1426.0</v>
      </c>
      <c r="S103" s="26">
        <v>1.0</v>
      </c>
      <c r="T103" s="26">
        <v>280.0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15630.0</v>
      </c>
      <c r="L104" s="28">
        <v>952.0</v>
      </c>
      <c r="M104" s="28">
        <v>109137.0</v>
      </c>
      <c r="N104" s="28">
        <v>124767.0</v>
      </c>
      <c r="O104" s="28">
        <v>15.0</v>
      </c>
      <c r="P104" s="30">
        <v>1867.0</v>
      </c>
      <c r="Q104" s="30">
        <v>12.0</v>
      </c>
      <c r="R104" s="30">
        <v>1438.0</v>
      </c>
      <c r="S104" s="30">
        <v>2.0</v>
      </c>
      <c r="T104" s="30">
        <v>282.0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15694.0</v>
      </c>
      <c r="L105" s="28">
        <v>1249.0</v>
      </c>
      <c r="M105" s="28">
        <v>110386.0</v>
      </c>
      <c r="N105" s="28">
        <v>126080.0</v>
      </c>
      <c r="O105" s="28">
        <v>10.0</v>
      </c>
      <c r="P105" s="30">
        <v>1877.0</v>
      </c>
      <c r="Q105" s="30">
        <v>19.0</v>
      </c>
      <c r="R105" s="30">
        <v>1457.0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15795.0</v>
      </c>
      <c r="L106" s="28">
        <v>1456.0</v>
      </c>
      <c r="M106" s="28">
        <v>111842.0</v>
      </c>
      <c r="N106" s="28">
        <v>127637.0</v>
      </c>
      <c r="O106" s="28">
        <v>13.0</v>
      </c>
      <c r="P106" s="30">
        <v>1890.0</v>
      </c>
      <c r="Q106" s="30">
        <v>12.0</v>
      </c>
      <c r="R106" s="30">
        <v>1469.0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15883.0</v>
      </c>
      <c r="L107" s="28">
        <v>1522.0</v>
      </c>
      <c r="M107" s="28">
        <v>113364.0</v>
      </c>
      <c r="N107" s="28">
        <v>129247.0</v>
      </c>
      <c r="O107" s="28">
        <v>7.0</v>
      </c>
      <c r="P107" s="30">
        <v>1897.0</v>
      </c>
      <c r="Q107" s="30">
        <v>15.0</v>
      </c>
      <c r="R107" s="30">
        <v>1484.0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15961.0</v>
      </c>
      <c r="L108" s="28">
        <v>2164.0</v>
      </c>
      <c r="M108" s="28">
        <v>115528.0</v>
      </c>
      <c r="N108" s="28">
        <v>131489.0</v>
      </c>
      <c r="O108" s="28">
        <v>9.0</v>
      </c>
      <c r="P108" s="30">
        <v>1906.0</v>
      </c>
      <c r="Q108" s="30">
        <v>16.0</v>
      </c>
      <c r="R108" s="30">
        <v>1500.0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16010.0</v>
      </c>
      <c r="L109" s="28">
        <v>1362.0</v>
      </c>
      <c r="M109" s="28">
        <v>116890.0</v>
      </c>
      <c r="N109" s="28">
        <v>132900.0</v>
      </c>
      <c r="O109" s="28">
        <v>6.0</v>
      </c>
      <c r="P109" s="30">
        <v>1912.0</v>
      </c>
      <c r="Q109" s="30">
        <v>5.0</v>
      </c>
      <c r="R109" s="30">
        <v>1505.0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16043.0</v>
      </c>
      <c r="L110" s="28">
        <v>963.0</v>
      </c>
      <c r="M110" s="28">
        <v>117853.0</v>
      </c>
      <c r="N110" s="28">
        <v>133896.0</v>
      </c>
      <c r="O110" s="28">
        <v>7.0</v>
      </c>
      <c r="P110" s="30">
        <v>1919.0</v>
      </c>
      <c r="Q110" s="30">
        <v>8.0</v>
      </c>
      <c r="R110" s="30">
        <v>1513.0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16118.0</v>
      </c>
      <c r="L111" s="28">
        <v>1777.0</v>
      </c>
      <c r="M111" s="28">
        <v>119630.0</v>
      </c>
      <c r="N111" s="28">
        <v>135748.0</v>
      </c>
      <c r="O111" s="28">
        <v>14.0</v>
      </c>
      <c r="P111" s="30">
        <v>1933.0</v>
      </c>
      <c r="Q111" s="30">
        <v>19.0</v>
      </c>
      <c r="R111" s="30">
        <v>1532.0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16168.0</v>
      </c>
      <c r="L112" s="28">
        <v>1527.0</v>
      </c>
      <c r="M112" s="28">
        <v>121157.0</v>
      </c>
      <c r="N112" s="28">
        <v>137325.0</v>
      </c>
      <c r="O112" s="28">
        <v>11.0</v>
      </c>
      <c r="P112" s="30">
        <v>1944.0</v>
      </c>
      <c r="Q112" s="30">
        <v>9.0</v>
      </c>
      <c r="R112" s="30">
        <v>1541.0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16218.0</v>
      </c>
      <c r="L113" s="28">
        <v>1310.0</v>
      </c>
      <c r="M113" s="28">
        <v>122467.0</v>
      </c>
      <c r="N113" s="28">
        <v>138685.0</v>
      </c>
      <c r="O113" s="28">
        <v>15.0</v>
      </c>
      <c r="P113" s="30">
        <v>1959.0</v>
      </c>
      <c r="Q113" s="30">
        <v>22.0</v>
      </c>
      <c r="R113" s="30">
        <v>1563.0</v>
      </c>
      <c r="S113" s="30">
        <v>4.0</v>
      </c>
      <c r="T113" s="30">
        <v>292.0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16288.0</v>
      </c>
      <c r="L114" s="28">
        <v>1308.0</v>
      </c>
      <c r="M114" s="28">
        <v>123775.0</v>
      </c>
      <c r="N114" s="28">
        <v>140063.0</v>
      </c>
      <c r="O114" s="28">
        <v>9.0</v>
      </c>
      <c r="P114" s="30">
        <v>1968.0</v>
      </c>
      <c r="Q114" s="30">
        <v>15.0</v>
      </c>
      <c r="R114" s="30">
        <v>1578.0</v>
      </c>
      <c r="S114" s="30">
        <v>1.0</v>
      </c>
      <c r="T114" s="30">
        <v>293.0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16347.0</v>
      </c>
      <c r="L115" s="28">
        <v>1355.0</v>
      </c>
      <c r="M115" s="28">
        <v>125130.0</v>
      </c>
      <c r="N115" s="28">
        <v>141477.0</v>
      </c>
      <c r="O115" s="28">
        <v>12.0</v>
      </c>
      <c r="P115" s="30">
        <v>1980.0</v>
      </c>
      <c r="Q115" s="30">
        <v>12.0</v>
      </c>
      <c r="R115" s="30">
        <v>1590.0</v>
      </c>
      <c r="S115" s="30">
        <v>1.0</v>
      </c>
      <c r="T115" s="30">
        <v>294.0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16383.0</v>
      </c>
      <c r="L116" s="28">
        <v>810.0</v>
      </c>
      <c r="M116" s="28">
        <v>125940.0</v>
      </c>
      <c r="N116" s="28">
        <v>142323.0</v>
      </c>
      <c r="O116" s="28">
        <v>9.0</v>
      </c>
      <c r="P116" s="30">
        <v>1989.0</v>
      </c>
      <c r="Q116" s="30">
        <v>12.0</v>
      </c>
      <c r="R116" s="30">
        <v>1602.0</v>
      </c>
      <c r="S116" s="30">
        <v>0.0</v>
      </c>
      <c r="T116" s="30">
        <v>294.0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30.0</v>
      </c>
      <c r="J117" s="28">
        <v>42.0</v>
      </c>
      <c r="K117" s="28">
        <v>16413.0</v>
      </c>
      <c r="L117" s="28">
        <v>687.0</v>
      </c>
      <c r="M117" s="28">
        <v>126627.0</v>
      </c>
      <c r="N117" s="28">
        <v>143040.0</v>
      </c>
      <c r="O117" s="28">
        <v>8.0</v>
      </c>
      <c r="P117" s="30">
        <v>1997.0</v>
      </c>
      <c r="Q117" s="30">
        <v>5.0</v>
      </c>
      <c r="R117" s="30">
        <v>1607.0</v>
      </c>
      <c r="S117" s="30">
        <v>0.0</v>
      </c>
      <c r="T117" s="30">
        <v>294.0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44.0</v>
      </c>
      <c r="K118" s="28">
        <v>16478.0</v>
      </c>
      <c r="L118" s="28">
        <v>1697.0</v>
      </c>
      <c r="M118" s="28">
        <v>128324.0</v>
      </c>
      <c r="N118" s="28">
        <v>144802.0</v>
      </c>
      <c r="O118" s="28">
        <v>12.0</v>
      </c>
      <c r="P118" s="30">
        <v>2009.0</v>
      </c>
      <c r="Q118" s="30">
        <v>16.0</v>
      </c>
      <c r="R118" s="30">
        <v>1623.0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59.0</v>
      </c>
      <c r="K119" s="28">
        <v>16559.0</v>
      </c>
      <c r="L119" s="28">
        <v>1770.0</v>
      </c>
      <c r="M119" s="28">
        <v>130094.0</v>
      </c>
      <c r="N119" s="28">
        <v>146653.0</v>
      </c>
      <c r="O119" s="28">
        <v>3.0</v>
      </c>
      <c r="P119" s="30">
        <v>2012.0</v>
      </c>
      <c r="Q119" s="30">
        <v>13.0</v>
      </c>
      <c r="R119" s="30">
        <v>1636.0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16603.0</v>
      </c>
      <c r="L120" s="28">
        <v>1675.0</v>
      </c>
      <c r="M120" s="28">
        <v>131769.0</v>
      </c>
      <c r="N120" s="28">
        <v>148372.0</v>
      </c>
      <c r="O120" s="28">
        <v>9.0</v>
      </c>
      <c r="P120" s="30">
        <v>2021.0</v>
      </c>
      <c r="Q120" s="30">
        <v>11.0</v>
      </c>
      <c r="R120" s="30">
        <v>1647.0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16653.0</v>
      </c>
      <c r="L121" s="28">
        <v>1497.0</v>
      </c>
      <c r="M121" s="28">
        <v>133266.0</v>
      </c>
      <c r="N121" s="28">
        <v>149919.0</v>
      </c>
      <c r="O121" s="28">
        <v>6.0</v>
      </c>
      <c r="P121" s="30">
        <v>2027.0</v>
      </c>
      <c r="Q121" s="30">
        <v>14.0</v>
      </c>
      <c r="R121" s="30">
        <v>1661.0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16713.0</v>
      </c>
      <c r="L122" s="28">
        <v>1319.0</v>
      </c>
      <c r="M122" s="28">
        <v>134585.0</v>
      </c>
      <c r="N122" s="28">
        <v>151298.0</v>
      </c>
      <c r="O122" s="28">
        <v>2.0</v>
      </c>
      <c r="P122" s="30">
        <v>2029.0</v>
      </c>
      <c r="Q122" s="30">
        <v>10.0</v>
      </c>
      <c r="R122" s="30">
        <v>1671.0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16750.0</v>
      </c>
      <c r="L123" s="28">
        <v>1214.0</v>
      </c>
      <c r="M123" s="28">
        <v>135799.0</v>
      </c>
      <c r="N123" s="28">
        <v>152549.0</v>
      </c>
      <c r="O123" s="28">
        <v>5.0</v>
      </c>
      <c r="P123" s="30">
        <v>2034.0</v>
      </c>
      <c r="Q123" s="30">
        <v>3.0</v>
      </c>
      <c r="R123" s="30">
        <v>1674.0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16767.0</v>
      </c>
      <c r="L124" s="28">
        <v>592.0</v>
      </c>
      <c r="M124" s="28">
        <v>136391.0</v>
      </c>
      <c r="N124" s="28">
        <v>153158.0</v>
      </c>
      <c r="O124" s="28">
        <v>4.0</v>
      </c>
      <c r="P124" s="30">
        <v>2038.0</v>
      </c>
      <c r="Q124" s="30">
        <v>4.0</v>
      </c>
      <c r="R124" s="30">
        <v>1678.0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16806.0</v>
      </c>
      <c r="L125" s="28">
        <v>1343.0</v>
      </c>
      <c r="M125" s="28">
        <v>137734.0</v>
      </c>
      <c r="N125" s="28">
        <v>154540.0</v>
      </c>
      <c r="O125" s="28">
        <v>4.0</v>
      </c>
      <c r="P125" s="30">
        <v>2042.0</v>
      </c>
      <c r="Q125" s="30">
        <v>5.0</v>
      </c>
      <c r="R125" s="30">
        <v>1683.0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16839.0</v>
      </c>
      <c r="L126" s="28">
        <v>992.0</v>
      </c>
      <c r="M126" s="28">
        <v>138726.0</v>
      </c>
      <c r="N126" s="28">
        <v>155565.0</v>
      </c>
      <c r="O126" s="28">
        <v>1.0</v>
      </c>
      <c r="P126" s="30">
        <v>2043.0</v>
      </c>
      <c r="Q126" s="30">
        <v>5.0</v>
      </c>
      <c r="R126" s="30">
        <v>1688.0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16918.0</v>
      </c>
      <c r="L127" s="28">
        <v>1917.0</v>
      </c>
      <c r="M127" s="28">
        <v>140643.0</v>
      </c>
      <c r="N127" s="28">
        <v>157561.0</v>
      </c>
      <c r="O127" s="28">
        <v>8.0</v>
      </c>
      <c r="P127" s="30">
        <v>2051.0</v>
      </c>
      <c r="Q127" s="30">
        <v>10.0</v>
      </c>
      <c r="R127" s="30">
        <v>1698.0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16977.0</v>
      </c>
      <c r="L128" s="28">
        <v>1078.0</v>
      </c>
      <c r="M128" s="28">
        <v>141721.0</v>
      </c>
      <c r="N128" s="28">
        <v>158698.0</v>
      </c>
      <c r="O128" s="28">
        <v>5.0</v>
      </c>
      <c r="P128" s="30">
        <v>2056.0</v>
      </c>
      <c r="Q128" s="30">
        <v>5.0</v>
      </c>
      <c r="R128" s="30">
        <v>1703.0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17002.0</v>
      </c>
      <c r="L129" s="28">
        <v>776.0</v>
      </c>
      <c r="M129" s="28">
        <v>142497.0</v>
      </c>
      <c r="N129" s="28">
        <v>159499.0</v>
      </c>
      <c r="O129" s="28">
        <v>9.0</v>
      </c>
      <c r="P129" s="30">
        <v>2065.0</v>
      </c>
      <c r="Q129" s="30">
        <v>6.0</v>
      </c>
      <c r="R129" s="30">
        <v>1709.0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17035.0</v>
      </c>
      <c r="L130" s="28">
        <v>1003.0</v>
      </c>
      <c r="M130" s="28">
        <v>143500.0</v>
      </c>
      <c r="N130" s="28">
        <v>160535.0</v>
      </c>
      <c r="O130" s="28">
        <v>2.0</v>
      </c>
      <c r="P130" s="30">
        <v>2067.0</v>
      </c>
      <c r="Q130" s="30">
        <v>4.0</v>
      </c>
      <c r="R130" s="30">
        <v>1713.0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17061.0</v>
      </c>
      <c r="L131" s="28">
        <v>1434.0</v>
      </c>
      <c r="M131" s="28">
        <v>144934.0</v>
      </c>
      <c r="N131" s="28">
        <v>161995.0</v>
      </c>
      <c r="O131" s="28">
        <v>1.0</v>
      </c>
      <c r="P131" s="30">
        <v>2068.0</v>
      </c>
      <c r="Q131" s="30">
        <v>2.0</v>
      </c>
      <c r="R131" s="30">
        <v>1715.0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17118.0</v>
      </c>
      <c r="L132" s="28">
        <v>1539.0</v>
      </c>
      <c r="M132" s="28">
        <v>146473.0</v>
      </c>
      <c r="N132" s="28">
        <v>163591.0</v>
      </c>
      <c r="O132" s="28">
        <v>6.0</v>
      </c>
      <c r="P132" s="30">
        <v>2074.0</v>
      </c>
      <c r="Q132" s="30">
        <v>6.0</v>
      </c>
      <c r="R132" s="30">
        <v>1721.0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17165.0</v>
      </c>
      <c r="L133" s="28">
        <v>1532.0</v>
      </c>
      <c r="M133" s="28">
        <v>148005.0</v>
      </c>
      <c r="N133" s="28">
        <v>165170.0</v>
      </c>
      <c r="O133" s="28">
        <v>5.0</v>
      </c>
      <c r="P133" s="30">
        <v>2079.0</v>
      </c>
      <c r="Q133" s="30">
        <v>7.0</v>
      </c>
      <c r="R133" s="30">
        <v>1728.0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17229.0</v>
      </c>
      <c r="L134" s="28">
        <v>1419.0</v>
      </c>
      <c r="M134" s="28">
        <v>149424.0</v>
      </c>
      <c r="N134" s="28">
        <v>166653.0</v>
      </c>
      <c r="O134" s="28">
        <v>4.0</v>
      </c>
      <c r="P134" s="30">
        <v>2083.0</v>
      </c>
      <c r="Q134" s="30">
        <v>2.0</v>
      </c>
      <c r="R134" s="30">
        <v>1730.0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17279.0</v>
      </c>
      <c r="L135" s="28">
        <v>1611.0</v>
      </c>
      <c r="M135" s="28">
        <v>151035.0</v>
      </c>
      <c r="N135" s="28">
        <v>168314.0</v>
      </c>
      <c r="O135" s="28">
        <v>9.0</v>
      </c>
      <c r="P135" s="30">
        <v>2092.0</v>
      </c>
      <c r="Q135" s="30">
        <v>3.0</v>
      </c>
      <c r="R135" s="30">
        <v>1733.0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17359.0</v>
      </c>
      <c r="L136" s="28">
        <v>2061.0</v>
      </c>
      <c r="M136" s="28">
        <v>153096.0</v>
      </c>
      <c r="N136" s="28">
        <v>170455.0</v>
      </c>
      <c r="O136" s="28">
        <v>6.0</v>
      </c>
      <c r="P136" s="30">
        <v>2098.0</v>
      </c>
      <c r="Q136" s="30">
        <v>3.0</v>
      </c>
      <c r="R136" s="30">
        <v>1736.0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17395.0</v>
      </c>
      <c r="L137" s="28">
        <v>1310.0</v>
      </c>
      <c r="M137" s="28">
        <v>154406.0</v>
      </c>
      <c r="N137" s="28">
        <v>171801.0</v>
      </c>
      <c r="O137" s="28">
        <v>6.0</v>
      </c>
      <c r="P137" s="30">
        <v>2104.0</v>
      </c>
      <c r="Q137" s="30">
        <v>3.0</v>
      </c>
      <c r="R137" s="30">
        <v>1739.0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17429.0</v>
      </c>
      <c r="L138" s="28">
        <v>941.0</v>
      </c>
      <c r="M138" s="28">
        <v>155347.0</v>
      </c>
      <c r="N138" s="28">
        <v>172776.0</v>
      </c>
      <c r="O138" s="28">
        <v>1.0</v>
      </c>
      <c r="P138" s="30">
        <v>2105.0</v>
      </c>
      <c r="Q138" s="30">
        <v>3.0</v>
      </c>
      <c r="R138" s="30">
        <v>1742.0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17490.0</v>
      </c>
      <c r="L139" s="28">
        <v>1497.0</v>
      </c>
      <c r="M139" s="28">
        <v>156844.0</v>
      </c>
      <c r="N139" s="28">
        <v>174334.0</v>
      </c>
      <c r="O139" s="28">
        <v>8.0</v>
      </c>
      <c r="P139" s="30">
        <v>2113.0</v>
      </c>
      <c r="Q139" s="30">
        <v>10.0</v>
      </c>
      <c r="R139" s="30">
        <v>1752.0</v>
      </c>
      <c r="S139" s="30">
        <v>0.0</v>
      </c>
      <c r="T139" s="30">
        <v>312.0</v>
      </c>
      <c r="U139" s="30">
        <v>49.0</v>
      </c>
      <c r="V139" s="30">
        <v>51.0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17533.0</v>
      </c>
      <c r="L140" s="28">
        <v>1370.0</v>
      </c>
      <c r="M140" s="28">
        <v>158214.0</v>
      </c>
      <c r="N140" s="28">
        <v>175747.0</v>
      </c>
      <c r="O140" s="28">
        <v>7.0</v>
      </c>
      <c r="P140" s="30">
        <v>2120.0</v>
      </c>
      <c r="Q140" s="30">
        <v>4.0</v>
      </c>
      <c r="R140" s="30">
        <v>1756.0</v>
      </c>
      <c r="S140" s="30">
        <v>0.0</v>
      </c>
      <c r="T140" s="30">
        <v>312.0</v>
      </c>
      <c r="U140" s="30">
        <v>52.0</v>
      </c>
      <c r="V140" s="30">
        <v>51.0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100.0</v>
      </c>
      <c r="J141" s="28">
        <v>68.0</v>
      </c>
      <c r="K141" s="28">
        <v>17633.0</v>
      </c>
      <c r="L141" s="28">
        <v>1739.0</v>
      </c>
      <c r="M141" s="28">
        <v>159953.0</v>
      </c>
      <c r="N141" s="28">
        <v>177586.0</v>
      </c>
      <c r="O141" s="28">
        <v>5.0</v>
      </c>
      <c r="P141" s="30">
        <v>2125.0</v>
      </c>
      <c r="Q141" s="30">
        <v>7.0</v>
      </c>
      <c r="R141" s="30">
        <v>1763.0</v>
      </c>
      <c r="S141" s="30">
        <v>0.0</v>
      </c>
      <c r="T141" s="30">
        <v>312.0</v>
      </c>
      <c r="U141" s="30">
        <v>50.0</v>
      </c>
      <c r="V141" s="30">
        <v>50.0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73.0</v>
      </c>
      <c r="K142" s="28">
        <v>17708.0</v>
      </c>
      <c r="L142" s="28">
        <v>1605.0</v>
      </c>
      <c r="M142" s="28">
        <v>161558.0</v>
      </c>
      <c r="N142" s="28">
        <v>179266.0</v>
      </c>
      <c r="O142" s="28">
        <v>6.0</v>
      </c>
      <c r="P142" s="30">
        <v>2131.0</v>
      </c>
      <c r="Q142" s="30">
        <v>9.0</v>
      </c>
      <c r="R142" s="30">
        <v>1772.0</v>
      </c>
      <c r="S142" s="30">
        <v>0.0</v>
      </c>
      <c r="T142" s="30">
        <v>312.0</v>
      </c>
      <c r="U142" s="30">
        <v>47.0</v>
      </c>
      <c r="V142" s="30">
        <v>50.0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85.0</v>
      </c>
      <c r="K143" s="28">
        <v>17787.0</v>
      </c>
      <c r="L143" s="28">
        <v>1841.0</v>
      </c>
      <c r="M143" s="28">
        <v>163399.0</v>
      </c>
      <c r="N143" s="28">
        <v>181186.0</v>
      </c>
      <c r="O143" s="28">
        <v>14.0</v>
      </c>
      <c r="P143" s="30">
        <v>2145.0</v>
      </c>
      <c r="Q143" s="30">
        <v>3.0</v>
      </c>
      <c r="R143" s="30">
        <v>1775.0</v>
      </c>
      <c r="S143" s="30">
        <v>1.0</v>
      </c>
      <c r="T143" s="30">
        <v>313.0</v>
      </c>
      <c r="U143" s="30">
        <v>57.0</v>
      </c>
      <c r="V143" s="30">
        <v>51.0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17857.0</v>
      </c>
      <c r="L144" s="28">
        <v>1392.0</v>
      </c>
      <c r="M144" s="28">
        <v>164791.0</v>
      </c>
      <c r="N144" s="28">
        <v>182648.0</v>
      </c>
      <c r="O144" s="28">
        <v>5.0</v>
      </c>
      <c r="P144" s="30">
        <v>2150.0</v>
      </c>
      <c r="Q144" s="30">
        <v>9.0</v>
      </c>
      <c r="R144" s="30">
        <v>1784.0</v>
      </c>
      <c r="S144" s="30">
        <v>1.0</v>
      </c>
      <c r="T144" s="30">
        <v>314.0</v>
      </c>
      <c r="U144" s="30">
        <v>52.0</v>
      </c>
      <c r="V144" s="30">
        <v>52.0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17914.0</v>
      </c>
      <c r="L145" s="28">
        <v>1145.0</v>
      </c>
      <c r="M145" s="28">
        <v>165936.0</v>
      </c>
      <c r="N145" s="28">
        <v>183850.0</v>
      </c>
      <c r="O145" s="28">
        <v>7.0</v>
      </c>
      <c r="P145" s="30">
        <v>2157.0</v>
      </c>
      <c r="Q145" s="30">
        <v>3.0</v>
      </c>
      <c r="R145" s="30">
        <v>1787.0</v>
      </c>
      <c r="S145" s="30">
        <v>0.0</v>
      </c>
      <c r="T145" s="30">
        <v>314.0</v>
      </c>
      <c r="U145" s="30">
        <v>56.0</v>
      </c>
      <c r="V145" s="30">
        <v>55.0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17982.0</v>
      </c>
      <c r="L146" s="28">
        <v>1454.0</v>
      </c>
      <c r="M146" s="28">
        <v>167390.0</v>
      </c>
      <c r="N146" s="28">
        <v>185372.0</v>
      </c>
      <c r="O146" s="28">
        <v>9.0</v>
      </c>
      <c r="P146" s="30">
        <v>2166.0</v>
      </c>
      <c r="Q146" s="30">
        <v>7.0</v>
      </c>
      <c r="R146" s="30">
        <v>1794.0</v>
      </c>
      <c r="S146" s="30">
        <v>0.0</v>
      </c>
      <c r="T146" s="30">
        <v>314.0</v>
      </c>
      <c r="U146" s="30">
        <v>58.0</v>
      </c>
      <c r="V146" s="30">
        <v>55.0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108.0</v>
      </c>
      <c r="J147" s="28">
        <v>78.0</v>
      </c>
      <c r="K147" s="28">
        <v>18090.0</v>
      </c>
      <c r="L147" s="28">
        <v>1909.0</v>
      </c>
      <c r="M147" s="28">
        <v>169299.0</v>
      </c>
      <c r="N147" s="28">
        <v>187389.0</v>
      </c>
      <c r="O147" s="28">
        <v>9.0</v>
      </c>
      <c r="P147" s="30">
        <v>2175.0</v>
      </c>
      <c r="Q147" s="30">
        <v>11.0</v>
      </c>
      <c r="R147" s="30">
        <v>1805.0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87.0</v>
      </c>
      <c r="K148" s="28">
        <v>18176.0</v>
      </c>
      <c r="L148" s="28">
        <v>1673.0</v>
      </c>
      <c r="M148" s="28">
        <v>170972.0</v>
      </c>
      <c r="N148" s="28">
        <v>189148.0</v>
      </c>
      <c r="O148" s="28">
        <v>11.0</v>
      </c>
      <c r="P148" s="30">
        <v>2186.0</v>
      </c>
      <c r="Q148" s="30">
        <v>11.0</v>
      </c>
      <c r="R148" s="30">
        <v>1816.0</v>
      </c>
      <c r="S148" s="30">
        <v>1.0</v>
      </c>
      <c r="T148" s="30">
        <v>315.0</v>
      </c>
      <c r="U148" s="30">
        <v>55.0</v>
      </c>
      <c r="V148" s="30">
        <v>56.0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18291.0</v>
      </c>
      <c r="L149" s="28">
        <v>1971.0</v>
      </c>
      <c r="M149" s="28">
        <v>172943.0</v>
      </c>
      <c r="N149" s="28">
        <v>191234.0</v>
      </c>
      <c r="O149" s="28">
        <v>9.0</v>
      </c>
      <c r="P149" s="30">
        <v>2195.0</v>
      </c>
      <c r="Q149" s="30">
        <v>6.0</v>
      </c>
      <c r="R149" s="30">
        <v>1822.0</v>
      </c>
      <c r="S149" s="30">
        <v>0.0</v>
      </c>
      <c r="T149" s="30">
        <v>315.0</v>
      </c>
      <c r="U149" s="30">
        <v>58.0</v>
      </c>
      <c r="V149" s="30">
        <v>56.0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18410.0</v>
      </c>
      <c r="L150" s="28">
        <v>2303.0</v>
      </c>
      <c r="M150" s="28">
        <v>175246.0</v>
      </c>
      <c r="N150" s="28">
        <v>193656.0</v>
      </c>
      <c r="O150" s="28">
        <v>14.0</v>
      </c>
      <c r="P150" s="30">
        <v>2209.0</v>
      </c>
      <c r="Q150" s="30">
        <v>14.0</v>
      </c>
      <c r="R150" s="30">
        <v>1836.0</v>
      </c>
      <c r="S150" s="30">
        <v>0.0</v>
      </c>
      <c r="T150" s="30">
        <v>315.0</v>
      </c>
      <c r="U150" s="30">
        <v>58.0</v>
      </c>
      <c r="V150" s="30">
        <v>57.0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18518.0</v>
      </c>
      <c r="L151" s="28">
        <v>2085.0</v>
      </c>
      <c r="M151" s="28">
        <v>177331.0</v>
      </c>
      <c r="N151" s="28">
        <v>195849.0</v>
      </c>
      <c r="O151" s="28">
        <v>7.0</v>
      </c>
      <c r="P151" s="30">
        <v>2216.0</v>
      </c>
      <c r="Q151" s="30">
        <v>7.0</v>
      </c>
      <c r="R151" s="30">
        <v>1843.0</v>
      </c>
      <c r="S151" s="30">
        <v>0.0</v>
      </c>
      <c r="T151" s="30">
        <v>315.0</v>
      </c>
      <c r="U151" s="30">
        <v>58.0</v>
      </c>
      <c r="V151" s="30">
        <v>58.0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18572.0</v>
      </c>
      <c r="L152" s="28">
        <v>1327.0</v>
      </c>
      <c r="M152" s="28">
        <v>178658.0</v>
      </c>
      <c r="N152" s="28">
        <v>197230.0</v>
      </c>
      <c r="O152" s="28">
        <v>8.0</v>
      </c>
      <c r="P152" s="30">
        <v>2224.0</v>
      </c>
      <c r="Q152" s="30">
        <v>9.0</v>
      </c>
      <c r="R152" s="30">
        <v>1852.0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18710.0</v>
      </c>
      <c r="L153" s="28">
        <v>2334.0</v>
      </c>
      <c r="M153" s="28">
        <v>180992.0</v>
      </c>
      <c r="N153" s="28">
        <v>199702.0</v>
      </c>
      <c r="O153" s="28">
        <v>12.0</v>
      </c>
      <c r="P153" s="30">
        <v>2236.0</v>
      </c>
      <c r="Q153" s="30">
        <v>7.0</v>
      </c>
      <c r="R153" s="30">
        <v>1859.0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27439.0</v>
      </c>
      <c r="E154" s="28">
        <v>3834.0</v>
      </c>
      <c r="F154" s="29">
        <v>331270.0</v>
      </c>
      <c r="G154" s="29">
        <v>3939.0</v>
      </c>
      <c r="H154" s="29">
        <v>358709.0</v>
      </c>
      <c r="I154" s="28">
        <v>95.0</v>
      </c>
      <c r="J154" s="28">
        <v>96.0</v>
      </c>
      <c r="K154" s="28">
        <v>18805.0</v>
      </c>
      <c r="L154" s="28">
        <v>1626.0</v>
      </c>
      <c r="M154" s="28">
        <v>182618.0</v>
      </c>
      <c r="N154" s="28">
        <v>201423.0</v>
      </c>
      <c r="O154" s="28">
        <v>5.0</v>
      </c>
      <c r="P154" s="30">
        <v>2241.0</v>
      </c>
      <c r="Q154" s="30">
        <v>5.0</v>
      </c>
      <c r="R154" s="30">
        <v>1864.0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27629.0</v>
      </c>
      <c r="E155" s="28">
        <v>5137.0</v>
      </c>
      <c r="F155" s="29">
        <v>336407.0</v>
      </c>
      <c r="G155" s="29">
        <v>5327.0</v>
      </c>
      <c r="H155" s="29">
        <v>364036.0</v>
      </c>
      <c r="I155" s="28">
        <v>154.0</v>
      </c>
      <c r="J155" s="28">
        <v>129.0</v>
      </c>
      <c r="K155" s="28">
        <v>18959.0</v>
      </c>
      <c r="L155" s="28">
        <v>2303.0</v>
      </c>
      <c r="M155" s="28">
        <v>184921.0</v>
      </c>
      <c r="N155" s="28">
        <v>203880.0</v>
      </c>
      <c r="O155" s="28">
        <v>11.0</v>
      </c>
      <c r="P155" s="30">
        <v>2252.0</v>
      </c>
      <c r="Q155" s="30">
        <v>12.0</v>
      </c>
      <c r="R155" s="30">
        <v>1876.0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27750.0</v>
      </c>
      <c r="E156" s="28">
        <v>4344.0</v>
      </c>
      <c r="F156" s="29">
        <v>340751.0</v>
      </c>
      <c r="G156" s="29">
        <v>4465.0</v>
      </c>
      <c r="H156" s="29">
        <v>368501.0</v>
      </c>
      <c r="I156" s="28">
        <v>97.0</v>
      </c>
      <c r="J156" s="28">
        <v>115.0</v>
      </c>
      <c r="K156" s="28">
        <v>19056.0</v>
      </c>
      <c r="L156" s="28">
        <v>1640.0</v>
      </c>
      <c r="M156" s="28">
        <v>186561.0</v>
      </c>
      <c r="N156" s="28">
        <v>205617.0</v>
      </c>
      <c r="O156" s="28">
        <v>6.0</v>
      </c>
      <c r="P156" s="30">
        <v>2258.0</v>
      </c>
      <c r="Q156" s="30">
        <v>2.0</v>
      </c>
      <c r="R156" s="30">
        <v>1878.0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27881.0</v>
      </c>
      <c r="E157" s="28">
        <v>5509.0</v>
      </c>
      <c r="F157" s="29">
        <v>346260.0</v>
      </c>
      <c r="G157" s="29">
        <v>5640.0</v>
      </c>
      <c r="H157" s="29">
        <v>374141.0</v>
      </c>
      <c r="I157" s="28">
        <v>89.0</v>
      </c>
      <c r="J157" s="28">
        <v>113.0</v>
      </c>
      <c r="K157" s="28">
        <v>19145.0</v>
      </c>
      <c r="L157" s="28">
        <v>1841.0</v>
      </c>
      <c r="M157" s="28">
        <v>188402.0</v>
      </c>
      <c r="N157" s="28">
        <v>207547.0</v>
      </c>
      <c r="O157" s="28">
        <v>8.0</v>
      </c>
      <c r="P157" s="30">
        <v>2266.0</v>
      </c>
      <c r="Q157" s="30">
        <v>10.0</v>
      </c>
      <c r="R157" s="30">
        <v>1888.0</v>
      </c>
      <c r="S157" s="30">
        <v>0.0</v>
      </c>
      <c r="T157" s="30">
        <v>316.0</v>
      </c>
      <c r="U157" s="30">
        <v>62.0</v>
      </c>
      <c r="V157" s="30">
        <v>62.0</v>
      </c>
      <c r="W157" s="30">
        <v>15.0</v>
      </c>
      <c r="X157" s="30">
        <v>7.0</v>
      </c>
      <c r="Y157" s="30">
        <v>1.0</v>
      </c>
      <c r="Z157" s="28">
        <v>1025.0</v>
      </c>
    </row>
    <row r="158" ht="14.25" customHeight="1">
      <c r="A158" s="27">
        <v>44044.0</v>
      </c>
      <c r="B158" s="28">
        <v>108.0</v>
      </c>
      <c r="C158" s="28">
        <v>120.0</v>
      </c>
      <c r="D158" s="28">
        <v>27989.0</v>
      </c>
      <c r="E158" s="28">
        <v>4292.0</v>
      </c>
      <c r="F158" s="29">
        <v>350552.0</v>
      </c>
      <c r="G158" s="29">
        <v>4400.0</v>
      </c>
      <c r="H158" s="29">
        <v>378541.0</v>
      </c>
      <c r="I158" s="28">
        <v>88.0</v>
      </c>
      <c r="J158" s="28">
        <v>91.0</v>
      </c>
      <c r="K158" s="28">
        <v>19233.0</v>
      </c>
      <c r="L158" s="28">
        <v>1552.0</v>
      </c>
      <c r="M158" s="28">
        <v>189954.0</v>
      </c>
      <c r="N158" s="28">
        <v>209187.0</v>
      </c>
      <c r="O158" s="28">
        <v>7.0</v>
      </c>
      <c r="P158" s="30">
        <v>2273.0</v>
      </c>
      <c r="Q158" s="30">
        <v>2.0</v>
      </c>
      <c r="R158" s="30">
        <v>1890.0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28073.0</v>
      </c>
      <c r="E159" s="28">
        <v>2802.0</v>
      </c>
      <c r="F159" s="29">
        <v>353354.0</v>
      </c>
      <c r="G159" s="29">
        <v>2886.0</v>
      </c>
      <c r="H159" s="29">
        <v>381427.0</v>
      </c>
      <c r="I159" s="28">
        <v>62.0</v>
      </c>
      <c r="J159" s="28">
        <v>80.0</v>
      </c>
      <c r="K159" s="28">
        <v>19295.0</v>
      </c>
      <c r="L159" s="28">
        <v>1265.0</v>
      </c>
      <c r="M159" s="28">
        <v>191219.0</v>
      </c>
      <c r="N159" s="28">
        <v>210514.0</v>
      </c>
      <c r="O159" s="28">
        <v>12.0</v>
      </c>
      <c r="P159" s="30">
        <v>2285.0</v>
      </c>
      <c r="Q159" s="30">
        <v>12.0</v>
      </c>
      <c r="R159" s="30">
        <v>1902.0</v>
      </c>
      <c r="S159" s="30">
        <v>2.0</v>
      </c>
      <c r="T159" s="30">
        <v>318.0</v>
      </c>
      <c r="U159" s="30">
        <v>65.0</v>
      </c>
      <c r="V159" s="30">
        <v>65.0</v>
      </c>
      <c r="W159" s="30">
        <v>14.0</v>
      </c>
      <c r="X159" s="30">
        <v>8.0</v>
      </c>
      <c r="Y159" s="30">
        <v>2.0</v>
      </c>
      <c r="Z159" s="28">
        <v>1028.0</v>
      </c>
    </row>
    <row r="160" ht="14.25" customHeight="1">
      <c r="A160" s="27">
        <v>44046.0</v>
      </c>
      <c r="B160" s="28">
        <v>186.0</v>
      </c>
      <c r="C160" s="28">
        <v>126.0</v>
      </c>
      <c r="D160" s="28">
        <v>28259.0</v>
      </c>
      <c r="E160" s="28">
        <v>5238.0</v>
      </c>
      <c r="F160" s="29">
        <v>358592.0</v>
      </c>
      <c r="G160" s="29">
        <v>5424.0</v>
      </c>
      <c r="H160" s="29">
        <v>386851.0</v>
      </c>
      <c r="I160" s="28">
        <v>149.0</v>
      </c>
      <c r="J160" s="28">
        <v>100.0</v>
      </c>
      <c r="K160" s="28">
        <v>19444.0</v>
      </c>
      <c r="L160" s="28">
        <v>2185.0</v>
      </c>
      <c r="M160" s="28">
        <v>193404.0</v>
      </c>
      <c r="N160" s="28">
        <v>212848.0</v>
      </c>
      <c r="O160" s="28">
        <v>13.0</v>
      </c>
      <c r="P160" s="30">
        <v>2298.0</v>
      </c>
      <c r="Q160" s="30">
        <v>12.0</v>
      </c>
      <c r="R160" s="30">
        <v>1914.0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28384.0</v>
      </c>
      <c r="E161" s="28">
        <v>3691.0</v>
      </c>
      <c r="F161" s="29">
        <v>362283.0</v>
      </c>
      <c r="G161" s="29">
        <v>3816.0</v>
      </c>
      <c r="H161" s="29">
        <v>390667.0</v>
      </c>
      <c r="I161" s="28">
        <v>99.0</v>
      </c>
      <c r="J161" s="28">
        <v>103.0</v>
      </c>
      <c r="K161" s="28">
        <v>19543.0</v>
      </c>
      <c r="L161" s="28">
        <v>1765.0</v>
      </c>
      <c r="M161" s="28">
        <v>195169.0</v>
      </c>
      <c r="N161" s="28">
        <v>214712.0</v>
      </c>
      <c r="O161" s="28">
        <v>9.0</v>
      </c>
      <c r="P161" s="30">
        <v>2307.0</v>
      </c>
      <c r="Q161" s="30">
        <v>6.0</v>
      </c>
      <c r="R161" s="30">
        <v>1920.0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28531.0</v>
      </c>
      <c r="E162" s="28">
        <v>5934.0</v>
      </c>
      <c r="F162" s="29">
        <v>368217.0</v>
      </c>
      <c r="G162" s="29">
        <v>6081.0</v>
      </c>
      <c r="H162" s="29">
        <v>396748.0</v>
      </c>
      <c r="I162" s="28">
        <v>118.0</v>
      </c>
      <c r="J162" s="28">
        <v>122.0</v>
      </c>
      <c r="K162" s="28">
        <v>19661.0</v>
      </c>
      <c r="L162" s="28">
        <v>2459.0</v>
      </c>
      <c r="M162" s="28">
        <v>197628.0</v>
      </c>
      <c r="N162" s="28">
        <v>217289.0</v>
      </c>
      <c r="O162" s="28">
        <v>12.0</v>
      </c>
      <c r="P162" s="30">
        <v>2319.0</v>
      </c>
      <c r="Q162" s="30">
        <v>10.0</v>
      </c>
      <c r="R162" s="30">
        <v>1930.0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28700.0</v>
      </c>
      <c r="E163" s="28">
        <v>5533.0</v>
      </c>
      <c r="F163" s="29">
        <v>373750.0</v>
      </c>
      <c r="G163" s="29">
        <v>5702.0</v>
      </c>
      <c r="H163" s="29">
        <v>402450.0</v>
      </c>
      <c r="I163" s="28">
        <v>120.0</v>
      </c>
      <c r="J163" s="28">
        <v>112.0</v>
      </c>
      <c r="K163" s="28">
        <v>19781.0</v>
      </c>
      <c r="L163" s="28">
        <v>2390.0</v>
      </c>
      <c r="M163" s="28">
        <v>200018.0</v>
      </c>
      <c r="N163" s="28">
        <v>219799.0</v>
      </c>
      <c r="O163" s="28">
        <v>7.0</v>
      </c>
      <c r="P163" s="30">
        <v>2326.0</v>
      </c>
      <c r="Q163" s="30">
        <v>9.0</v>
      </c>
      <c r="R163" s="30">
        <v>1939.0</v>
      </c>
      <c r="S163" s="30">
        <v>0.0</v>
      </c>
      <c r="T163" s="30">
        <v>320.0</v>
      </c>
      <c r="U163" s="30">
        <v>67.0</v>
      </c>
      <c r="V163" s="30">
        <v>68.0</v>
      </c>
      <c r="W163" s="30">
        <v>9.0</v>
      </c>
      <c r="X163" s="30">
        <v>4.0</v>
      </c>
      <c r="Y163" s="30">
        <v>0.0</v>
      </c>
      <c r="Z163" s="28">
        <v>1033.0</v>
      </c>
    </row>
    <row r="164" ht="14.25" customHeight="1">
      <c r="A164" s="27">
        <v>44050.0</v>
      </c>
      <c r="B164" s="28">
        <v>121.0</v>
      </c>
      <c r="C164" s="28">
        <v>146.0</v>
      </c>
      <c r="D164" s="28">
        <v>28821.0</v>
      </c>
      <c r="E164" s="28">
        <v>4847.0</v>
      </c>
      <c r="F164" s="29">
        <v>378597.0</v>
      </c>
      <c r="G164" s="29">
        <v>4968.0</v>
      </c>
      <c r="H164" s="29">
        <v>407418.0</v>
      </c>
      <c r="I164" s="28">
        <v>87.0</v>
      </c>
      <c r="J164" s="28">
        <v>108.0</v>
      </c>
      <c r="K164" s="28">
        <v>19868.0</v>
      </c>
      <c r="L164" s="28">
        <v>2133.0</v>
      </c>
      <c r="M164" s="28">
        <v>202151.0</v>
      </c>
      <c r="N164" s="28">
        <v>222019.0</v>
      </c>
      <c r="O164" s="28">
        <v>13.0</v>
      </c>
      <c r="P164" s="30">
        <v>2339.0</v>
      </c>
      <c r="Q164" s="30">
        <v>10.0</v>
      </c>
      <c r="R164" s="30">
        <v>1949.0</v>
      </c>
      <c r="S164" s="30">
        <v>1.0</v>
      </c>
      <c r="T164" s="30">
        <v>321.0</v>
      </c>
      <c r="U164" s="30">
        <v>69.0</v>
      </c>
      <c r="V164" s="30">
        <v>68.0</v>
      </c>
      <c r="W164" s="30">
        <v>9.0</v>
      </c>
      <c r="X164" s="30">
        <v>3.0</v>
      </c>
      <c r="Y164" s="30">
        <v>2.0</v>
      </c>
      <c r="Z164" s="28">
        <v>1035.0</v>
      </c>
    </row>
    <row r="165" ht="14.25" customHeight="1">
      <c r="A165" s="27">
        <v>44051.0</v>
      </c>
      <c r="B165" s="28">
        <v>123.0</v>
      </c>
      <c r="C165" s="28">
        <v>138.0</v>
      </c>
      <c r="D165" s="28">
        <v>28944.0</v>
      </c>
      <c r="E165" s="28">
        <v>4107.0</v>
      </c>
      <c r="F165" s="29">
        <v>382704.0</v>
      </c>
      <c r="G165" s="29">
        <v>4230.0</v>
      </c>
      <c r="H165" s="29">
        <v>411648.0</v>
      </c>
      <c r="I165" s="28">
        <v>91.0</v>
      </c>
      <c r="J165" s="28">
        <v>99.0</v>
      </c>
      <c r="K165" s="28">
        <v>19959.0</v>
      </c>
      <c r="L165" s="28">
        <v>1769.0</v>
      </c>
      <c r="M165" s="28">
        <v>203920.0</v>
      </c>
      <c r="N165" s="28">
        <v>223879.0</v>
      </c>
      <c r="O165" s="28">
        <v>19.0</v>
      </c>
      <c r="P165" s="30">
        <v>2358.0</v>
      </c>
      <c r="Q165" s="30">
        <v>6.0</v>
      </c>
      <c r="R165" s="30">
        <v>1955.0</v>
      </c>
      <c r="S165" s="30">
        <v>1.0</v>
      </c>
      <c r="T165" s="30">
        <v>322.0</v>
      </c>
      <c r="U165" s="30">
        <v>81.0</v>
      </c>
      <c r="V165" s="30">
        <v>72.0</v>
      </c>
      <c r="W165" s="30">
        <v>8.0</v>
      </c>
      <c r="X165" s="30">
        <v>3.0</v>
      </c>
      <c r="Y165" s="30">
        <v>1.0</v>
      </c>
      <c r="Z165" s="28">
        <v>1036.0</v>
      </c>
    </row>
    <row r="166" ht="14.25" customHeight="1">
      <c r="A166" s="27">
        <v>44052.0</v>
      </c>
      <c r="B166" s="28">
        <v>42.0</v>
      </c>
      <c r="C166" s="28">
        <v>95.0</v>
      </c>
      <c r="D166" s="28">
        <v>28986.0</v>
      </c>
      <c r="E166" s="28">
        <v>1722.0</v>
      </c>
      <c r="F166" s="29">
        <v>384426.0</v>
      </c>
      <c r="G166" s="29">
        <v>1764.0</v>
      </c>
      <c r="H166" s="29">
        <v>413412.0</v>
      </c>
      <c r="I166" s="28">
        <v>35.0</v>
      </c>
      <c r="J166" s="28">
        <v>71.0</v>
      </c>
      <c r="K166" s="28">
        <v>19994.0</v>
      </c>
      <c r="L166" s="28">
        <v>1067.0</v>
      </c>
      <c r="M166" s="28">
        <v>204987.0</v>
      </c>
      <c r="N166" s="28">
        <v>224981.0</v>
      </c>
      <c r="O166" s="28">
        <v>8.0</v>
      </c>
      <c r="P166" s="30">
        <v>2366.0</v>
      </c>
      <c r="Q166" s="30">
        <v>10.0</v>
      </c>
      <c r="R166" s="30">
        <v>1965.0</v>
      </c>
      <c r="S166" s="30">
        <v>0.0</v>
      </c>
      <c r="T166" s="30">
        <v>322.0</v>
      </c>
      <c r="U166" s="30">
        <v>79.0</v>
      </c>
      <c r="V166" s="30">
        <v>76.0</v>
      </c>
      <c r="W166" s="30">
        <v>9.0</v>
      </c>
      <c r="X166" s="30">
        <v>4.0</v>
      </c>
      <c r="Y166" s="30">
        <v>0.0</v>
      </c>
      <c r="Z166" s="28">
        <v>1036.0</v>
      </c>
    </row>
    <row r="167" ht="14.25" customHeight="1">
      <c r="A167" s="27">
        <v>44053.0</v>
      </c>
      <c r="B167" s="28">
        <v>149.0</v>
      </c>
      <c r="C167" s="28">
        <v>105.0</v>
      </c>
      <c r="D167" s="28">
        <v>29135.0</v>
      </c>
      <c r="E167" s="28">
        <v>4584.0</v>
      </c>
      <c r="F167" s="29">
        <v>389010.0</v>
      </c>
      <c r="G167" s="29">
        <v>4733.0</v>
      </c>
      <c r="H167" s="29">
        <v>418145.0</v>
      </c>
      <c r="I167" s="28">
        <v>113.0</v>
      </c>
      <c r="J167" s="28">
        <v>80.0</v>
      </c>
      <c r="K167" s="28">
        <v>20107.0</v>
      </c>
      <c r="L167" s="28">
        <v>2014.0</v>
      </c>
      <c r="M167" s="28">
        <v>207001.0</v>
      </c>
      <c r="N167" s="28">
        <v>227108.0</v>
      </c>
      <c r="O167" s="28">
        <v>11.0</v>
      </c>
      <c r="P167" s="30">
        <v>2377.0</v>
      </c>
      <c r="Q167" s="30">
        <v>12.0</v>
      </c>
      <c r="R167" s="30">
        <v>1977.0</v>
      </c>
      <c r="S167" s="30">
        <v>0.0</v>
      </c>
      <c r="T167" s="30">
        <v>322.0</v>
      </c>
      <c r="U167" s="30">
        <v>78.0</v>
      </c>
      <c r="V167" s="30">
        <v>79.0</v>
      </c>
      <c r="W167" s="30">
        <v>9.0</v>
      </c>
      <c r="X167" s="30">
        <v>4.0</v>
      </c>
      <c r="Y167" s="30">
        <v>1.0</v>
      </c>
      <c r="Z167" s="28">
        <v>1037.0</v>
      </c>
    </row>
    <row r="168" ht="14.25" customHeight="1">
      <c r="A168" s="27">
        <v>44054.0</v>
      </c>
      <c r="B168" s="28">
        <v>105.0</v>
      </c>
      <c r="C168" s="28">
        <v>99.0</v>
      </c>
      <c r="D168" s="28">
        <v>29240.0</v>
      </c>
      <c r="E168" s="28">
        <v>4329.0</v>
      </c>
      <c r="F168" s="29">
        <v>393339.0</v>
      </c>
      <c r="G168" s="29">
        <v>4434.0</v>
      </c>
      <c r="H168" s="29">
        <v>422579.0</v>
      </c>
      <c r="I168" s="28">
        <v>92.0</v>
      </c>
      <c r="J168" s="28">
        <v>80.0</v>
      </c>
      <c r="K168" s="28">
        <v>20199.0</v>
      </c>
      <c r="L168" s="28">
        <v>2255.0</v>
      </c>
      <c r="M168" s="28">
        <v>209256.0</v>
      </c>
      <c r="N168" s="28">
        <v>229455.0</v>
      </c>
      <c r="O168" s="28">
        <v>6.0</v>
      </c>
      <c r="P168" s="30">
        <v>2383.0</v>
      </c>
      <c r="Q168" s="30">
        <v>14.0</v>
      </c>
      <c r="R168" s="30">
        <v>1991.0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29361.0</v>
      </c>
      <c r="E169" s="28">
        <v>5186.0</v>
      </c>
      <c r="F169" s="29">
        <v>398525.0</v>
      </c>
      <c r="G169" s="29">
        <v>5307.0</v>
      </c>
      <c r="H169" s="29">
        <v>427886.0</v>
      </c>
      <c r="I169" s="28">
        <v>101.0</v>
      </c>
      <c r="J169" s="28">
        <v>102.0</v>
      </c>
      <c r="K169" s="28">
        <v>20300.0</v>
      </c>
      <c r="L169" s="28">
        <v>2618.0</v>
      </c>
      <c r="M169" s="28">
        <v>211874.0</v>
      </c>
      <c r="N169" s="28">
        <v>232174.0</v>
      </c>
      <c r="O169" s="28">
        <v>8.0</v>
      </c>
      <c r="P169" s="30">
        <v>2391.0</v>
      </c>
      <c r="Q169" s="30">
        <v>11.0</v>
      </c>
      <c r="R169" s="30">
        <v>2002.0</v>
      </c>
      <c r="S169" s="30">
        <v>0.0</v>
      </c>
      <c r="T169" s="30">
        <v>322.0</v>
      </c>
      <c r="U169" s="30">
        <v>67.0</v>
      </c>
      <c r="V169" s="30">
        <v>72.0</v>
      </c>
      <c r="W169" s="30">
        <v>9.0</v>
      </c>
      <c r="X169" s="30">
        <v>3.0</v>
      </c>
      <c r="Y169" s="30">
        <v>1.0</v>
      </c>
      <c r="Z169" s="28">
        <v>1041.0</v>
      </c>
    </row>
    <row r="170" ht="14.25" customHeight="1">
      <c r="A170" s="27">
        <v>44056.0</v>
      </c>
      <c r="B170" s="28">
        <v>135.0</v>
      </c>
      <c r="C170" s="28">
        <v>120.0</v>
      </c>
      <c r="D170" s="28">
        <v>29496.0</v>
      </c>
      <c r="E170" s="28">
        <v>4192.0</v>
      </c>
      <c r="F170" s="29">
        <v>402717.0</v>
      </c>
      <c r="G170" s="29">
        <v>4327.0</v>
      </c>
      <c r="H170" s="29">
        <v>432213.0</v>
      </c>
      <c r="I170" s="28">
        <v>95.0</v>
      </c>
      <c r="J170" s="28">
        <v>96.0</v>
      </c>
      <c r="K170" s="28">
        <v>20395.0</v>
      </c>
      <c r="L170" s="28">
        <v>1894.0</v>
      </c>
      <c r="M170" s="28">
        <v>213768.0</v>
      </c>
      <c r="N170" s="28">
        <v>234163.0</v>
      </c>
      <c r="O170" s="28">
        <v>13.0</v>
      </c>
      <c r="P170" s="30">
        <v>2404.0</v>
      </c>
      <c r="Q170" s="30">
        <v>12.0</v>
      </c>
      <c r="R170" s="30">
        <v>2014.0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29641.0</v>
      </c>
      <c r="E171" s="28">
        <v>5494.0</v>
      </c>
      <c r="F171" s="29">
        <v>408211.0</v>
      </c>
      <c r="G171" s="29">
        <v>5639.0</v>
      </c>
      <c r="H171" s="29">
        <v>437852.0</v>
      </c>
      <c r="I171" s="28">
        <v>99.0</v>
      </c>
      <c r="J171" s="28">
        <v>98.0</v>
      </c>
      <c r="K171" s="28">
        <v>20494.0</v>
      </c>
      <c r="L171" s="28">
        <v>1968.0</v>
      </c>
      <c r="M171" s="28">
        <v>215736.0</v>
      </c>
      <c r="N171" s="28">
        <v>236230.0</v>
      </c>
      <c r="O171" s="28">
        <v>13.0</v>
      </c>
      <c r="P171" s="30">
        <v>2417.0</v>
      </c>
      <c r="Q171" s="30">
        <v>11.0</v>
      </c>
      <c r="R171" s="30">
        <v>2025.0</v>
      </c>
      <c r="S171" s="30">
        <v>0.0</v>
      </c>
      <c r="T171" s="30">
        <v>322.0</v>
      </c>
      <c r="U171" s="30">
        <v>70.0</v>
      </c>
      <c r="V171" s="30">
        <v>68.0</v>
      </c>
      <c r="W171" s="30">
        <v>11.0</v>
      </c>
      <c r="X171" s="30">
        <v>4.0</v>
      </c>
      <c r="Y171" s="30">
        <v>3.0</v>
      </c>
      <c r="Z171" s="28">
        <v>1044.0</v>
      </c>
    </row>
    <row r="172" ht="14.25" customHeight="1">
      <c r="A172" s="27">
        <v>44058.0</v>
      </c>
      <c r="B172" s="28">
        <v>105.0</v>
      </c>
      <c r="C172" s="28">
        <v>128.0</v>
      </c>
      <c r="D172" s="28">
        <v>29746.0</v>
      </c>
      <c r="E172" s="28">
        <v>4533.0</v>
      </c>
      <c r="F172" s="29">
        <v>412744.0</v>
      </c>
      <c r="G172" s="29">
        <v>4638.0</v>
      </c>
      <c r="H172" s="29">
        <v>442490.0</v>
      </c>
      <c r="I172" s="28">
        <v>88.0</v>
      </c>
      <c r="J172" s="28">
        <v>94.0</v>
      </c>
      <c r="K172" s="28">
        <v>20582.0</v>
      </c>
      <c r="L172" s="28">
        <v>1683.0</v>
      </c>
      <c r="M172" s="28">
        <v>217419.0</v>
      </c>
      <c r="N172" s="28">
        <v>238001.0</v>
      </c>
      <c r="O172" s="28">
        <v>9.0</v>
      </c>
      <c r="P172" s="30">
        <v>2426.0</v>
      </c>
      <c r="Q172" s="30">
        <v>11.0</v>
      </c>
      <c r="R172" s="30">
        <v>2036.0</v>
      </c>
      <c r="S172" s="30">
        <v>1.0</v>
      </c>
      <c r="T172" s="30">
        <v>323.0</v>
      </c>
      <c r="U172" s="30">
        <v>67.0</v>
      </c>
      <c r="V172" s="30">
        <v>68.0</v>
      </c>
      <c r="W172" s="30">
        <v>11.0</v>
      </c>
      <c r="X172" s="30">
        <v>5.0</v>
      </c>
      <c r="Y172" s="30">
        <v>0.0</v>
      </c>
      <c r="Z172" s="28">
        <v>1044.0</v>
      </c>
    </row>
    <row r="173" ht="14.25" customHeight="1">
      <c r="A173" s="27">
        <v>44059.0</v>
      </c>
      <c r="B173" s="28">
        <v>83.0</v>
      </c>
      <c r="C173" s="28">
        <v>111.0</v>
      </c>
      <c r="D173" s="28">
        <v>29829.0</v>
      </c>
      <c r="E173" s="28">
        <v>2472.0</v>
      </c>
      <c r="F173" s="29">
        <v>415216.0</v>
      </c>
      <c r="G173" s="29">
        <v>2555.0</v>
      </c>
      <c r="H173" s="29">
        <v>445045.0</v>
      </c>
      <c r="I173" s="28">
        <v>70.0</v>
      </c>
      <c r="J173" s="28">
        <v>86.0</v>
      </c>
      <c r="K173" s="28">
        <v>20652.0</v>
      </c>
      <c r="L173" s="28">
        <v>957.0</v>
      </c>
      <c r="M173" s="28">
        <v>218376.0</v>
      </c>
      <c r="N173" s="28">
        <v>239028.0</v>
      </c>
      <c r="O173" s="28">
        <v>7.0</v>
      </c>
      <c r="P173" s="30">
        <v>2433.0</v>
      </c>
      <c r="Q173" s="30">
        <v>6.0</v>
      </c>
      <c r="R173" s="30">
        <v>2042.0</v>
      </c>
      <c r="S173" s="30">
        <v>4.0</v>
      </c>
      <c r="T173" s="30">
        <v>327.0</v>
      </c>
      <c r="U173" s="30">
        <v>64.0</v>
      </c>
      <c r="V173" s="30">
        <v>67.0</v>
      </c>
      <c r="W173" s="30">
        <v>8.0</v>
      </c>
      <c r="X173" s="30">
        <v>4.0</v>
      </c>
      <c r="Y173" s="30">
        <v>6.0</v>
      </c>
      <c r="Z173" s="28">
        <v>1050.0</v>
      </c>
    </row>
    <row r="174" ht="14.25" customHeight="1">
      <c r="A174" s="27">
        <v>44060.0</v>
      </c>
      <c r="B174" s="28">
        <v>106.0</v>
      </c>
      <c r="C174" s="28">
        <v>98.0</v>
      </c>
      <c r="D174" s="28">
        <v>29935.0</v>
      </c>
      <c r="E174" s="28">
        <v>4570.0</v>
      </c>
      <c r="F174" s="29">
        <v>419786.0</v>
      </c>
      <c r="G174" s="29">
        <v>4676.0</v>
      </c>
      <c r="H174" s="29">
        <v>449721.0</v>
      </c>
      <c r="I174" s="28">
        <v>87.0</v>
      </c>
      <c r="J174" s="28">
        <v>82.0</v>
      </c>
      <c r="K174" s="28">
        <v>20739.0</v>
      </c>
      <c r="L174" s="28">
        <v>2382.0</v>
      </c>
      <c r="M174" s="28">
        <v>220758.0</v>
      </c>
      <c r="N174" s="28">
        <v>241497.0</v>
      </c>
      <c r="O174" s="28">
        <v>10.0</v>
      </c>
      <c r="P174" s="30">
        <v>2443.0</v>
      </c>
      <c r="Q174" s="30">
        <v>7.0</v>
      </c>
      <c r="R174" s="30">
        <v>2049.0</v>
      </c>
      <c r="S174" s="30">
        <v>0.0</v>
      </c>
      <c r="T174" s="30">
        <v>327.0</v>
      </c>
      <c r="U174" s="30">
        <v>67.0</v>
      </c>
      <c r="V174" s="30">
        <v>66.0</v>
      </c>
      <c r="W174" s="30">
        <v>8.0</v>
      </c>
      <c r="X174" s="30">
        <v>5.0</v>
      </c>
      <c r="Y174" s="30">
        <v>2.0</v>
      </c>
      <c r="Z174" s="28">
        <v>1052.0</v>
      </c>
    </row>
    <row r="175" ht="14.25" customHeight="1">
      <c r="A175" s="27">
        <v>44061.0</v>
      </c>
      <c r="B175" s="28">
        <v>128.0</v>
      </c>
      <c r="C175" s="28">
        <v>106.0</v>
      </c>
      <c r="D175" s="28">
        <v>30063.0</v>
      </c>
      <c r="E175" s="28">
        <v>4904.0</v>
      </c>
      <c r="F175" s="29">
        <v>424690.0</v>
      </c>
      <c r="G175" s="29">
        <v>5032.0</v>
      </c>
      <c r="H175" s="29">
        <v>454753.0</v>
      </c>
      <c r="I175" s="28">
        <v>94.0</v>
      </c>
      <c r="J175" s="28">
        <v>84.0</v>
      </c>
      <c r="K175" s="28">
        <v>20833.0</v>
      </c>
      <c r="L175" s="28">
        <v>2740.0</v>
      </c>
      <c r="M175" s="28">
        <v>223498.0</v>
      </c>
      <c r="N175" s="28">
        <v>244331.0</v>
      </c>
      <c r="O175" s="28">
        <v>11.0</v>
      </c>
      <c r="P175" s="30">
        <v>2454.0</v>
      </c>
      <c r="Q175" s="30">
        <v>9.0</v>
      </c>
      <c r="R175" s="30">
        <v>2058.0</v>
      </c>
      <c r="S175" s="30">
        <v>1.0</v>
      </c>
      <c r="T175" s="30">
        <v>328.0</v>
      </c>
      <c r="U175" s="30">
        <v>68.0</v>
      </c>
      <c r="V175" s="30">
        <v>66.0</v>
      </c>
      <c r="W175" s="30">
        <v>8.0</v>
      </c>
      <c r="X175" s="30">
        <v>4.0</v>
      </c>
      <c r="Y175" s="30">
        <v>5.0</v>
      </c>
      <c r="Z175" s="28">
        <v>1057.0</v>
      </c>
    </row>
    <row r="176" ht="14.25" customHeight="1">
      <c r="A176" s="27">
        <v>44062.0</v>
      </c>
      <c r="B176" s="28">
        <v>113.0</v>
      </c>
      <c r="C176" s="28">
        <v>116.0</v>
      </c>
      <c r="D176" s="28">
        <v>30176.0</v>
      </c>
      <c r="E176" s="28">
        <v>5065.0</v>
      </c>
      <c r="F176" s="29">
        <v>429755.0</v>
      </c>
      <c r="G176" s="29">
        <v>5178.0</v>
      </c>
      <c r="H176" s="29">
        <v>459931.0</v>
      </c>
      <c r="I176" s="28">
        <v>90.0</v>
      </c>
      <c r="J176" s="28">
        <v>90.0</v>
      </c>
      <c r="K176" s="28">
        <v>20923.0</v>
      </c>
      <c r="L176" s="28">
        <v>2630.0</v>
      </c>
      <c r="M176" s="28">
        <v>226128.0</v>
      </c>
      <c r="N176" s="28">
        <v>247051.0</v>
      </c>
      <c r="O176" s="28">
        <v>8.0</v>
      </c>
      <c r="P176" s="30">
        <v>2462.0</v>
      </c>
      <c r="Q176" s="30">
        <v>9.0</v>
      </c>
      <c r="R176" s="30">
        <v>2067.0</v>
      </c>
      <c r="S176" s="30">
        <v>1.0</v>
      </c>
      <c r="T176" s="30">
        <v>329.0</v>
      </c>
      <c r="U176" s="30">
        <v>66.0</v>
      </c>
      <c r="V176" s="30">
        <v>67.0</v>
      </c>
      <c r="W176" s="30">
        <v>9.0</v>
      </c>
      <c r="X176" s="30">
        <v>5.0</v>
      </c>
      <c r="Y176" s="30">
        <v>0.0</v>
      </c>
      <c r="Z176" s="28">
        <v>1057.0</v>
      </c>
    </row>
    <row r="177" ht="14.25" customHeight="1">
      <c r="A177" s="27">
        <v>44063.0</v>
      </c>
      <c r="B177" s="28">
        <v>173.0</v>
      </c>
      <c r="C177" s="28">
        <v>138.0</v>
      </c>
      <c r="D177" s="28">
        <v>30349.0</v>
      </c>
      <c r="E177" s="28">
        <v>7405.0</v>
      </c>
      <c r="F177" s="29">
        <v>437160.0</v>
      </c>
      <c r="G177" s="29">
        <v>7578.0</v>
      </c>
      <c r="H177" s="29">
        <v>467509.0</v>
      </c>
      <c r="I177" s="28">
        <v>139.0</v>
      </c>
      <c r="J177" s="28">
        <v>108.0</v>
      </c>
      <c r="K177" s="28">
        <v>21062.0</v>
      </c>
      <c r="L177" s="28">
        <v>3509.0</v>
      </c>
      <c r="M177" s="28">
        <v>229637.0</v>
      </c>
      <c r="N177" s="28">
        <v>250699.0</v>
      </c>
      <c r="O177" s="28">
        <v>12.0</v>
      </c>
      <c r="P177" s="30">
        <v>2474.0</v>
      </c>
      <c r="Q177" s="30">
        <v>6.0</v>
      </c>
      <c r="R177" s="30">
        <v>2073.0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30500.0</v>
      </c>
      <c r="E178" s="28">
        <v>6572.0</v>
      </c>
      <c r="F178" s="29">
        <v>443732.0</v>
      </c>
      <c r="G178" s="29">
        <v>6723.0</v>
      </c>
      <c r="H178" s="29">
        <v>474232.0</v>
      </c>
      <c r="I178" s="28">
        <v>125.0</v>
      </c>
      <c r="J178" s="28">
        <v>118.0</v>
      </c>
      <c r="K178" s="28">
        <v>21187.0</v>
      </c>
      <c r="L178" s="28">
        <v>2939.0</v>
      </c>
      <c r="M178" s="28">
        <v>232576.0</v>
      </c>
      <c r="N178" s="28">
        <v>253763.0</v>
      </c>
      <c r="O178" s="28">
        <v>8.0</v>
      </c>
      <c r="P178" s="30">
        <v>2482.0</v>
      </c>
      <c r="Q178" s="30">
        <v>5.0</v>
      </c>
      <c r="R178" s="30">
        <v>2078.0</v>
      </c>
      <c r="S178" s="30">
        <v>1.0</v>
      </c>
      <c r="T178" s="30">
        <v>332.0</v>
      </c>
      <c r="U178" s="30">
        <v>72.0</v>
      </c>
      <c r="V178" s="30">
        <v>69.0</v>
      </c>
      <c r="W178" s="30">
        <v>9.0</v>
      </c>
      <c r="X178" s="30">
        <v>4.0</v>
      </c>
      <c r="Y178" s="30">
        <v>2.0</v>
      </c>
      <c r="Z178" s="28">
        <v>1062.0</v>
      </c>
    </row>
    <row r="179" ht="14.25" customHeight="1">
      <c r="A179" s="27">
        <v>44065.0</v>
      </c>
      <c r="B179" s="28">
        <v>96.0</v>
      </c>
      <c r="C179" s="28">
        <v>140.0</v>
      </c>
      <c r="D179" s="28">
        <v>30596.0</v>
      </c>
      <c r="E179" s="28">
        <v>5547.0</v>
      </c>
      <c r="F179" s="29">
        <v>449279.0</v>
      </c>
      <c r="G179" s="29">
        <v>5643.0</v>
      </c>
      <c r="H179" s="29">
        <v>479875.0</v>
      </c>
      <c r="I179" s="28">
        <v>84.0</v>
      </c>
      <c r="J179" s="28">
        <v>116.0</v>
      </c>
      <c r="K179" s="28">
        <v>21271.0</v>
      </c>
      <c r="L179" s="28">
        <v>2597.0</v>
      </c>
      <c r="M179" s="28">
        <v>235173.0</v>
      </c>
      <c r="N179" s="28">
        <v>256444.0</v>
      </c>
      <c r="O179" s="28">
        <v>10.0</v>
      </c>
      <c r="P179" s="30">
        <v>2492.0</v>
      </c>
      <c r="Q179" s="30">
        <v>12.0</v>
      </c>
      <c r="R179" s="30">
        <v>2090.0</v>
      </c>
      <c r="S179" s="30">
        <v>0.0</v>
      </c>
      <c r="T179" s="30">
        <v>332.0</v>
      </c>
      <c r="U179" s="30">
        <v>70.0</v>
      </c>
      <c r="V179" s="30">
        <v>71.0</v>
      </c>
      <c r="W179" s="30">
        <v>11.0</v>
      </c>
      <c r="X179" s="30">
        <v>4.0</v>
      </c>
      <c r="Y179" s="30">
        <v>1.0</v>
      </c>
      <c r="Z179" s="28">
        <v>1063.0</v>
      </c>
    </row>
    <row r="180" ht="14.25" customHeight="1">
      <c r="A180" s="27">
        <v>44066.0</v>
      </c>
      <c r="B180" s="28">
        <v>70.0</v>
      </c>
      <c r="C180" s="28">
        <v>106.0</v>
      </c>
      <c r="D180" s="28">
        <v>30666.0</v>
      </c>
      <c r="E180" s="28">
        <v>4371.0</v>
      </c>
      <c r="F180" s="29">
        <v>453650.0</v>
      </c>
      <c r="G180" s="29">
        <v>4441.0</v>
      </c>
      <c r="H180" s="29">
        <v>484316.0</v>
      </c>
      <c r="I180" s="28">
        <v>56.0</v>
      </c>
      <c r="J180" s="28">
        <v>88.0</v>
      </c>
      <c r="K180" s="28">
        <v>21327.0</v>
      </c>
      <c r="L180" s="28">
        <v>2465.0</v>
      </c>
      <c r="M180" s="28">
        <v>237638.0</v>
      </c>
      <c r="N180" s="28">
        <v>258965.0</v>
      </c>
      <c r="O180" s="28">
        <v>11.0</v>
      </c>
      <c r="P180" s="30">
        <v>2503.0</v>
      </c>
      <c r="Q180" s="30">
        <v>6.0</v>
      </c>
      <c r="R180" s="30">
        <v>2096.0</v>
      </c>
      <c r="S180" s="30">
        <v>0.0</v>
      </c>
      <c r="T180" s="30">
        <v>332.0</v>
      </c>
      <c r="U180" s="30">
        <v>75.0</v>
      </c>
      <c r="V180" s="30">
        <v>72.0</v>
      </c>
      <c r="W180" s="30">
        <v>11.0</v>
      </c>
      <c r="X180" s="30">
        <v>2.0</v>
      </c>
      <c r="Y180" s="30">
        <v>1.0</v>
      </c>
      <c r="Z180" s="28">
        <v>1064.0</v>
      </c>
    </row>
    <row r="181" ht="14.25" customHeight="1">
      <c r="A181" s="27">
        <v>44067.0</v>
      </c>
      <c r="B181" s="28">
        <v>105.0</v>
      </c>
      <c r="C181" s="28">
        <v>90.0</v>
      </c>
      <c r="D181" s="28">
        <v>30771.0</v>
      </c>
      <c r="E181" s="28">
        <v>5776.0</v>
      </c>
      <c r="F181" s="29">
        <v>459426.0</v>
      </c>
      <c r="G181" s="29">
        <v>5881.0</v>
      </c>
      <c r="H181" s="29">
        <v>490197.0</v>
      </c>
      <c r="I181" s="28">
        <v>77.0</v>
      </c>
      <c r="J181" s="28">
        <v>72.0</v>
      </c>
      <c r="K181" s="28">
        <v>21404.0</v>
      </c>
      <c r="L181" s="28">
        <v>3142.0</v>
      </c>
      <c r="M181" s="28">
        <v>240780.0</v>
      </c>
      <c r="N181" s="28">
        <v>262184.0</v>
      </c>
      <c r="O181" s="28">
        <v>7.0</v>
      </c>
      <c r="P181" s="30">
        <v>2510.0</v>
      </c>
      <c r="Q181" s="30">
        <v>10.0</v>
      </c>
      <c r="R181" s="30">
        <v>2106.0</v>
      </c>
      <c r="S181" s="30">
        <v>1.0</v>
      </c>
      <c r="T181" s="30">
        <v>333.0</v>
      </c>
      <c r="U181" s="30">
        <v>71.0</v>
      </c>
      <c r="V181" s="30">
        <v>72.0</v>
      </c>
      <c r="W181" s="30">
        <v>13.0</v>
      </c>
      <c r="X181" s="30">
        <v>4.0</v>
      </c>
      <c r="Y181" s="30">
        <v>1.0</v>
      </c>
      <c r="Z181" s="28">
        <v>1065.0</v>
      </c>
    </row>
    <row r="182" ht="14.25" customHeight="1">
      <c r="A182" s="27">
        <v>44068.0</v>
      </c>
      <c r="B182" s="28">
        <v>108.0</v>
      </c>
      <c r="C182" s="28">
        <v>94.0</v>
      </c>
      <c r="D182" s="28">
        <v>30879.0</v>
      </c>
      <c r="E182" s="28">
        <v>4759.0</v>
      </c>
      <c r="F182" s="29">
        <v>464185.0</v>
      </c>
      <c r="G182" s="29">
        <v>4867.0</v>
      </c>
      <c r="H182" s="29">
        <v>495064.0</v>
      </c>
      <c r="I182" s="28">
        <v>92.0</v>
      </c>
      <c r="J182" s="28">
        <v>75.0</v>
      </c>
      <c r="K182" s="28">
        <v>21496.0</v>
      </c>
      <c r="L182" s="28">
        <v>2282.0</v>
      </c>
      <c r="M182" s="28">
        <v>243062.0</v>
      </c>
      <c r="N182" s="28">
        <v>264558.0</v>
      </c>
      <c r="O182" s="28">
        <v>10.0</v>
      </c>
      <c r="P182" s="30">
        <v>2520.0</v>
      </c>
      <c r="Q182" s="30">
        <v>4.0</v>
      </c>
      <c r="R182" s="30">
        <v>2110.0</v>
      </c>
      <c r="S182" s="30">
        <v>1.0</v>
      </c>
      <c r="T182" s="30">
        <v>334.0</v>
      </c>
      <c r="U182" s="30">
        <v>76.0</v>
      </c>
      <c r="V182" s="30">
        <v>74.0</v>
      </c>
      <c r="W182" s="30">
        <v>11.0</v>
      </c>
      <c r="X182" s="30">
        <v>4.0</v>
      </c>
      <c r="Y182" s="30">
        <v>1.0</v>
      </c>
      <c r="Z182" s="28">
        <v>1066.0</v>
      </c>
    </row>
    <row r="183" ht="14.25" customHeight="1">
      <c r="A183" s="27">
        <v>44069.0</v>
      </c>
      <c r="B183" s="28">
        <v>170.0</v>
      </c>
      <c r="C183" s="28">
        <v>128.0</v>
      </c>
      <c r="D183" s="28">
        <v>31049.0</v>
      </c>
      <c r="E183" s="28">
        <v>9477.0</v>
      </c>
      <c r="F183" s="29">
        <v>473662.0</v>
      </c>
      <c r="G183" s="29">
        <v>9647.0</v>
      </c>
      <c r="H183" s="29">
        <v>504711.0</v>
      </c>
      <c r="I183" s="28">
        <v>127.0</v>
      </c>
      <c r="J183" s="28">
        <v>99.0</v>
      </c>
      <c r="K183" s="28">
        <v>21623.0</v>
      </c>
      <c r="L183" s="28">
        <v>3078.0</v>
      </c>
      <c r="M183" s="28">
        <v>246140.0</v>
      </c>
      <c r="N183" s="28">
        <v>267763.0</v>
      </c>
      <c r="O183" s="28">
        <v>4.0</v>
      </c>
      <c r="P183" s="30">
        <v>2524.0</v>
      </c>
      <c r="Q183" s="30">
        <v>8.0</v>
      </c>
      <c r="R183" s="30">
        <v>2118.0</v>
      </c>
      <c r="S183" s="30">
        <v>0.0</v>
      </c>
      <c r="T183" s="30">
        <v>334.0</v>
      </c>
      <c r="U183" s="30">
        <v>72.0</v>
      </c>
      <c r="V183" s="30">
        <v>73.0</v>
      </c>
      <c r="W183" s="30">
        <v>9.0</v>
      </c>
      <c r="X183" s="30">
        <v>5.0</v>
      </c>
      <c r="Y183" s="30">
        <v>1.0</v>
      </c>
      <c r="Z183" s="28">
        <v>1067.0</v>
      </c>
    </row>
    <row r="184" ht="14.25" customHeight="1">
      <c r="A184" s="27">
        <v>44070.0</v>
      </c>
      <c r="B184" s="28">
        <v>92.0</v>
      </c>
      <c r="C184" s="28">
        <v>123.0</v>
      </c>
      <c r="D184" s="28">
        <v>31141.0</v>
      </c>
      <c r="E184" s="28">
        <v>8564.0</v>
      </c>
      <c r="F184" s="29">
        <v>482226.0</v>
      </c>
      <c r="G184" s="29">
        <v>8656.0</v>
      </c>
      <c r="H184" s="29">
        <v>513367.0</v>
      </c>
      <c r="I184" s="28">
        <v>70.0</v>
      </c>
      <c r="J184" s="28">
        <v>96.0</v>
      </c>
      <c r="K184" s="28">
        <v>21693.0</v>
      </c>
      <c r="L184" s="28">
        <v>3157.0</v>
      </c>
      <c r="M184" s="28">
        <v>249297.0</v>
      </c>
      <c r="N184" s="28">
        <v>270990.0</v>
      </c>
      <c r="O184" s="28">
        <v>6.0</v>
      </c>
      <c r="P184" s="30">
        <v>2530.0</v>
      </c>
      <c r="Q184" s="30">
        <v>13.0</v>
      </c>
      <c r="R184" s="30">
        <v>2131.0</v>
      </c>
      <c r="S184" s="30">
        <v>1.0</v>
      </c>
      <c r="T184" s="30">
        <v>335.0</v>
      </c>
      <c r="U184" s="30">
        <v>64.0</v>
      </c>
      <c r="V184" s="30">
        <v>71.0</v>
      </c>
      <c r="W184" s="30">
        <v>6.0</v>
      </c>
      <c r="X184" s="30">
        <v>5.0</v>
      </c>
      <c r="Y184" s="30">
        <v>2.0</v>
      </c>
      <c r="Z184" s="28">
        <v>1069.0</v>
      </c>
    </row>
    <row r="185" ht="14.25" customHeight="1">
      <c r="A185" s="27">
        <v>44071.0</v>
      </c>
      <c r="B185" s="28">
        <v>112.0</v>
      </c>
      <c r="C185" s="28">
        <v>125.0</v>
      </c>
      <c r="D185" s="28">
        <v>31253.0</v>
      </c>
      <c r="E185" s="28">
        <v>7991.0</v>
      </c>
      <c r="F185" s="29">
        <v>490217.0</v>
      </c>
      <c r="G185" s="29">
        <v>8103.0</v>
      </c>
      <c r="H185" s="29">
        <v>521470.0</v>
      </c>
      <c r="I185" s="28">
        <v>87.0</v>
      </c>
      <c r="J185" s="28">
        <v>95.0</v>
      </c>
      <c r="K185" s="28">
        <v>21780.0</v>
      </c>
      <c r="L185" s="28">
        <v>2424.0</v>
      </c>
      <c r="M185" s="28">
        <v>251721.0</v>
      </c>
      <c r="N185" s="28">
        <v>273501.0</v>
      </c>
      <c r="O185" s="28">
        <v>14.0</v>
      </c>
      <c r="P185" s="30">
        <v>2544.0</v>
      </c>
      <c r="Q185" s="30">
        <v>4.0</v>
      </c>
      <c r="R185" s="30">
        <v>2135.0</v>
      </c>
      <c r="S185" s="30">
        <v>0.0</v>
      </c>
      <c r="T185" s="30">
        <v>335.0</v>
      </c>
      <c r="U185" s="30">
        <v>74.0</v>
      </c>
      <c r="V185" s="30">
        <v>70.0</v>
      </c>
      <c r="W185" s="30">
        <v>9.0</v>
      </c>
      <c r="X185" s="30">
        <v>7.0</v>
      </c>
      <c r="Y185" s="30">
        <v>2.0</v>
      </c>
      <c r="Z185" s="28">
        <v>1071.0</v>
      </c>
    </row>
    <row r="186" ht="14.25" customHeight="1">
      <c r="A186" s="27">
        <v>44072.0</v>
      </c>
      <c r="B186" s="28">
        <v>65.0</v>
      </c>
      <c r="C186" s="28">
        <v>90.0</v>
      </c>
      <c r="D186" s="28">
        <v>31318.0</v>
      </c>
      <c r="E186" s="28">
        <v>5368.0</v>
      </c>
      <c r="F186" s="29">
        <v>495585.0</v>
      </c>
      <c r="G186" s="29">
        <v>5433.0</v>
      </c>
      <c r="H186" s="29">
        <v>526903.0</v>
      </c>
      <c r="I186" s="28">
        <v>51.0</v>
      </c>
      <c r="J186" s="28">
        <v>69.0</v>
      </c>
      <c r="K186" s="28">
        <v>21831.0</v>
      </c>
      <c r="L186" s="28">
        <v>1908.0</v>
      </c>
      <c r="M186" s="28">
        <v>253629.0</v>
      </c>
      <c r="N186" s="28">
        <v>275460.0</v>
      </c>
      <c r="O186" s="28">
        <v>6.0</v>
      </c>
      <c r="P186" s="30">
        <v>2550.0</v>
      </c>
      <c r="Q186" s="30">
        <v>8.0</v>
      </c>
      <c r="R186" s="30">
        <v>2143.0</v>
      </c>
      <c r="S186" s="30">
        <v>1.0</v>
      </c>
      <c r="T186" s="30">
        <v>336.0</v>
      </c>
      <c r="U186" s="30">
        <v>71.0</v>
      </c>
      <c r="V186" s="30">
        <v>70.0</v>
      </c>
      <c r="W186" s="30">
        <v>10.0</v>
      </c>
      <c r="X186" s="30">
        <v>6.0</v>
      </c>
      <c r="Y186" s="30">
        <v>2.0</v>
      </c>
      <c r="Z186" s="28">
        <v>1073.0</v>
      </c>
    </row>
    <row r="187" ht="14.25" customHeight="1">
      <c r="A187" s="27">
        <v>44073.0</v>
      </c>
      <c r="B187" s="28">
        <v>66.0</v>
      </c>
      <c r="C187" s="28">
        <v>81.0</v>
      </c>
      <c r="D187" s="28">
        <v>31384.0</v>
      </c>
      <c r="E187" s="28">
        <v>4320.0</v>
      </c>
      <c r="F187" s="29">
        <v>499905.0</v>
      </c>
      <c r="G187" s="29">
        <v>4386.0</v>
      </c>
      <c r="H187" s="29">
        <v>531289.0</v>
      </c>
      <c r="I187" s="28">
        <v>48.0</v>
      </c>
      <c r="J187" s="28">
        <v>62.0</v>
      </c>
      <c r="K187" s="28">
        <v>21879.0</v>
      </c>
      <c r="L187" s="28">
        <v>1992.0</v>
      </c>
      <c r="M187" s="28">
        <v>255621.0</v>
      </c>
      <c r="N187" s="28">
        <v>277500.0</v>
      </c>
      <c r="O187" s="28">
        <v>7.0</v>
      </c>
      <c r="P187" s="30">
        <v>2557.0</v>
      </c>
      <c r="Q187" s="30">
        <v>4.0</v>
      </c>
      <c r="R187" s="30">
        <v>2147.0</v>
      </c>
      <c r="S187" s="30">
        <v>0.0</v>
      </c>
      <c r="T187" s="30">
        <v>336.0</v>
      </c>
      <c r="U187" s="30">
        <v>74.0</v>
      </c>
      <c r="V187" s="30">
        <v>73.0</v>
      </c>
      <c r="W187" s="30">
        <v>8.0</v>
      </c>
      <c r="X187" s="30">
        <v>5.0</v>
      </c>
      <c r="Y187" s="30">
        <v>2.0</v>
      </c>
      <c r="Z187" s="28">
        <v>1075.0</v>
      </c>
    </row>
    <row r="188" ht="14.25" customHeight="1">
      <c r="A188" s="27">
        <v>44074.0</v>
      </c>
      <c r="B188" s="28">
        <v>105.0</v>
      </c>
      <c r="C188" s="28">
        <v>79.0</v>
      </c>
      <c r="D188" s="28">
        <v>31489.0</v>
      </c>
      <c r="E188" s="28">
        <v>4863.0</v>
      </c>
      <c r="F188" s="29">
        <v>504768.0</v>
      </c>
      <c r="G188" s="29">
        <v>4968.0</v>
      </c>
      <c r="H188" s="29">
        <v>536257.0</v>
      </c>
      <c r="I188" s="28">
        <v>81.0</v>
      </c>
      <c r="J188" s="28">
        <v>60.0</v>
      </c>
      <c r="K188" s="28">
        <v>21960.0</v>
      </c>
      <c r="L188" s="28">
        <v>2183.0</v>
      </c>
      <c r="M188" s="28">
        <v>257804.0</v>
      </c>
      <c r="N188" s="28">
        <v>279764.0</v>
      </c>
      <c r="O188" s="28">
        <v>12.0</v>
      </c>
      <c r="P188" s="30">
        <v>2569.0</v>
      </c>
      <c r="Q188" s="30">
        <v>15.0</v>
      </c>
      <c r="R188" s="30">
        <v>2162.0</v>
      </c>
      <c r="S188" s="30">
        <v>0.0</v>
      </c>
      <c r="T188" s="30">
        <v>336.0</v>
      </c>
      <c r="U188" s="30">
        <v>71.0</v>
      </c>
      <c r="V188" s="30">
        <v>72.0</v>
      </c>
      <c r="W188" s="30">
        <v>8.0</v>
      </c>
      <c r="X188" s="30">
        <v>4.0</v>
      </c>
      <c r="Y188" s="30">
        <v>1.0</v>
      </c>
      <c r="Z188" s="28">
        <v>1076.0</v>
      </c>
    </row>
    <row r="189" ht="14.25" customHeight="1">
      <c r="A189" s="27">
        <v>44075.0</v>
      </c>
      <c r="B189" s="28">
        <v>97.0</v>
      </c>
      <c r="C189" s="28">
        <v>89.0</v>
      </c>
      <c r="D189" s="28">
        <v>31586.0</v>
      </c>
      <c r="E189" s="28">
        <v>7109.0</v>
      </c>
      <c r="F189" s="29">
        <v>511877.0</v>
      </c>
      <c r="G189" s="29">
        <v>7206.0</v>
      </c>
      <c r="H189" s="29">
        <v>543463.0</v>
      </c>
      <c r="I189" s="28">
        <v>65.0</v>
      </c>
      <c r="J189" s="28">
        <v>65.0</v>
      </c>
      <c r="K189" s="28">
        <v>22025.0</v>
      </c>
      <c r="L189" s="28">
        <v>2375.0</v>
      </c>
      <c r="M189" s="28">
        <v>260179.0</v>
      </c>
      <c r="N189" s="28">
        <v>282204.0</v>
      </c>
      <c r="O189" s="28">
        <v>6.0</v>
      </c>
      <c r="P189" s="30">
        <v>2575.0</v>
      </c>
      <c r="Q189" s="30">
        <v>9.0</v>
      </c>
      <c r="R189" s="30">
        <v>2171.0</v>
      </c>
      <c r="S189" s="30">
        <v>1.0</v>
      </c>
      <c r="T189" s="30">
        <v>337.0</v>
      </c>
      <c r="U189" s="30">
        <v>67.0</v>
      </c>
      <c r="V189" s="30">
        <v>71.0</v>
      </c>
      <c r="W189" s="30">
        <v>7.0</v>
      </c>
      <c r="X189" s="30">
        <v>4.0</v>
      </c>
      <c r="Y189" s="30">
        <v>2.0</v>
      </c>
      <c r="Z189" s="28">
        <v>1078.0</v>
      </c>
    </row>
    <row r="190" ht="14.25" customHeight="1">
      <c r="A190" s="27">
        <v>44076.0</v>
      </c>
      <c r="B190" s="28">
        <v>125.0</v>
      </c>
      <c r="C190" s="28">
        <v>109.0</v>
      </c>
      <c r="D190" s="28">
        <v>31711.0</v>
      </c>
      <c r="E190" s="28">
        <v>10524.0</v>
      </c>
      <c r="F190" s="29">
        <v>522401.0</v>
      </c>
      <c r="G190" s="29">
        <v>10649.0</v>
      </c>
      <c r="H190" s="29">
        <v>554112.0</v>
      </c>
      <c r="I190" s="28">
        <v>104.0</v>
      </c>
      <c r="J190" s="28">
        <v>83.0</v>
      </c>
      <c r="K190" s="28">
        <v>22129.0</v>
      </c>
      <c r="L190" s="28">
        <v>3048.0</v>
      </c>
      <c r="M190" s="28">
        <v>263227.0</v>
      </c>
      <c r="N190" s="28">
        <v>285356.0</v>
      </c>
      <c r="O190" s="28">
        <v>9.0</v>
      </c>
      <c r="P190" s="30">
        <v>2584.0</v>
      </c>
      <c r="Q190" s="30">
        <v>10.0</v>
      </c>
      <c r="R190" s="30">
        <v>2181.0</v>
      </c>
      <c r="S190" s="30">
        <v>1.0</v>
      </c>
      <c r="T190" s="30">
        <v>338.0</v>
      </c>
      <c r="U190" s="30">
        <v>65.0</v>
      </c>
      <c r="V190" s="30">
        <v>68.0</v>
      </c>
      <c r="W190" s="30">
        <v>8.0</v>
      </c>
      <c r="X190" s="30">
        <v>4.0</v>
      </c>
      <c r="Y190" s="30">
        <v>2.0</v>
      </c>
      <c r="Z190" s="28">
        <v>1080.0</v>
      </c>
    </row>
    <row r="191" ht="14.25" customHeight="1">
      <c r="A191" s="27">
        <v>44077.0</v>
      </c>
      <c r="B191" s="28">
        <v>90.0</v>
      </c>
      <c r="C191" s="28">
        <v>104.0</v>
      </c>
      <c r="D191" s="28">
        <v>31801.0</v>
      </c>
      <c r="E191" s="28">
        <v>11065.0</v>
      </c>
      <c r="F191" s="29">
        <v>533466.0</v>
      </c>
      <c r="G191" s="29">
        <v>11155.0</v>
      </c>
      <c r="H191" s="29">
        <v>565267.0</v>
      </c>
      <c r="I191" s="28">
        <v>73.0</v>
      </c>
      <c r="J191" s="28">
        <v>81.0</v>
      </c>
      <c r="K191" s="28">
        <v>22202.0</v>
      </c>
      <c r="L191" s="28">
        <v>2579.0</v>
      </c>
      <c r="M191" s="28">
        <v>265806.0</v>
      </c>
      <c r="N191" s="28">
        <v>288008.0</v>
      </c>
      <c r="O191" s="28">
        <v>8.0</v>
      </c>
      <c r="P191" s="30">
        <v>2592.0</v>
      </c>
      <c r="Q191" s="30">
        <v>8.0</v>
      </c>
      <c r="R191" s="30">
        <v>2189.0</v>
      </c>
      <c r="S191" s="30">
        <v>0.0</v>
      </c>
      <c r="T191" s="30">
        <v>338.0</v>
      </c>
      <c r="U191" s="30">
        <v>65.0</v>
      </c>
      <c r="V191" s="30">
        <v>66.0</v>
      </c>
      <c r="W191" s="30">
        <v>9.0</v>
      </c>
      <c r="X191" s="30">
        <v>4.0</v>
      </c>
      <c r="Y191" s="30">
        <v>3.0</v>
      </c>
      <c r="Z191" s="28">
        <v>1083.0</v>
      </c>
    </row>
    <row r="192" ht="14.25" customHeight="1">
      <c r="A192" s="27">
        <v>44078.0</v>
      </c>
      <c r="B192" s="28">
        <v>102.0</v>
      </c>
      <c r="C192" s="28">
        <v>106.0</v>
      </c>
      <c r="D192" s="28">
        <v>31903.0</v>
      </c>
      <c r="E192" s="28">
        <v>8953.0</v>
      </c>
      <c r="F192" s="29">
        <v>542419.0</v>
      </c>
      <c r="G192" s="29">
        <v>9055.0</v>
      </c>
      <c r="H192" s="29">
        <v>574322.0</v>
      </c>
      <c r="I192" s="28">
        <v>84.0</v>
      </c>
      <c r="J192" s="28">
        <v>87.0</v>
      </c>
      <c r="K192" s="28">
        <v>22286.0</v>
      </c>
      <c r="L192" s="28">
        <v>2361.0</v>
      </c>
      <c r="M192" s="28">
        <v>268167.0</v>
      </c>
      <c r="N192" s="28">
        <v>290453.0</v>
      </c>
      <c r="O192" s="28">
        <v>11.0</v>
      </c>
      <c r="P192" s="30">
        <v>2603.0</v>
      </c>
      <c r="Q192" s="30">
        <v>4.0</v>
      </c>
      <c r="R192" s="30">
        <v>2193.0</v>
      </c>
      <c r="S192" s="30">
        <v>0.0</v>
      </c>
      <c r="T192" s="30">
        <v>338.0</v>
      </c>
      <c r="U192" s="30">
        <v>72.0</v>
      </c>
      <c r="V192" s="30">
        <v>67.0</v>
      </c>
      <c r="W192" s="30">
        <v>9.0</v>
      </c>
      <c r="X192" s="30">
        <v>4.0</v>
      </c>
      <c r="Y192" s="30">
        <v>1.0</v>
      </c>
      <c r="Z192" s="28">
        <v>1084.0</v>
      </c>
    </row>
    <row r="193" ht="14.25" customHeight="1">
      <c r="A193" s="27">
        <v>44079.0</v>
      </c>
      <c r="B193" s="28">
        <v>52.0</v>
      </c>
      <c r="C193" s="28">
        <v>81.0</v>
      </c>
      <c r="D193" s="28">
        <v>31955.0</v>
      </c>
      <c r="E193" s="28">
        <v>6303.0</v>
      </c>
      <c r="F193" s="29">
        <v>548722.0</v>
      </c>
      <c r="G193" s="29">
        <v>6355.0</v>
      </c>
      <c r="H193" s="29">
        <v>580677.0</v>
      </c>
      <c r="I193" s="28">
        <v>42.0</v>
      </c>
      <c r="J193" s="28">
        <v>66.0</v>
      </c>
      <c r="K193" s="28">
        <v>22328.0</v>
      </c>
      <c r="L193" s="28">
        <v>1597.0</v>
      </c>
      <c r="M193" s="28">
        <v>269764.0</v>
      </c>
      <c r="N193" s="28">
        <v>292092.0</v>
      </c>
      <c r="O193" s="28">
        <v>6.0</v>
      </c>
      <c r="P193" s="30">
        <v>2609.0</v>
      </c>
      <c r="Q193" s="30">
        <v>9.0</v>
      </c>
      <c r="R193" s="30">
        <v>2202.0</v>
      </c>
      <c r="S193" s="30">
        <v>0.0</v>
      </c>
      <c r="T193" s="30">
        <v>338.0</v>
      </c>
      <c r="U193" s="30">
        <v>69.0</v>
      </c>
      <c r="V193" s="30">
        <v>69.0</v>
      </c>
      <c r="W193" s="30">
        <v>8.0</v>
      </c>
      <c r="X193" s="30">
        <v>3.0</v>
      </c>
      <c r="Y193" s="30">
        <v>1.0</v>
      </c>
      <c r="Z193" s="28">
        <v>1085.0</v>
      </c>
    </row>
    <row r="194" ht="14.25" customHeight="1">
      <c r="A194" s="27">
        <v>44080.0</v>
      </c>
      <c r="B194" s="28">
        <v>87.0</v>
      </c>
      <c r="C194" s="28">
        <v>80.0</v>
      </c>
      <c r="D194" s="28">
        <v>32042.0</v>
      </c>
      <c r="E194" s="28">
        <v>4319.0</v>
      </c>
      <c r="F194" s="29">
        <v>553041.0</v>
      </c>
      <c r="G194" s="29">
        <v>4406.0</v>
      </c>
      <c r="H194" s="29">
        <v>585083.0</v>
      </c>
      <c r="I194" s="28">
        <v>64.0</v>
      </c>
      <c r="J194" s="28">
        <v>63.0</v>
      </c>
      <c r="K194" s="28">
        <v>22392.0</v>
      </c>
      <c r="L194" s="28">
        <v>1944.0</v>
      </c>
      <c r="M194" s="28">
        <v>271708.0</v>
      </c>
      <c r="N194" s="28">
        <v>294100.0</v>
      </c>
      <c r="O194" s="28">
        <v>4.0</v>
      </c>
      <c r="P194" s="30">
        <v>2613.0</v>
      </c>
      <c r="Q194" s="30">
        <v>8.0</v>
      </c>
      <c r="R194" s="30">
        <v>2210.0</v>
      </c>
      <c r="S194" s="30">
        <v>1.0</v>
      </c>
      <c r="T194" s="30">
        <v>339.0</v>
      </c>
      <c r="U194" s="30">
        <v>64.0</v>
      </c>
      <c r="V194" s="30">
        <v>68.0</v>
      </c>
      <c r="W194" s="30">
        <v>6.0</v>
      </c>
      <c r="X194" s="30">
        <v>3.0</v>
      </c>
      <c r="Y194" s="30">
        <v>1.0</v>
      </c>
      <c r="Z194" s="28">
        <v>1086.0</v>
      </c>
    </row>
    <row r="195" ht="14.25" customHeight="1">
      <c r="A195" s="27">
        <v>44081.0</v>
      </c>
      <c r="B195" s="28">
        <v>35.0</v>
      </c>
      <c r="C195" s="28">
        <v>58.0</v>
      </c>
      <c r="D195" s="28">
        <v>32077.0</v>
      </c>
      <c r="E195" s="28">
        <v>3002.0</v>
      </c>
      <c r="F195" s="29">
        <v>556043.0</v>
      </c>
      <c r="G195" s="29">
        <v>3037.0</v>
      </c>
      <c r="H195" s="29">
        <v>588120.0</v>
      </c>
      <c r="I195" s="28">
        <v>26.0</v>
      </c>
      <c r="J195" s="28">
        <v>44.0</v>
      </c>
      <c r="K195" s="28">
        <v>22418.0</v>
      </c>
      <c r="L195" s="28">
        <v>645.0</v>
      </c>
      <c r="M195" s="28">
        <v>272353.0</v>
      </c>
      <c r="N195" s="28">
        <v>294771.0</v>
      </c>
      <c r="O195" s="28">
        <v>11.0</v>
      </c>
      <c r="P195" s="30">
        <v>2624.0</v>
      </c>
      <c r="Q195" s="30">
        <v>3.0</v>
      </c>
      <c r="R195" s="30">
        <v>2213.0</v>
      </c>
      <c r="S195" s="30">
        <v>0.0</v>
      </c>
      <c r="T195" s="30">
        <v>339.0</v>
      </c>
      <c r="U195" s="30">
        <v>72.0</v>
      </c>
      <c r="V195" s="30">
        <v>68.0</v>
      </c>
      <c r="W195" s="30">
        <v>5.0</v>
      </c>
      <c r="X195" s="30">
        <v>3.0</v>
      </c>
      <c r="Y195" s="30">
        <v>1.0</v>
      </c>
      <c r="Z195" s="28">
        <v>1087.0</v>
      </c>
    </row>
    <row r="196" ht="14.25" customHeight="1">
      <c r="A196" s="27">
        <v>44082.0</v>
      </c>
      <c r="B196" s="28">
        <v>74.0</v>
      </c>
      <c r="C196" s="28">
        <v>65.0</v>
      </c>
      <c r="D196" s="28">
        <v>32151.0</v>
      </c>
      <c r="E196" s="28">
        <v>6376.0</v>
      </c>
      <c r="F196" s="29">
        <v>562419.0</v>
      </c>
      <c r="G196" s="29">
        <v>6450.0</v>
      </c>
      <c r="H196" s="29">
        <v>594570.0</v>
      </c>
      <c r="I196" s="28">
        <v>66.0</v>
      </c>
      <c r="J196" s="28">
        <v>52.0</v>
      </c>
      <c r="K196" s="28">
        <v>22484.0</v>
      </c>
      <c r="L196" s="28">
        <v>1590.0</v>
      </c>
      <c r="M196" s="28">
        <v>273943.0</v>
      </c>
      <c r="N196" s="28">
        <v>296427.0</v>
      </c>
      <c r="O196" s="28">
        <v>6.0</v>
      </c>
      <c r="P196" s="30">
        <v>2630.0</v>
      </c>
      <c r="Q196" s="30">
        <v>12.0</v>
      </c>
      <c r="R196" s="30">
        <v>2225.0</v>
      </c>
      <c r="S196" s="30">
        <v>1.0</v>
      </c>
      <c r="T196" s="30">
        <v>340.0</v>
      </c>
      <c r="U196" s="30">
        <v>65.0</v>
      </c>
      <c r="V196" s="30">
        <v>67.0</v>
      </c>
      <c r="W196" s="30">
        <v>6.0</v>
      </c>
      <c r="X196" s="30">
        <v>3.0</v>
      </c>
      <c r="Y196" s="30">
        <v>2.0</v>
      </c>
      <c r="Z196" s="28">
        <v>1089.0</v>
      </c>
    </row>
    <row r="197" ht="14.25" customHeight="1">
      <c r="A197" s="27">
        <v>44083.0</v>
      </c>
      <c r="B197" s="28">
        <v>118.0</v>
      </c>
      <c r="C197" s="28">
        <v>76.0</v>
      </c>
      <c r="D197" s="28">
        <v>32269.0</v>
      </c>
      <c r="E197" s="28">
        <v>8641.0</v>
      </c>
      <c r="F197" s="29">
        <v>571060.0</v>
      </c>
      <c r="G197" s="29">
        <v>8759.0</v>
      </c>
      <c r="H197" s="29">
        <v>603329.0</v>
      </c>
      <c r="I197" s="28">
        <v>102.0</v>
      </c>
      <c r="J197" s="28">
        <v>65.0</v>
      </c>
      <c r="K197" s="28">
        <v>22586.0</v>
      </c>
      <c r="L197" s="28">
        <v>2139.0</v>
      </c>
      <c r="M197" s="28">
        <v>276082.0</v>
      </c>
      <c r="N197" s="28">
        <v>298668.0</v>
      </c>
      <c r="O197" s="28">
        <v>9.0</v>
      </c>
      <c r="P197" s="30">
        <v>2639.0</v>
      </c>
      <c r="Q197" s="30">
        <v>5.0</v>
      </c>
      <c r="R197" s="30">
        <v>2230.0</v>
      </c>
      <c r="S197" s="30">
        <v>1.0</v>
      </c>
      <c r="T197" s="30">
        <v>341.0</v>
      </c>
      <c r="U197" s="30">
        <v>68.0</v>
      </c>
      <c r="V197" s="30">
        <v>68.0</v>
      </c>
      <c r="W197" s="30">
        <v>9.0</v>
      </c>
      <c r="X197" s="30">
        <v>3.0</v>
      </c>
      <c r="Y197" s="30">
        <v>1.0</v>
      </c>
      <c r="Z197" s="28">
        <v>1090.0</v>
      </c>
    </row>
    <row r="198" ht="14.25" customHeight="1">
      <c r="A198" s="27">
        <v>44084.0</v>
      </c>
      <c r="B198" s="28">
        <v>164.0</v>
      </c>
      <c r="C198" s="28">
        <v>119.0</v>
      </c>
      <c r="D198" s="28">
        <v>32433.0</v>
      </c>
      <c r="E198" s="28">
        <v>11327.0</v>
      </c>
      <c r="F198" s="29">
        <v>582387.0</v>
      </c>
      <c r="G198" s="29">
        <v>11491.0</v>
      </c>
      <c r="H198" s="29">
        <v>614820.0</v>
      </c>
      <c r="I198" s="28">
        <v>111.0</v>
      </c>
      <c r="J198" s="28">
        <v>93.0</v>
      </c>
      <c r="K198" s="28">
        <v>22697.0</v>
      </c>
      <c r="L198" s="28">
        <v>2273.0</v>
      </c>
      <c r="M198" s="28">
        <v>278355.0</v>
      </c>
      <c r="N198" s="28">
        <v>301052.0</v>
      </c>
      <c r="O198" s="28">
        <v>9.0</v>
      </c>
      <c r="P198" s="30">
        <v>2648.0</v>
      </c>
      <c r="Q198" s="30">
        <v>8.0</v>
      </c>
      <c r="R198" s="30">
        <v>2238.0</v>
      </c>
      <c r="S198" s="30">
        <v>0.0</v>
      </c>
      <c r="T198" s="30">
        <v>341.0</v>
      </c>
      <c r="U198" s="30">
        <v>69.0</v>
      </c>
      <c r="V198" s="30">
        <v>67.0</v>
      </c>
      <c r="W198" s="30">
        <v>10.0</v>
      </c>
      <c r="X198" s="30">
        <v>3.0</v>
      </c>
      <c r="Y198" s="30">
        <v>1.0</v>
      </c>
      <c r="Z198" s="28">
        <v>1091.0</v>
      </c>
    </row>
    <row r="199" ht="14.25" customHeight="1">
      <c r="A199" s="27">
        <v>44085.0</v>
      </c>
      <c r="B199" s="28">
        <v>120.0</v>
      </c>
      <c r="C199" s="28">
        <v>134.0</v>
      </c>
      <c r="D199" s="28">
        <v>32553.0</v>
      </c>
      <c r="E199" s="28">
        <v>9449.0</v>
      </c>
      <c r="F199" s="29">
        <v>591836.0</v>
      </c>
      <c r="G199" s="29">
        <v>9569.0</v>
      </c>
      <c r="H199" s="29">
        <v>624389.0</v>
      </c>
      <c r="I199" s="28">
        <v>98.0</v>
      </c>
      <c r="J199" s="28">
        <v>104.0</v>
      </c>
      <c r="K199" s="28">
        <v>22795.0</v>
      </c>
      <c r="L199" s="28">
        <v>1964.0</v>
      </c>
      <c r="M199" s="28">
        <v>280319.0</v>
      </c>
      <c r="N199" s="28">
        <v>303114.0</v>
      </c>
      <c r="O199" s="28">
        <v>11.0</v>
      </c>
      <c r="P199" s="30">
        <v>2659.0</v>
      </c>
      <c r="Q199" s="30">
        <v>11.0</v>
      </c>
      <c r="R199" s="30">
        <v>2249.0</v>
      </c>
      <c r="S199" s="30">
        <v>0.0</v>
      </c>
      <c r="T199" s="30">
        <v>341.0</v>
      </c>
      <c r="U199" s="30">
        <v>69.0</v>
      </c>
      <c r="V199" s="30">
        <v>69.0</v>
      </c>
      <c r="W199" s="30">
        <v>10.0</v>
      </c>
      <c r="X199" s="30">
        <v>5.0</v>
      </c>
      <c r="Y199" s="30">
        <v>0.0</v>
      </c>
      <c r="Z199" s="28">
        <v>1091.0</v>
      </c>
    </row>
    <row r="200" ht="14.25" customHeight="1">
      <c r="A200" s="27">
        <v>44086.0</v>
      </c>
      <c r="B200" s="28">
        <v>109.0</v>
      </c>
      <c r="C200" s="28">
        <v>131.0</v>
      </c>
      <c r="D200" s="28">
        <v>32662.0</v>
      </c>
      <c r="E200" s="28">
        <v>6165.0</v>
      </c>
      <c r="F200" s="29">
        <v>598001.0</v>
      </c>
      <c r="G200" s="29">
        <v>6274.0</v>
      </c>
      <c r="H200" s="29">
        <v>630663.0</v>
      </c>
      <c r="I200" s="28">
        <v>97.0</v>
      </c>
      <c r="J200" s="28">
        <v>102.0</v>
      </c>
      <c r="K200" s="28">
        <v>22892.0</v>
      </c>
      <c r="L200" s="28">
        <v>1520.0</v>
      </c>
      <c r="M200" s="28">
        <v>281839.0</v>
      </c>
      <c r="N200" s="28">
        <v>304731.0</v>
      </c>
      <c r="O200" s="28">
        <v>8.0</v>
      </c>
      <c r="P200" s="30">
        <v>2667.0</v>
      </c>
      <c r="Q200" s="30">
        <v>5.0</v>
      </c>
      <c r="R200" s="30">
        <v>2254.0</v>
      </c>
      <c r="S200" s="30">
        <v>2.0</v>
      </c>
      <c r="T200" s="30">
        <v>343.0</v>
      </c>
      <c r="U200" s="30">
        <v>70.0</v>
      </c>
      <c r="V200" s="30">
        <v>69.0</v>
      </c>
      <c r="W200" s="30">
        <v>9.0</v>
      </c>
      <c r="X200" s="30">
        <v>5.0</v>
      </c>
      <c r="Y200" s="30">
        <v>3.0</v>
      </c>
      <c r="Z200" s="28">
        <v>1094.0</v>
      </c>
    </row>
    <row r="201" ht="14.25" customHeight="1">
      <c r="A201" s="27">
        <v>44087.0</v>
      </c>
      <c r="B201" s="28">
        <v>58.0</v>
      </c>
      <c r="C201" s="28">
        <v>96.0</v>
      </c>
      <c r="D201" s="28">
        <v>32720.0</v>
      </c>
      <c r="E201" s="28">
        <v>2710.0</v>
      </c>
      <c r="F201" s="29">
        <v>600711.0</v>
      </c>
      <c r="G201" s="29">
        <v>2768.0</v>
      </c>
      <c r="H201" s="29">
        <v>633431.0</v>
      </c>
      <c r="I201" s="28">
        <v>54.0</v>
      </c>
      <c r="J201" s="28">
        <v>83.0</v>
      </c>
      <c r="K201" s="28">
        <v>22946.0</v>
      </c>
      <c r="L201" s="28">
        <v>858.0</v>
      </c>
      <c r="M201" s="28">
        <v>282697.0</v>
      </c>
      <c r="N201" s="28">
        <v>305643.0</v>
      </c>
      <c r="O201" s="28">
        <v>4.0</v>
      </c>
      <c r="P201" s="30">
        <v>2671.0</v>
      </c>
      <c r="Q201" s="30">
        <v>3.0</v>
      </c>
      <c r="R201" s="30">
        <v>2257.0</v>
      </c>
      <c r="S201" s="30">
        <v>0.0</v>
      </c>
      <c r="T201" s="30">
        <v>343.0</v>
      </c>
      <c r="U201" s="30">
        <v>71.0</v>
      </c>
      <c r="V201" s="30">
        <v>70.0</v>
      </c>
      <c r="W201" s="30">
        <v>10.0</v>
      </c>
      <c r="X201" s="30">
        <v>5.0</v>
      </c>
      <c r="Y201" s="30">
        <v>0.0</v>
      </c>
      <c r="Z201" s="28">
        <v>1094.0</v>
      </c>
    </row>
    <row r="202" ht="14.25" customHeight="1">
      <c r="A202" s="27">
        <v>44088.0</v>
      </c>
      <c r="B202" s="28">
        <v>104.0</v>
      </c>
      <c r="C202" s="28">
        <v>90.0</v>
      </c>
      <c r="D202" s="28">
        <v>32824.0</v>
      </c>
      <c r="E202" s="28">
        <v>6437.0</v>
      </c>
      <c r="F202" s="29">
        <v>607148.0</v>
      </c>
      <c r="G202" s="29">
        <v>6541.0</v>
      </c>
      <c r="H202" s="29">
        <v>639972.0</v>
      </c>
      <c r="I202" s="28">
        <v>95.0</v>
      </c>
      <c r="J202" s="28">
        <v>82.0</v>
      </c>
      <c r="K202" s="28">
        <v>23041.0</v>
      </c>
      <c r="L202" s="28">
        <v>1731.0</v>
      </c>
      <c r="M202" s="28">
        <v>284428.0</v>
      </c>
      <c r="N202" s="28">
        <v>307469.0</v>
      </c>
      <c r="O202" s="28">
        <v>5.0</v>
      </c>
      <c r="P202" s="30">
        <v>2676.0</v>
      </c>
      <c r="Q202" s="30">
        <v>3.0</v>
      </c>
      <c r="R202" s="30">
        <v>2260.0</v>
      </c>
      <c r="S202" s="30">
        <v>2.0</v>
      </c>
      <c r="T202" s="30">
        <v>345.0</v>
      </c>
      <c r="U202" s="30">
        <v>71.0</v>
      </c>
      <c r="V202" s="30">
        <v>71.0</v>
      </c>
      <c r="W202" s="30">
        <v>10.0</v>
      </c>
      <c r="X202" s="30">
        <v>5.0</v>
      </c>
      <c r="Y202" s="30">
        <v>2.0</v>
      </c>
      <c r="Z202" s="28">
        <v>1096.0</v>
      </c>
    </row>
    <row r="203" ht="14.25" customHeight="1">
      <c r="A203" s="27">
        <v>44089.0</v>
      </c>
      <c r="B203" s="28">
        <v>122.0</v>
      </c>
      <c r="C203" s="28">
        <v>95.0</v>
      </c>
      <c r="D203" s="28">
        <v>32946.0</v>
      </c>
      <c r="E203" s="28">
        <v>8462.0</v>
      </c>
      <c r="F203" s="29">
        <v>615610.0</v>
      </c>
      <c r="G203" s="29">
        <v>8584.0</v>
      </c>
      <c r="H203" s="29">
        <v>648556.0</v>
      </c>
      <c r="I203" s="28">
        <v>124.0</v>
      </c>
      <c r="J203" s="28">
        <v>91.0</v>
      </c>
      <c r="K203" s="28">
        <v>23165.0</v>
      </c>
      <c r="L203" s="28">
        <v>2197.0</v>
      </c>
      <c r="M203" s="28">
        <v>286625.0</v>
      </c>
      <c r="N203" s="28">
        <v>309790.0</v>
      </c>
      <c r="O203" s="28">
        <v>7.0</v>
      </c>
      <c r="P203" s="30">
        <v>2683.0</v>
      </c>
      <c r="Q203" s="30">
        <v>2.0</v>
      </c>
      <c r="R203" s="30">
        <v>2262.0</v>
      </c>
      <c r="S203" s="30">
        <v>1.0</v>
      </c>
      <c r="T203" s="30">
        <v>346.0</v>
      </c>
      <c r="U203" s="30">
        <v>75.0</v>
      </c>
      <c r="V203" s="30">
        <v>72.0</v>
      </c>
      <c r="W203" s="30">
        <v>10.0</v>
      </c>
      <c r="X203" s="30">
        <v>5.0</v>
      </c>
      <c r="Y203" s="30">
        <v>2.0</v>
      </c>
      <c r="Z203" s="28">
        <v>1098.0</v>
      </c>
    </row>
    <row r="204" ht="14.25" customHeight="1">
      <c r="A204" s="27">
        <v>44090.0</v>
      </c>
      <c r="B204" s="28">
        <v>137.0</v>
      </c>
      <c r="C204" s="28">
        <v>121.0</v>
      </c>
      <c r="D204" s="28">
        <v>33083.0</v>
      </c>
      <c r="E204" s="28">
        <v>9712.0</v>
      </c>
      <c r="F204" s="29">
        <v>625322.0</v>
      </c>
      <c r="G204" s="29">
        <v>9849.0</v>
      </c>
      <c r="H204" s="29">
        <v>658405.0</v>
      </c>
      <c r="I204" s="28">
        <v>118.0</v>
      </c>
      <c r="J204" s="28">
        <v>112.0</v>
      </c>
      <c r="K204" s="28">
        <v>23283.0</v>
      </c>
      <c r="L204" s="28">
        <v>1972.0</v>
      </c>
      <c r="M204" s="28">
        <v>288597.0</v>
      </c>
      <c r="N204" s="28">
        <v>311880.0</v>
      </c>
      <c r="O204" s="28">
        <v>7.0</v>
      </c>
      <c r="P204" s="30">
        <v>2690.0</v>
      </c>
      <c r="Q204" s="30">
        <v>7.0</v>
      </c>
      <c r="R204" s="30">
        <v>2269.0</v>
      </c>
      <c r="S204" s="30">
        <v>2.0</v>
      </c>
      <c r="T204" s="30">
        <v>348.0</v>
      </c>
      <c r="U204" s="30">
        <v>73.0</v>
      </c>
      <c r="V204" s="30">
        <v>73.0</v>
      </c>
      <c r="W204" s="30">
        <v>9.0</v>
      </c>
      <c r="X204" s="30">
        <v>6.0</v>
      </c>
      <c r="Y204" s="30">
        <v>5.0</v>
      </c>
      <c r="Z204" s="28">
        <v>1103.0</v>
      </c>
    </row>
    <row r="205" ht="14.25" customHeight="1">
      <c r="A205" s="27">
        <v>44091.0</v>
      </c>
      <c r="B205" s="28">
        <v>124.0</v>
      </c>
      <c r="C205" s="28">
        <v>128.0</v>
      </c>
      <c r="D205" s="28">
        <v>33207.0</v>
      </c>
      <c r="E205" s="28">
        <v>9234.0</v>
      </c>
      <c r="F205" s="29">
        <v>634556.0</v>
      </c>
      <c r="G205" s="29">
        <v>9358.0</v>
      </c>
      <c r="H205" s="29">
        <v>667763.0</v>
      </c>
      <c r="I205" s="28">
        <v>154.0</v>
      </c>
      <c r="J205" s="28">
        <v>132.0</v>
      </c>
      <c r="K205" s="28">
        <v>23437.0</v>
      </c>
      <c r="L205" s="28">
        <v>1948.0</v>
      </c>
      <c r="M205" s="28">
        <v>290545.0</v>
      </c>
      <c r="N205" s="28">
        <v>313982.0</v>
      </c>
      <c r="O205" s="28">
        <v>7.0</v>
      </c>
      <c r="P205" s="30">
        <v>2697.0</v>
      </c>
      <c r="Q205" s="30">
        <v>14.0</v>
      </c>
      <c r="R205" s="30">
        <v>2283.0</v>
      </c>
      <c r="S205" s="30">
        <v>0.0</v>
      </c>
      <c r="T205" s="30">
        <v>348.0</v>
      </c>
      <c r="U205" s="30">
        <v>66.0</v>
      </c>
      <c r="V205" s="30">
        <v>71.0</v>
      </c>
      <c r="W205" s="30">
        <v>8.0</v>
      </c>
      <c r="X205" s="30">
        <v>4.0</v>
      </c>
      <c r="Y205" s="30">
        <v>0.0</v>
      </c>
      <c r="Z205" s="28">
        <v>1103.0</v>
      </c>
    </row>
    <row r="206" ht="14.25" customHeight="1">
      <c r="A206" s="27">
        <v>44092.0</v>
      </c>
      <c r="B206" s="28">
        <v>132.0</v>
      </c>
      <c r="C206" s="28">
        <v>131.0</v>
      </c>
      <c r="D206" s="28">
        <v>33339.0</v>
      </c>
      <c r="E206" s="28">
        <v>10036.0</v>
      </c>
      <c r="F206" s="29">
        <v>644592.0</v>
      </c>
      <c r="G206" s="29">
        <v>10168.0</v>
      </c>
      <c r="H206" s="29">
        <v>677931.0</v>
      </c>
      <c r="I206" s="28">
        <v>132.0</v>
      </c>
      <c r="J206" s="28">
        <v>135.0</v>
      </c>
      <c r="K206" s="28">
        <v>23569.0</v>
      </c>
      <c r="L206" s="28">
        <v>1926.0</v>
      </c>
      <c r="M206" s="28">
        <v>292471.0</v>
      </c>
      <c r="N206" s="28">
        <v>316040.0</v>
      </c>
      <c r="O206" s="28">
        <v>7.0</v>
      </c>
      <c r="P206" s="30">
        <v>2704.0</v>
      </c>
      <c r="Q206" s="30">
        <v>7.0</v>
      </c>
      <c r="R206" s="30">
        <v>2290.0</v>
      </c>
      <c r="S206" s="30">
        <v>1.0</v>
      </c>
      <c r="T206" s="30">
        <v>349.0</v>
      </c>
      <c r="U206" s="30">
        <v>65.0</v>
      </c>
      <c r="V206" s="30">
        <v>68.0</v>
      </c>
      <c r="W206" s="30">
        <v>11.0</v>
      </c>
      <c r="X206" s="30">
        <v>6.0</v>
      </c>
      <c r="Y206" s="30">
        <v>2.0</v>
      </c>
      <c r="Z206" s="28">
        <v>1105.0</v>
      </c>
    </row>
    <row r="207" ht="14.25" customHeight="1">
      <c r="A207" s="27">
        <v>44093.0</v>
      </c>
      <c r="B207" s="28">
        <v>115.0</v>
      </c>
      <c r="C207" s="28">
        <v>124.0</v>
      </c>
      <c r="D207" s="28">
        <v>33454.0</v>
      </c>
      <c r="E207" s="28">
        <v>8298.0</v>
      </c>
      <c r="F207" s="29">
        <v>652890.0</v>
      </c>
      <c r="G207" s="29">
        <v>8413.0</v>
      </c>
      <c r="H207" s="29">
        <v>686344.0</v>
      </c>
      <c r="I207" s="28">
        <v>112.0</v>
      </c>
      <c r="J207" s="28">
        <v>133.0</v>
      </c>
      <c r="K207" s="28">
        <v>23681.0</v>
      </c>
      <c r="L207" s="28">
        <v>1692.0</v>
      </c>
      <c r="M207" s="28">
        <v>294163.0</v>
      </c>
      <c r="N207" s="28">
        <v>317844.0</v>
      </c>
      <c r="O207" s="28">
        <v>7.0</v>
      </c>
      <c r="P207" s="30">
        <v>2711.0</v>
      </c>
      <c r="Q207" s="30">
        <v>3.0</v>
      </c>
      <c r="R207" s="30">
        <v>2293.0</v>
      </c>
      <c r="S207" s="30">
        <v>0.0</v>
      </c>
      <c r="T207" s="30">
        <v>349.0</v>
      </c>
      <c r="U207" s="30">
        <v>69.0</v>
      </c>
      <c r="V207" s="30">
        <v>67.0</v>
      </c>
      <c r="W207" s="30">
        <v>10.0</v>
      </c>
      <c r="X207" s="30">
        <v>6.0</v>
      </c>
      <c r="Y207" s="30">
        <v>4.0</v>
      </c>
      <c r="Z207" s="28">
        <v>1109.0</v>
      </c>
    </row>
    <row r="208" ht="14.25" customHeight="1">
      <c r="A208" s="27">
        <v>44094.0</v>
      </c>
      <c r="B208" s="28">
        <v>60.0</v>
      </c>
      <c r="C208" s="28">
        <v>102.0</v>
      </c>
      <c r="D208" s="28">
        <v>33514.0</v>
      </c>
      <c r="E208" s="28">
        <v>3671.0</v>
      </c>
      <c r="F208" s="29">
        <v>656561.0</v>
      </c>
      <c r="G208" s="29">
        <v>3731.0</v>
      </c>
      <c r="H208" s="29">
        <v>690075.0</v>
      </c>
      <c r="I208" s="28">
        <v>49.0</v>
      </c>
      <c r="J208" s="28">
        <v>98.0</v>
      </c>
      <c r="K208" s="28">
        <v>23730.0</v>
      </c>
      <c r="L208" s="28">
        <v>1324.0</v>
      </c>
      <c r="M208" s="28">
        <v>295487.0</v>
      </c>
      <c r="N208" s="28">
        <v>319217.0</v>
      </c>
      <c r="O208" s="28">
        <v>7.0</v>
      </c>
      <c r="P208" s="30">
        <v>2718.0</v>
      </c>
      <c r="Q208" s="30">
        <v>6.0</v>
      </c>
      <c r="R208" s="30">
        <v>2299.0</v>
      </c>
      <c r="S208" s="30">
        <v>2.0</v>
      </c>
      <c r="T208" s="30">
        <v>351.0</v>
      </c>
      <c r="U208" s="30">
        <v>68.0</v>
      </c>
      <c r="V208" s="30">
        <v>67.0</v>
      </c>
      <c r="W208" s="30">
        <v>9.0</v>
      </c>
      <c r="X208" s="30">
        <v>8.0</v>
      </c>
      <c r="Y208" s="30">
        <v>4.0</v>
      </c>
      <c r="Z208" s="28">
        <v>1113.0</v>
      </c>
    </row>
    <row r="209" ht="14.25" customHeight="1">
      <c r="A209" s="27">
        <v>44095.0</v>
      </c>
      <c r="B209" s="28">
        <v>102.0</v>
      </c>
      <c r="C209" s="28">
        <v>92.0</v>
      </c>
      <c r="D209" s="28">
        <v>33616.0</v>
      </c>
      <c r="E209" s="28">
        <v>7017.0</v>
      </c>
      <c r="F209" s="29">
        <v>663578.0</v>
      </c>
      <c r="G209" s="29">
        <v>7119.0</v>
      </c>
      <c r="H209" s="29">
        <v>697194.0</v>
      </c>
      <c r="I209" s="28">
        <v>94.0</v>
      </c>
      <c r="J209" s="28">
        <v>85.0</v>
      </c>
      <c r="K209" s="28">
        <v>23824.0</v>
      </c>
      <c r="L209" s="28">
        <v>2409.0</v>
      </c>
      <c r="M209" s="28">
        <v>297896.0</v>
      </c>
      <c r="N209" s="28">
        <v>321720.0</v>
      </c>
      <c r="O209" s="28">
        <v>12.0</v>
      </c>
      <c r="P209" s="30">
        <v>2730.0</v>
      </c>
      <c r="Q209" s="30">
        <v>3.0</v>
      </c>
      <c r="R209" s="30">
        <v>2302.0</v>
      </c>
      <c r="S209" s="30">
        <v>2.0</v>
      </c>
      <c r="T209" s="30">
        <v>353.0</v>
      </c>
      <c r="U209" s="30">
        <v>75.0</v>
      </c>
      <c r="V209" s="30">
        <v>71.0</v>
      </c>
      <c r="W209" s="30">
        <v>8.0</v>
      </c>
      <c r="X209" s="30">
        <v>6.0</v>
      </c>
      <c r="Y209" s="30">
        <v>2.0</v>
      </c>
      <c r="Z209" s="28">
        <v>1115.0</v>
      </c>
    </row>
    <row r="210" ht="14.25" customHeight="1">
      <c r="A210" s="27">
        <v>44096.0</v>
      </c>
      <c r="B210" s="28">
        <v>154.0</v>
      </c>
      <c r="C210" s="28">
        <v>105.0</v>
      </c>
      <c r="D210" s="28">
        <v>33770.0</v>
      </c>
      <c r="E210" s="28">
        <v>9283.0</v>
      </c>
      <c r="F210" s="29">
        <v>672861.0</v>
      </c>
      <c r="G210" s="29">
        <v>9437.0</v>
      </c>
      <c r="H210" s="29">
        <v>706631.0</v>
      </c>
      <c r="I210" s="28">
        <v>123.0</v>
      </c>
      <c r="J210" s="28">
        <v>89.0</v>
      </c>
      <c r="K210" s="28">
        <v>23947.0</v>
      </c>
      <c r="L210" s="28">
        <v>2204.0</v>
      </c>
      <c r="M210" s="28">
        <v>300100.0</v>
      </c>
      <c r="N210" s="28">
        <v>324047.0</v>
      </c>
      <c r="O210" s="28">
        <v>12.0</v>
      </c>
      <c r="P210" s="30">
        <v>2742.0</v>
      </c>
      <c r="Q210" s="30">
        <v>3.0</v>
      </c>
      <c r="R210" s="30">
        <v>2305.0</v>
      </c>
      <c r="S210" s="30">
        <v>1.0</v>
      </c>
      <c r="T210" s="30">
        <v>354.0</v>
      </c>
      <c r="U210" s="30">
        <v>83.0</v>
      </c>
      <c r="V210" s="30">
        <v>75.0</v>
      </c>
      <c r="W210" s="30">
        <v>7.0</v>
      </c>
      <c r="X210" s="30">
        <v>5.0</v>
      </c>
      <c r="Y210" s="30">
        <v>1.0</v>
      </c>
      <c r="Z210" s="28">
        <v>1116.0</v>
      </c>
    </row>
    <row r="211" ht="14.25" customHeight="1">
      <c r="A211" s="27">
        <v>44097.0</v>
      </c>
      <c r="B211" s="28">
        <v>136.0</v>
      </c>
      <c r="C211" s="28">
        <v>131.0</v>
      </c>
      <c r="D211" s="28">
        <v>33906.0</v>
      </c>
      <c r="E211" s="28">
        <v>10646.0</v>
      </c>
      <c r="F211" s="29">
        <v>683507.0</v>
      </c>
      <c r="G211" s="29">
        <v>10782.0</v>
      </c>
      <c r="H211" s="29">
        <v>717413.0</v>
      </c>
      <c r="I211" s="28">
        <v>127.0</v>
      </c>
      <c r="J211" s="28">
        <v>115.0</v>
      </c>
      <c r="K211" s="28">
        <v>24074.0</v>
      </c>
      <c r="L211" s="28">
        <v>2218.0</v>
      </c>
      <c r="M211" s="28">
        <v>302318.0</v>
      </c>
      <c r="N211" s="28">
        <v>326392.0</v>
      </c>
      <c r="O211" s="28">
        <v>12.0</v>
      </c>
      <c r="P211" s="30">
        <v>2754.0</v>
      </c>
      <c r="Q211" s="30">
        <v>7.0</v>
      </c>
      <c r="R211" s="30">
        <v>2312.0</v>
      </c>
      <c r="S211" s="30">
        <v>0.0</v>
      </c>
      <c r="T211" s="30">
        <v>354.0</v>
      </c>
      <c r="U211" s="30">
        <v>88.0</v>
      </c>
      <c r="V211" s="30">
        <v>82.0</v>
      </c>
      <c r="W211" s="30">
        <v>6.0</v>
      </c>
      <c r="X211" s="30">
        <v>5.0</v>
      </c>
      <c r="Y211" s="30">
        <v>0.0</v>
      </c>
      <c r="Z211" s="28">
        <v>1116.0</v>
      </c>
    </row>
    <row r="212" ht="14.25" customHeight="1">
      <c r="A212" s="27">
        <v>44098.0</v>
      </c>
      <c r="B212" s="28">
        <v>118.0</v>
      </c>
      <c r="C212" s="28">
        <v>136.0</v>
      </c>
      <c r="D212" s="28">
        <v>34024.0</v>
      </c>
      <c r="E212" s="28">
        <v>12473.0</v>
      </c>
      <c r="F212" s="29">
        <v>695980.0</v>
      </c>
      <c r="G212" s="29">
        <v>12591.0</v>
      </c>
      <c r="H212" s="29">
        <v>730004.0</v>
      </c>
      <c r="I212" s="28">
        <v>120.0</v>
      </c>
      <c r="J212" s="28">
        <v>123.0</v>
      </c>
      <c r="K212" s="28">
        <v>24194.0</v>
      </c>
      <c r="L212" s="28">
        <v>3169.0</v>
      </c>
      <c r="M212" s="28">
        <v>305487.0</v>
      </c>
      <c r="N212" s="28">
        <v>329681.0</v>
      </c>
      <c r="O212" s="28">
        <v>7.0</v>
      </c>
      <c r="P212" s="30">
        <v>2761.0</v>
      </c>
      <c r="Q212" s="30">
        <v>9.0</v>
      </c>
      <c r="R212" s="30">
        <v>2321.0</v>
      </c>
      <c r="S212" s="30">
        <v>1.0</v>
      </c>
      <c r="T212" s="30">
        <v>355.0</v>
      </c>
      <c r="U212" s="30">
        <v>85.0</v>
      </c>
      <c r="V212" s="30">
        <v>85.0</v>
      </c>
      <c r="W212" s="30">
        <v>7.0</v>
      </c>
      <c r="X212" s="30">
        <v>5.0</v>
      </c>
      <c r="Y212" s="30">
        <v>1.0</v>
      </c>
      <c r="Z212" s="28">
        <v>1117.0</v>
      </c>
    </row>
    <row r="213" ht="14.25" customHeight="1">
      <c r="A213" s="27">
        <v>44099.0</v>
      </c>
      <c r="B213" s="28">
        <v>149.0</v>
      </c>
      <c r="C213" s="28">
        <v>134.0</v>
      </c>
      <c r="D213" s="28">
        <v>34173.0</v>
      </c>
      <c r="E213" s="28">
        <v>10545.0</v>
      </c>
      <c r="F213" s="29">
        <v>706525.0</v>
      </c>
      <c r="G213" s="29">
        <v>10694.0</v>
      </c>
      <c r="H213" s="29">
        <v>740698.0</v>
      </c>
      <c r="I213" s="28">
        <v>142.0</v>
      </c>
      <c r="J213" s="28">
        <v>130.0</v>
      </c>
      <c r="K213" s="28">
        <v>24336.0</v>
      </c>
      <c r="L213" s="28">
        <v>3010.0</v>
      </c>
      <c r="M213" s="28">
        <v>308497.0</v>
      </c>
      <c r="N213" s="28">
        <v>332833.0</v>
      </c>
      <c r="O213" s="28">
        <v>9.0</v>
      </c>
      <c r="P213" s="30">
        <v>2770.0</v>
      </c>
      <c r="Q213" s="30">
        <v>10.0</v>
      </c>
      <c r="R213" s="30">
        <v>2331.0</v>
      </c>
      <c r="S213" s="30">
        <v>0.0</v>
      </c>
      <c r="T213" s="30">
        <v>355.0</v>
      </c>
      <c r="U213" s="30">
        <v>84.0</v>
      </c>
      <c r="V213" s="30">
        <v>86.0</v>
      </c>
      <c r="W213" s="30">
        <v>6.0</v>
      </c>
      <c r="X213" s="30">
        <v>5.0</v>
      </c>
      <c r="Y213" s="30">
        <v>1.0</v>
      </c>
      <c r="Z213" s="28">
        <v>1118.0</v>
      </c>
    </row>
    <row r="214" ht="14.25" customHeight="1">
      <c r="A214" s="27">
        <v>44100.0</v>
      </c>
      <c r="B214" s="28">
        <v>146.0</v>
      </c>
      <c r="C214" s="28">
        <v>138.0</v>
      </c>
      <c r="D214" s="28">
        <v>34319.0</v>
      </c>
      <c r="E214" s="28">
        <v>10553.0</v>
      </c>
      <c r="F214" s="29">
        <v>717078.0</v>
      </c>
      <c r="G214" s="29">
        <v>10699.0</v>
      </c>
      <c r="H214" s="29">
        <v>751397.0</v>
      </c>
      <c r="I214" s="28">
        <v>119.0</v>
      </c>
      <c r="J214" s="28">
        <v>127.0</v>
      </c>
      <c r="K214" s="28">
        <v>24455.0</v>
      </c>
      <c r="L214" s="28">
        <v>2424.0</v>
      </c>
      <c r="M214" s="28">
        <v>310921.0</v>
      </c>
      <c r="N214" s="28">
        <v>335376.0</v>
      </c>
      <c r="O214" s="28">
        <v>12.0</v>
      </c>
      <c r="P214" s="30">
        <v>2782.0</v>
      </c>
      <c r="Q214" s="30">
        <v>9.0</v>
      </c>
      <c r="R214" s="30">
        <v>2340.0</v>
      </c>
      <c r="S214" s="30">
        <v>0.0</v>
      </c>
      <c r="T214" s="30">
        <v>355.0</v>
      </c>
      <c r="U214" s="30">
        <v>87.0</v>
      </c>
      <c r="V214" s="30">
        <v>85.0</v>
      </c>
      <c r="W214" s="30">
        <v>6.0</v>
      </c>
      <c r="X214" s="30">
        <v>5.0</v>
      </c>
      <c r="Y214" s="30">
        <v>1.0</v>
      </c>
      <c r="Z214" s="28">
        <v>1119.0</v>
      </c>
    </row>
    <row r="215" ht="14.25" customHeight="1">
      <c r="A215" s="27">
        <v>44101.0</v>
      </c>
      <c r="B215" s="28">
        <v>43.0</v>
      </c>
      <c r="C215" s="28">
        <v>113.0</v>
      </c>
      <c r="D215" s="28">
        <v>34362.0</v>
      </c>
      <c r="E215" s="28">
        <v>2761.0</v>
      </c>
      <c r="F215" s="29">
        <v>719839.0</v>
      </c>
      <c r="G215" s="29">
        <v>2804.0</v>
      </c>
      <c r="H215" s="29">
        <v>754201.0</v>
      </c>
      <c r="I215" s="28">
        <v>34.0</v>
      </c>
      <c r="J215" s="28">
        <v>98.0</v>
      </c>
      <c r="K215" s="28">
        <v>24489.0</v>
      </c>
      <c r="L215" s="28">
        <v>846.0</v>
      </c>
      <c r="M215" s="28">
        <v>311767.0</v>
      </c>
      <c r="N215" s="28">
        <v>336256.0</v>
      </c>
      <c r="O215" s="28">
        <v>7.0</v>
      </c>
      <c r="P215" s="30">
        <v>2789.0</v>
      </c>
      <c r="Q215" s="30">
        <v>5.0</v>
      </c>
      <c r="R215" s="30">
        <v>2345.0</v>
      </c>
      <c r="S215" s="30">
        <v>0.0</v>
      </c>
      <c r="T215" s="30">
        <v>355.0</v>
      </c>
      <c r="U215" s="30">
        <v>89.0</v>
      </c>
      <c r="V215" s="30">
        <v>87.0</v>
      </c>
      <c r="W215" s="30">
        <v>9.0</v>
      </c>
      <c r="X215" s="30">
        <v>5.0</v>
      </c>
      <c r="Y215" s="30">
        <v>0.0</v>
      </c>
      <c r="Z215" s="28">
        <v>1119.0</v>
      </c>
    </row>
    <row r="216" ht="14.25" customHeight="1">
      <c r="A216" s="27">
        <v>44102.0</v>
      </c>
      <c r="B216" s="28">
        <v>152.0</v>
      </c>
      <c r="C216" s="28">
        <v>114.0</v>
      </c>
      <c r="D216" s="28">
        <v>34514.0</v>
      </c>
      <c r="E216" s="28">
        <v>7303.0</v>
      </c>
      <c r="F216" s="29">
        <v>727142.0</v>
      </c>
      <c r="G216" s="29">
        <v>7455.0</v>
      </c>
      <c r="H216" s="29">
        <v>761656.0</v>
      </c>
      <c r="I216" s="28">
        <v>133.0</v>
      </c>
      <c r="J216" s="28">
        <v>95.0</v>
      </c>
      <c r="K216" s="28">
        <v>24622.0</v>
      </c>
      <c r="L216" s="28">
        <v>2262.0</v>
      </c>
      <c r="M216" s="28">
        <v>314029.0</v>
      </c>
      <c r="N216" s="28">
        <v>338651.0</v>
      </c>
      <c r="O216" s="28">
        <v>7.0</v>
      </c>
      <c r="P216" s="30">
        <v>2796.0</v>
      </c>
      <c r="Q216" s="30">
        <v>7.0</v>
      </c>
      <c r="R216" s="30">
        <v>2352.0</v>
      </c>
      <c r="S216" s="30">
        <v>2.0</v>
      </c>
      <c r="T216" s="30">
        <v>357.0</v>
      </c>
      <c r="U216" s="30">
        <v>87.0</v>
      </c>
      <c r="V216" s="30">
        <v>88.0</v>
      </c>
      <c r="W216" s="30">
        <v>7.0</v>
      </c>
      <c r="X216" s="30">
        <v>5.0</v>
      </c>
      <c r="Y216" s="30">
        <v>2.0</v>
      </c>
      <c r="Z216" s="28">
        <v>1121.0</v>
      </c>
    </row>
    <row r="217" ht="14.25" customHeight="1">
      <c r="A217" s="27">
        <v>44103.0</v>
      </c>
      <c r="B217" s="28">
        <v>208.0</v>
      </c>
      <c r="C217" s="28">
        <v>134.0</v>
      </c>
      <c r="D217" s="28">
        <v>34722.0</v>
      </c>
      <c r="E217" s="28">
        <v>11042.0</v>
      </c>
      <c r="F217" s="29">
        <v>738184.0</v>
      </c>
      <c r="G217" s="29">
        <v>11250.0</v>
      </c>
      <c r="H217" s="29">
        <v>772906.0</v>
      </c>
      <c r="I217" s="28">
        <v>190.0</v>
      </c>
      <c r="J217" s="28">
        <v>119.0</v>
      </c>
      <c r="K217" s="28">
        <v>24812.0</v>
      </c>
      <c r="L217" s="28">
        <v>2830.0</v>
      </c>
      <c r="M217" s="28">
        <v>316859.0</v>
      </c>
      <c r="N217" s="28">
        <v>341671.0</v>
      </c>
      <c r="O217" s="28">
        <v>12.0</v>
      </c>
      <c r="P217" s="30">
        <v>2808.0</v>
      </c>
      <c r="Q217" s="30">
        <v>18.0</v>
      </c>
      <c r="R217" s="30">
        <v>2370.0</v>
      </c>
      <c r="S217" s="30">
        <v>1.0</v>
      </c>
      <c r="T217" s="30">
        <v>358.0</v>
      </c>
      <c r="U217" s="30">
        <v>80.0</v>
      </c>
      <c r="V217" s="30">
        <v>85.0</v>
      </c>
      <c r="W217" s="30">
        <v>6.0</v>
      </c>
      <c r="X217" s="30">
        <v>6.0</v>
      </c>
      <c r="Y217" s="30">
        <v>1.0</v>
      </c>
      <c r="Z217" s="28">
        <v>1122.0</v>
      </c>
    </row>
    <row r="218" ht="14.25" customHeight="1">
      <c r="A218" s="27">
        <v>44104.0</v>
      </c>
      <c r="B218" s="28">
        <v>221.0</v>
      </c>
      <c r="C218" s="28">
        <v>194.0</v>
      </c>
      <c r="D218" s="28">
        <v>34943.0</v>
      </c>
      <c r="E218" s="28">
        <v>12225.0</v>
      </c>
      <c r="F218" s="29">
        <v>750409.0</v>
      </c>
      <c r="G218" s="29">
        <v>12446.0</v>
      </c>
      <c r="H218" s="29">
        <v>785352.0</v>
      </c>
      <c r="I218" s="28">
        <v>187.0</v>
      </c>
      <c r="J218" s="28">
        <v>170.0</v>
      </c>
      <c r="K218" s="28">
        <v>24999.0</v>
      </c>
      <c r="L218" s="28">
        <v>2600.0</v>
      </c>
      <c r="M218" s="28">
        <v>319459.0</v>
      </c>
      <c r="N218" s="28">
        <v>344458.0</v>
      </c>
      <c r="O218" s="28">
        <v>6.0</v>
      </c>
      <c r="P218" s="30">
        <v>2814.0</v>
      </c>
      <c r="Q218" s="30">
        <v>6.0</v>
      </c>
      <c r="R218" s="30">
        <v>2376.0</v>
      </c>
      <c r="S218" s="30">
        <v>0.0</v>
      </c>
      <c r="T218" s="30">
        <v>358.0</v>
      </c>
      <c r="U218" s="30">
        <v>80.0</v>
      </c>
      <c r="V218" s="30">
        <v>82.0</v>
      </c>
      <c r="W218" s="30">
        <v>6.0</v>
      </c>
      <c r="X218" s="30">
        <v>6.0</v>
      </c>
      <c r="Y218" s="30">
        <v>1.0</v>
      </c>
      <c r="Z218" s="28">
        <v>1123.0</v>
      </c>
    </row>
    <row r="219" ht="14.25" customHeight="1">
      <c r="A219" s="27">
        <v>44105.0</v>
      </c>
      <c r="B219" s="28">
        <v>184.0</v>
      </c>
      <c r="C219" s="28">
        <v>204.0</v>
      </c>
      <c r="D219" s="28">
        <v>35127.0</v>
      </c>
      <c r="E219" s="28">
        <v>12497.0</v>
      </c>
      <c r="F219" s="29">
        <v>762906.0</v>
      </c>
      <c r="G219" s="29">
        <v>12681.0</v>
      </c>
      <c r="H219" s="29">
        <v>798033.0</v>
      </c>
      <c r="I219" s="28">
        <v>166.0</v>
      </c>
      <c r="J219" s="28">
        <v>181.0</v>
      </c>
      <c r="K219" s="28">
        <v>25165.0</v>
      </c>
      <c r="L219" s="28">
        <v>2425.0</v>
      </c>
      <c r="M219" s="28">
        <v>321884.0</v>
      </c>
      <c r="N219" s="28">
        <v>347049.0</v>
      </c>
      <c r="O219" s="28">
        <v>17.0</v>
      </c>
      <c r="P219" s="30">
        <v>2831.0</v>
      </c>
      <c r="Q219" s="30">
        <v>13.0</v>
      </c>
      <c r="R219" s="30">
        <v>2389.0</v>
      </c>
      <c r="S219" s="30">
        <v>1.0</v>
      </c>
      <c r="T219" s="30">
        <v>359.0</v>
      </c>
      <c r="U219" s="30">
        <v>83.0</v>
      </c>
      <c r="V219" s="30">
        <v>81.0</v>
      </c>
      <c r="W219" s="30">
        <v>6.0</v>
      </c>
      <c r="X219" s="30">
        <v>4.0</v>
      </c>
      <c r="Y219" s="30">
        <v>2.0</v>
      </c>
      <c r="Z219" s="28">
        <v>1125.0</v>
      </c>
    </row>
    <row r="220" ht="14.25" customHeight="1">
      <c r="A220" s="27">
        <v>44106.0</v>
      </c>
      <c r="B220" s="28">
        <v>210.0</v>
      </c>
      <c r="C220" s="28">
        <v>205.0</v>
      </c>
      <c r="D220" s="28">
        <v>35337.0</v>
      </c>
      <c r="E220" s="28">
        <v>12143.0</v>
      </c>
      <c r="F220" s="29">
        <v>775049.0</v>
      </c>
      <c r="G220" s="29">
        <v>12353.0</v>
      </c>
      <c r="H220" s="29">
        <v>810386.0</v>
      </c>
      <c r="I220" s="28">
        <v>181.0</v>
      </c>
      <c r="J220" s="28">
        <v>178.0</v>
      </c>
      <c r="K220" s="28">
        <v>25346.0</v>
      </c>
      <c r="L220" s="28">
        <v>2498.0</v>
      </c>
      <c r="M220" s="28">
        <v>324382.0</v>
      </c>
      <c r="N220" s="28">
        <v>349728.0</v>
      </c>
      <c r="O220" s="28">
        <v>14.0</v>
      </c>
      <c r="P220" s="30">
        <v>2845.0</v>
      </c>
      <c r="Q220" s="30">
        <v>13.0</v>
      </c>
      <c r="R220" s="30">
        <v>2402.0</v>
      </c>
      <c r="S220" s="30">
        <v>1.0</v>
      </c>
      <c r="T220" s="30">
        <v>360.0</v>
      </c>
      <c r="U220" s="30">
        <v>83.0</v>
      </c>
      <c r="V220" s="30">
        <v>82.0</v>
      </c>
      <c r="W220" s="30">
        <v>8.0</v>
      </c>
      <c r="X220" s="30">
        <v>5.0</v>
      </c>
      <c r="Y220" s="30">
        <v>2.0</v>
      </c>
      <c r="Z220" s="28">
        <v>1127.0</v>
      </c>
    </row>
    <row r="221" ht="14.25" customHeight="1">
      <c r="A221" s="27">
        <v>44107.0</v>
      </c>
      <c r="B221" s="28">
        <v>157.0</v>
      </c>
      <c r="C221" s="28">
        <v>184.0</v>
      </c>
      <c r="D221" s="28">
        <v>35494.0</v>
      </c>
      <c r="E221" s="28">
        <v>9312.0</v>
      </c>
      <c r="F221" s="29">
        <v>784361.0</v>
      </c>
      <c r="G221" s="29">
        <v>9469.0</v>
      </c>
      <c r="H221" s="29">
        <v>819855.0</v>
      </c>
      <c r="I221" s="28">
        <v>131.0</v>
      </c>
      <c r="J221" s="28">
        <v>159.0</v>
      </c>
      <c r="K221" s="28">
        <v>25477.0</v>
      </c>
      <c r="L221" s="28">
        <v>2031.0</v>
      </c>
      <c r="M221" s="28">
        <v>326413.0</v>
      </c>
      <c r="N221" s="28">
        <v>351890.0</v>
      </c>
      <c r="O221" s="28">
        <v>9.0</v>
      </c>
      <c r="P221" s="30">
        <v>2854.0</v>
      </c>
      <c r="Q221" s="30">
        <v>9.0</v>
      </c>
      <c r="R221" s="30">
        <v>2411.0</v>
      </c>
      <c r="S221" s="30">
        <v>2.0</v>
      </c>
      <c r="T221" s="30">
        <v>362.0</v>
      </c>
      <c r="U221" s="30">
        <v>81.0</v>
      </c>
      <c r="V221" s="30">
        <v>82.0</v>
      </c>
      <c r="W221" s="30">
        <v>9.0</v>
      </c>
      <c r="X221" s="30">
        <v>4.0</v>
      </c>
      <c r="Y221" s="30">
        <v>2.0</v>
      </c>
      <c r="Z221" s="28">
        <v>1129.0</v>
      </c>
    </row>
    <row r="222" ht="14.25" customHeight="1">
      <c r="A222" s="27">
        <v>44108.0</v>
      </c>
      <c r="B222" s="28">
        <v>81.0</v>
      </c>
      <c r="C222" s="28">
        <v>149.0</v>
      </c>
      <c r="D222" s="28">
        <v>35575.0</v>
      </c>
      <c r="E222" s="28">
        <v>2367.0</v>
      </c>
      <c r="F222" s="29">
        <v>786728.0</v>
      </c>
      <c r="G222" s="29">
        <v>2448.0</v>
      </c>
      <c r="H222" s="29">
        <v>822303.0</v>
      </c>
      <c r="I222" s="28">
        <v>78.0</v>
      </c>
      <c r="J222" s="28">
        <v>130.0</v>
      </c>
      <c r="K222" s="28">
        <v>25555.0</v>
      </c>
      <c r="L222" s="28">
        <v>958.0</v>
      </c>
      <c r="M222" s="28">
        <v>327371.0</v>
      </c>
      <c r="N222" s="28">
        <v>352926.0</v>
      </c>
      <c r="O222" s="28">
        <v>11.0</v>
      </c>
      <c r="P222" s="30">
        <v>2865.0</v>
      </c>
      <c r="Q222" s="30">
        <v>9.0</v>
      </c>
      <c r="R222" s="30">
        <v>2420.0</v>
      </c>
      <c r="S222" s="30">
        <v>1.0</v>
      </c>
      <c r="T222" s="30">
        <v>363.0</v>
      </c>
      <c r="U222" s="30">
        <v>82.0</v>
      </c>
      <c r="V222" s="30">
        <v>82.0</v>
      </c>
      <c r="W222" s="30">
        <v>8.0</v>
      </c>
      <c r="X222" s="30">
        <v>5.0</v>
      </c>
      <c r="Y222" s="30">
        <v>2.0</v>
      </c>
      <c r="Z222" s="28">
        <v>1131.0</v>
      </c>
    </row>
    <row r="223" ht="14.25" customHeight="1">
      <c r="A223" s="27">
        <v>44109.0</v>
      </c>
      <c r="B223" s="28">
        <v>174.0</v>
      </c>
      <c r="C223" s="28">
        <v>137.0</v>
      </c>
      <c r="D223" s="28">
        <v>35749.0</v>
      </c>
      <c r="E223" s="28">
        <v>8969.0</v>
      </c>
      <c r="F223" s="29">
        <v>795697.0</v>
      </c>
      <c r="G223" s="29">
        <v>9143.0</v>
      </c>
      <c r="H223" s="29">
        <v>831446.0</v>
      </c>
      <c r="I223" s="28">
        <v>160.0</v>
      </c>
      <c r="J223" s="28">
        <v>123.0</v>
      </c>
      <c r="K223" s="28">
        <v>25715.0</v>
      </c>
      <c r="L223" s="28">
        <v>3037.0</v>
      </c>
      <c r="M223" s="28">
        <v>330408.0</v>
      </c>
      <c r="N223" s="28">
        <v>356123.0</v>
      </c>
      <c r="O223" s="28">
        <v>30.0</v>
      </c>
      <c r="P223" s="30">
        <v>2895.0</v>
      </c>
      <c r="Q223" s="30">
        <v>11.0</v>
      </c>
      <c r="R223" s="30">
        <v>2431.0</v>
      </c>
      <c r="S223" s="30">
        <v>2.0</v>
      </c>
      <c r="T223" s="30">
        <v>365.0</v>
      </c>
      <c r="U223" s="30">
        <v>99.0</v>
      </c>
      <c r="V223" s="30">
        <v>87.0</v>
      </c>
      <c r="W223" s="30">
        <v>9.0</v>
      </c>
      <c r="X223" s="30">
        <v>6.0</v>
      </c>
      <c r="Y223" s="30">
        <v>4.0</v>
      </c>
      <c r="Z223" s="28">
        <v>1135.0</v>
      </c>
    </row>
    <row r="224" ht="14.25" customHeight="1">
      <c r="A224" s="27">
        <v>44110.0</v>
      </c>
      <c r="B224" s="28">
        <v>176.0</v>
      </c>
      <c r="C224" s="28">
        <v>144.0</v>
      </c>
      <c r="D224" s="28">
        <v>35925.0</v>
      </c>
      <c r="E224" s="28">
        <v>11173.0</v>
      </c>
      <c r="F224" s="29">
        <v>806870.0</v>
      </c>
      <c r="G224" s="29">
        <v>11349.0</v>
      </c>
      <c r="H224" s="29">
        <v>842795.0</v>
      </c>
      <c r="I224" s="28">
        <v>186.0</v>
      </c>
      <c r="J224" s="28">
        <v>141.0</v>
      </c>
      <c r="K224" s="28">
        <v>25901.0</v>
      </c>
      <c r="L224" s="28">
        <v>2910.0</v>
      </c>
      <c r="M224" s="28">
        <v>333318.0</v>
      </c>
      <c r="N224" s="28">
        <v>359219.0</v>
      </c>
      <c r="O224" s="28">
        <v>11.0</v>
      </c>
      <c r="P224" s="30">
        <v>2906.0</v>
      </c>
      <c r="Q224" s="30">
        <v>5.0</v>
      </c>
      <c r="R224" s="30">
        <v>2436.0</v>
      </c>
      <c r="S224" s="30">
        <v>0.0</v>
      </c>
      <c r="T224" s="30">
        <v>365.0</v>
      </c>
      <c r="U224" s="30">
        <v>105.0</v>
      </c>
      <c r="V224" s="30">
        <v>95.0</v>
      </c>
      <c r="W224" s="30">
        <v>11.0</v>
      </c>
      <c r="X224" s="30">
        <v>7.0</v>
      </c>
      <c r="Y224" s="30">
        <v>0.0</v>
      </c>
      <c r="Z224" s="28">
        <v>1135.0</v>
      </c>
    </row>
    <row r="225" ht="14.25" customHeight="1">
      <c r="A225" s="27">
        <v>44111.0</v>
      </c>
      <c r="B225" s="28">
        <v>228.0</v>
      </c>
      <c r="C225" s="28">
        <v>193.0</v>
      </c>
      <c r="D225" s="28">
        <v>36153.0</v>
      </c>
      <c r="E225" s="28">
        <v>12426.0</v>
      </c>
      <c r="F225" s="29">
        <v>819296.0</v>
      </c>
      <c r="G225" s="29">
        <v>12654.0</v>
      </c>
      <c r="H225" s="29">
        <v>855449.0</v>
      </c>
      <c r="I225" s="28">
        <v>242.0</v>
      </c>
      <c r="J225" s="28">
        <v>196.0</v>
      </c>
      <c r="K225" s="28">
        <v>26143.0</v>
      </c>
      <c r="L225" s="28">
        <v>3540.0</v>
      </c>
      <c r="M225" s="28">
        <v>336858.0</v>
      </c>
      <c r="N225" s="28">
        <v>363001.0</v>
      </c>
      <c r="O225" s="28">
        <v>13.0</v>
      </c>
      <c r="P225" s="30">
        <v>2919.0</v>
      </c>
      <c r="Q225" s="30">
        <v>14.0</v>
      </c>
      <c r="R225" s="30">
        <v>2450.0</v>
      </c>
      <c r="S225" s="30">
        <v>2.0</v>
      </c>
      <c r="T225" s="30">
        <v>367.0</v>
      </c>
      <c r="U225" s="30">
        <v>102.0</v>
      </c>
      <c r="V225" s="30">
        <v>102.0</v>
      </c>
      <c r="W225" s="30">
        <v>9.0</v>
      </c>
      <c r="X225" s="30">
        <v>7.0</v>
      </c>
      <c r="Y225" s="30">
        <v>2.0</v>
      </c>
      <c r="Z225" s="28">
        <v>1137.0</v>
      </c>
    </row>
    <row r="226" ht="14.25" customHeight="1">
      <c r="A226" s="27">
        <v>44112.0</v>
      </c>
      <c r="B226" s="28">
        <v>262.0</v>
      </c>
      <c r="C226" s="28">
        <v>222.0</v>
      </c>
      <c r="D226" s="28">
        <v>36415.0</v>
      </c>
      <c r="E226" s="28">
        <v>15211.0</v>
      </c>
      <c r="F226" s="29">
        <v>834507.0</v>
      </c>
      <c r="G226" s="29">
        <v>15473.0</v>
      </c>
      <c r="H226" s="29">
        <v>870922.0</v>
      </c>
      <c r="I226" s="28">
        <v>275.0</v>
      </c>
      <c r="J226" s="28">
        <v>234.0</v>
      </c>
      <c r="K226" s="28">
        <v>26418.0</v>
      </c>
      <c r="L226" s="28">
        <v>4216.0</v>
      </c>
      <c r="M226" s="28">
        <v>341074.0</v>
      </c>
      <c r="N226" s="28">
        <v>367492.0</v>
      </c>
      <c r="O226" s="28">
        <v>17.0</v>
      </c>
      <c r="P226" s="30">
        <v>2936.0</v>
      </c>
      <c r="Q226" s="30">
        <v>13.0</v>
      </c>
      <c r="R226" s="30">
        <v>2463.0</v>
      </c>
      <c r="S226" s="30">
        <v>2.0</v>
      </c>
      <c r="T226" s="30">
        <v>369.0</v>
      </c>
      <c r="U226" s="30">
        <v>104.0</v>
      </c>
      <c r="V226" s="30">
        <v>104.0</v>
      </c>
      <c r="W226" s="30">
        <v>7.0</v>
      </c>
      <c r="X226" s="30">
        <v>5.0</v>
      </c>
      <c r="Y226" s="30">
        <v>3.0</v>
      </c>
      <c r="Z226" s="28">
        <v>1140.0</v>
      </c>
    </row>
    <row r="227" ht="14.25" customHeight="1">
      <c r="A227" s="27">
        <v>44113.0</v>
      </c>
      <c r="B227" s="28">
        <v>216.0</v>
      </c>
      <c r="C227" s="28">
        <v>235.0</v>
      </c>
      <c r="D227" s="28">
        <v>36631.0</v>
      </c>
      <c r="E227" s="28">
        <v>13735.0</v>
      </c>
      <c r="F227" s="29">
        <v>848242.0</v>
      </c>
      <c r="G227" s="29">
        <v>13951.0</v>
      </c>
      <c r="H227" s="29">
        <v>884873.0</v>
      </c>
      <c r="I227" s="28">
        <v>198.0</v>
      </c>
      <c r="J227" s="28">
        <v>238.0</v>
      </c>
      <c r="K227" s="28">
        <v>26616.0</v>
      </c>
      <c r="L227" s="28">
        <v>4343.0</v>
      </c>
      <c r="M227" s="28">
        <v>345417.0</v>
      </c>
      <c r="N227" s="28">
        <v>372033.0</v>
      </c>
      <c r="O227" s="28">
        <v>21.0</v>
      </c>
      <c r="P227" s="30">
        <v>2957.0</v>
      </c>
      <c r="Q227" s="30">
        <v>12.0</v>
      </c>
      <c r="R227" s="30">
        <v>2475.0</v>
      </c>
      <c r="S227" s="30">
        <v>0.0</v>
      </c>
      <c r="T227" s="30">
        <v>369.0</v>
      </c>
      <c r="U227" s="30">
        <v>113.0</v>
      </c>
      <c r="V227" s="30">
        <v>106.0</v>
      </c>
      <c r="W227" s="30">
        <v>10.0</v>
      </c>
      <c r="X227" s="30">
        <v>7.0</v>
      </c>
      <c r="Y227" s="30">
        <v>3.0</v>
      </c>
      <c r="Z227" s="28">
        <v>1143.0</v>
      </c>
    </row>
    <row r="228" ht="14.25" customHeight="1">
      <c r="A228" s="27">
        <v>44114.0</v>
      </c>
      <c r="B228" s="28">
        <v>229.0</v>
      </c>
      <c r="C228" s="28">
        <v>236.0</v>
      </c>
      <c r="D228" s="28">
        <v>36860.0</v>
      </c>
      <c r="E228" s="28">
        <v>13826.0</v>
      </c>
      <c r="F228" s="29">
        <v>862068.0</v>
      </c>
      <c r="G228" s="29">
        <v>14055.0</v>
      </c>
      <c r="H228" s="29">
        <v>898928.0</v>
      </c>
      <c r="I228" s="28">
        <v>195.0</v>
      </c>
      <c r="J228" s="28">
        <v>223.0</v>
      </c>
      <c r="K228" s="28">
        <v>26811.0</v>
      </c>
      <c r="L228" s="28">
        <v>3825.0</v>
      </c>
      <c r="M228" s="28">
        <v>349242.0</v>
      </c>
      <c r="N228" s="28">
        <v>376053.0</v>
      </c>
      <c r="O228" s="28">
        <v>19.0</v>
      </c>
      <c r="P228" s="30">
        <v>2976.0</v>
      </c>
      <c r="Q228" s="30">
        <v>10.0</v>
      </c>
      <c r="R228" s="30">
        <v>2485.0</v>
      </c>
      <c r="S228" s="30">
        <v>1.0</v>
      </c>
      <c r="T228" s="30">
        <v>370.0</v>
      </c>
      <c r="U228" s="30">
        <v>121.0</v>
      </c>
      <c r="V228" s="30">
        <v>113.0</v>
      </c>
      <c r="W228" s="30">
        <v>13.0</v>
      </c>
      <c r="X228" s="30">
        <v>7.0</v>
      </c>
      <c r="Y228" s="30">
        <v>2.0</v>
      </c>
      <c r="Z228" s="28">
        <v>1145.0</v>
      </c>
    </row>
    <row r="229" ht="14.25" customHeight="1">
      <c r="A229" s="27">
        <v>44115.0</v>
      </c>
      <c r="B229" s="28">
        <v>94.0</v>
      </c>
      <c r="C229" s="28">
        <v>180.0</v>
      </c>
      <c r="D229" s="28">
        <v>36954.0</v>
      </c>
      <c r="E229" s="28">
        <v>3253.0</v>
      </c>
      <c r="F229" s="29">
        <v>865321.0</v>
      </c>
      <c r="G229" s="29">
        <v>3347.0</v>
      </c>
      <c r="H229" s="29">
        <v>902275.0</v>
      </c>
      <c r="I229" s="28">
        <v>87.0</v>
      </c>
      <c r="J229" s="28">
        <v>160.0</v>
      </c>
      <c r="K229" s="28">
        <v>26898.0</v>
      </c>
      <c r="L229" s="28">
        <v>1160.0</v>
      </c>
      <c r="M229" s="28">
        <v>350402.0</v>
      </c>
      <c r="N229" s="28">
        <v>377300.0</v>
      </c>
      <c r="O229" s="28">
        <v>12.0</v>
      </c>
      <c r="P229" s="30">
        <v>2988.0</v>
      </c>
      <c r="Q229" s="30">
        <v>9.0</v>
      </c>
      <c r="R229" s="30">
        <v>2494.0</v>
      </c>
      <c r="S229" s="30">
        <v>1.0</v>
      </c>
      <c r="T229" s="30">
        <v>371.0</v>
      </c>
      <c r="U229" s="30">
        <v>123.0</v>
      </c>
      <c r="V229" s="30">
        <v>119.0</v>
      </c>
      <c r="W229" s="30">
        <v>14.0</v>
      </c>
      <c r="X229" s="30">
        <v>5.0</v>
      </c>
      <c r="Y229" s="30">
        <v>6.0</v>
      </c>
      <c r="Z229" s="28">
        <v>1151.0</v>
      </c>
    </row>
    <row r="230" ht="14.25" customHeight="1">
      <c r="A230" s="27">
        <v>44116.0</v>
      </c>
      <c r="B230" s="28">
        <v>165.0</v>
      </c>
      <c r="C230" s="28">
        <v>163.0</v>
      </c>
      <c r="D230" s="28">
        <v>37119.0</v>
      </c>
      <c r="E230" s="28">
        <v>6414.0</v>
      </c>
      <c r="F230" s="29">
        <v>871735.0</v>
      </c>
      <c r="G230" s="29">
        <v>6579.0</v>
      </c>
      <c r="H230" s="29">
        <v>908854.0</v>
      </c>
      <c r="I230" s="28">
        <v>158.0</v>
      </c>
      <c r="J230" s="28">
        <v>147.0</v>
      </c>
      <c r="K230" s="28">
        <v>27056.0</v>
      </c>
      <c r="L230" s="28">
        <v>1745.0</v>
      </c>
      <c r="M230" s="28">
        <v>352147.0</v>
      </c>
      <c r="N230" s="28">
        <v>379203.0</v>
      </c>
      <c r="O230" s="28">
        <v>19.0</v>
      </c>
      <c r="P230" s="30">
        <v>3007.0</v>
      </c>
      <c r="Q230" s="30">
        <v>15.0</v>
      </c>
      <c r="R230" s="30">
        <v>2509.0</v>
      </c>
      <c r="S230" s="30">
        <v>2.0</v>
      </c>
      <c r="T230" s="30">
        <v>373.0</v>
      </c>
      <c r="U230" s="30">
        <v>125.0</v>
      </c>
      <c r="V230" s="30">
        <v>123.0</v>
      </c>
      <c r="W230" s="30">
        <v>14.0</v>
      </c>
      <c r="X230" s="30">
        <v>5.0</v>
      </c>
      <c r="Y230" s="30">
        <v>4.0</v>
      </c>
      <c r="Z230" s="28">
        <v>1155.0</v>
      </c>
    </row>
    <row r="231" ht="14.25" customHeight="1">
      <c r="A231" s="27">
        <v>44117.0</v>
      </c>
      <c r="B231" s="28">
        <v>210.0</v>
      </c>
      <c r="C231" s="28">
        <v>156.0</v>
      </c>
      <c r="D231" s="28">
        <v>37329.0</v>
      </c>
      <c r="E231" s="28">
        <v>8499.0</v>
      </c>
      <c r="F231" s="29">
        <v>880234.0</v>
      </c>
      <c r="G231" s="29">
        <v>8709.0</v>
      </c>
      <c r="H231" s="29">
        <v>917563.0</v>
      </c>
      <c r="I231" s="28">
        <v>204.0</v>
      </c>
      <c r="J231" s="28">
        <v>150.0</v>
      </c>
      <c r="K231" s="28">
        <v>27260.0</v>
      </c>
      <c r="L231" s="28">
        <v>2308.0</v>
      </c>
      <c r="M231" s="28">
        <v>354455.0</v>
      </c>
      <c r="N231" s="28">
        <v>381715.0</v>
      </c>
      <c r="O231" s="28">
        <v>15.0</v>
      </c>
      <c r="P231" s="30">
        <v>3022.0</v>
      </c>
      <c r="Q231" s="30">
        <v>15.0</v>
      </c>
      <c r="R231" s="30">
        <v>2524.0</v>
      </c>
      <c r="S231" s="30">
        <v>4.0</v>
      </c>
      <c r="T231" s="30">
        <v>377.0</v>
      </c>
      <c r="U231" s="30">
        <v>121.0</v>
      </c>
      <c r="V231" s="30">
        <v>123.0</v>
      </c>
      <c r="W231" s="30">
        <v>13.0</v>
      </c>
      <c r="X231" s="30">
        <v>5.0</v>
      </c>
      <c r="Y231" s="30">
        <v>7.0</v>
      </c>
      <c r="Z231" s="28">
        <v>1162.0</v>
      </c>
    </row>
    <row r="232" ht="14.25" customHeight="1">
      <c r="A232" s="27">
        <v>44118.0</v>
      </c>
      <c r="B232" s="28">
        <v>320.0</v>
      </c>
      <c r="C232" s="28">
        <v>232.0</v>
      </c>
      <c r="D232" s="28">
        <v>37649.0</v>
      </c>
      <c r="E232" s="28">
        <v>15025.0</v>
      </c>
      <c r="F232" s="29">
        <v>895259.0</v>
      </c>
      <c r="G232" s="29">
        <v>15345.0</v>
      </c>
      <c r="H232" s="29">
        <v>932908.0</v>
      </c>
      <c r="I232" s="28">
        <v>304.0</v>
      </c>
      <c r="J232" s="28">
        <v>222.0</v>
      </c>
      <c r="K232" s="28">
        <v>27564.0</v>
      </c>
      <c r="L232" s="28">
        <v>4056.0</v>
      </c>
      <c r="M232" s="28">
        <v>358511.0</v>
      </c>
      <c r="N232" s="28">
        <v>386075.0</v>
      </c>
      <c r="O232" s="28">
        <v>17.0</v>
      </c>
      <c r="P232" s="30">
        <v>3039.0</v>
      </c>
      <c r="Q232" s="30">
        <v>7.0</v>
      </c>
      <c r="R232" s="30">
        <v>2531.0</v>
      </c>
      <c r="S232" s="30">
        <v>0.0</v>
      </c>
      <c r="T232" s="30">
        <v>377.0</v>
      </c>
      <c r="U232" s="30">
        <v>131.0</v>
      </c>
      <c r="V232" s="30">
        <v>126.0</v>
      </c>
      <c r="W232" s="30">
        <v>15.0</v>
      </c>
      <c r="X232" s="30">
        <v>5.0</v>
      </c>
      <c r="Y232" s="30">
        <v>2.0</v>
      </c>
      <c r="Z232" s="28">
        <v>1164.0</v>
      </c>
    </row>
    <row r="233" ht="14.25" customHeight="1">
      <c r="A233" s="27">
        <v>44119.0</v>
      </c>
      <c r="B233" s="28">
        <v>261.0</v>
      </c>
      <c r="C233" s="28">
        <v>264.0</v>
      </c>
      <c r="D233" s="28">
        <v>37910.0</v>
      </c>
      <c r="E233" s="28">
        <v>14622.0</v>
      </c>
      <c r="F233" s="29">
        <v>909881.0</v>
      </c>
      <c r="G233" s="29">
        <v>14883.0</v>
      </c>
      <c r="H233" s="29">
        <v>947791.0</v>
      </c>
      <c r="I233" s="28">
        <v>254.0</v>
      </c>
      <c r="J233" s="28">
        <v>254.0</v>
      </c>
      <c r="K233" s="28">
        <v>27818.0</v>
      </c>
      <c r="L233" s="28">
        <v>3590.0</v>
      </c>
      <c r="M233" s="28">
        <v>362101.0</v>
      </c>
      <c r="N233" s="28">
        <v>389919.0</v>
      </c>
      <c r="O233" s="28">
        <v>11.0</v>
      </c>
      <c r="P233" s="30">
        <v>3050.0</v>
      </c>
      <c r="Q233" s="30">
        <v>16.0</v>
      </c>
      <c r="R233" s="30">
        <v>2547.0</v>
      </c>
      <c r="S233" s="30">
        <v>1.0</v>
      </c>
      <c r="T233" s="30">
        <v>378.0</v>
      </c>
      <c r="U233" s="30">
        <v>125.0</v>
      </c>
      <c r="V233" s="30">
        <v>126.0</v>
      </c>
      <c r="W233" s="30">
        <v>13.0</v>
      </c>
      <c r="X233" s="30">
        <v>5.0</v>
      </c>
      <c r="Y233" s="30">
        <v>2.0</v>
      </c>
      <c r="Z233" s="28">
        <v>1166.0</v>
      </c>
    </row>
    <row r="234" ht="14.25" customHeight="1">
      <c r="A234" s="27">
        <v>44120.0</v>
      </c>
      <c r="B234" s="28">
        <v>276.0</v>
      </c>
      <c r="C234" s="28">
        <v>286.0</v>
      </c>
      <c r="D234" s="28">
        <v>38186.0</v>
      </c>
      <c r="E234" s="28">
        <v>14971.0</v>
      </c>
      <c r="F234" s="29">
        <v>924852.0</v>
      </c>
      <c r="G234" s="29">
        <v>15247.0</v>
      </c>
      <c r="H234" s="29">
        <v>963038.0</v>
      </c>
      <c r="I234" s="28">
        <v>272.0</v>
      </c>
      <c r="J234" s="28">
        <v>277.0</v>
      </c>
      <c r="K234" s="28">
        <v>28090.0</v>
      </c>
      <c r="L234" s="28">
        <v>3397.0</v>
      </c>
      <c r="M234" s="28">
        <v>365498.0</v>
      </c>
      <c r="N234" s="28">
        <v>393588.0</v>
      </c>
      <c r="O234" s="28">
        <v>13.0</v>
      </c>
      <c r="P234" s="30">
        <v>3063.0</v>
      </c>
      <c r="Q234" s="30">
        <v>20.0</v>
      </c>
      <c r="R234" s="30">
        <v>2567.0</v>
      </c>
      <c r="S234" s="30">
        <v>1.0</v>
      </c>
      <c r="T234" s="30">
        <v>379.0</v>
      </c>
      <c r="U234" s="30">
        <v>117.0</v>
      </c>
      <c r="V234" s="30">
        <v>124.0</v>
      </c>
      <c r="W234" s="30">
        <v>13.0</v>
      </c>
      <c r="X234" s="30">
        <v>4.0</v>
      </c>
      <c r="Y234" s="30">
        <v>2.0</v>
      </c>
      <c r="Z234" s="28">
        <v>1168.0</v>
      </c>
    </row>
    <row r="235" ht="14.25" customHeight="1">
      <c r="A235" s="27">
        <v>44121.0</v>
      </c>
      <c r="B235" s="28">
        <v>348.0</v>
      </c>
      <c r="C235" s="28">
        <v>295.0</v>
      </c>
      <c r="D235" s="28">
        <v>38534.0</v>
      </c>
      <c r="E235" s="28">
        <v>14024.0</v>
      </c>
      <c r="F235" s="29">
        <v>938876.0</v>
      </c>
      <c r="G235" s="29">
        <v>14372.0</v>
      </c>
      <c r="H235" s="29">
        <v>977410.0</v>
      </c>
      <c r="I235" s="28">
        <v>304.0</v>
      </c>
      <c r="J235" s="28">
        <v>277.0</v>
      </c>
      <c r="K235" s="28">
        <v>28394.0</v>
      </c>
      <c r="L235" s="28">
        <v>3266.0</v>
      </c>
      <c r="M235" s="28">
        <v>368764.0</v>
      </c>
      <c r="N235" s="28">
        <v>397158.0</v>
      </c>
      <c r="O235" s="28">
        <v>19.0</v>
      </c>
      <c r="P235" s="30">
        <v>3082.0</v>
      </c>
      <c r="Q235" s="30">
        <v>11.0</v>
      </c>
      <c r="R235" s="30">
        <v>2578.0</v>
      </c>
      <c r="S235" s="30">
        <v>1.0</v>
      </c>
      <c r="T235" s="30">
        <v>380.0</v>
      </c>
      <c r="U235" s="30">
        <v>124.0</v>
      </c>
      <c r="V235" s="30">
        <v>122.0</v>
      </c>
      <c r="W235" s="30">
        <v>17.0</v>
      </c>
      <c r="X235" s="30">
        <v>4.0</v>
      </c>
      <c r="Y235" s="30">
        <v>2.0</v>
      </c>
      <c r="Z235" s="28">
        <v>1170.0</v>
      </c>
    </row>
    <row r="236" ht="14.25" customHeight="1">
      <c r="A236" s="27">
        <v>44122.0</v>
      </c>
      <c r="B236" s="28">
        <v>153.0</v>
      </c>
      <c r="C236" s="28">
        <v>259.0</v>
      </c>
      <c r="D236" s="28">
        <v>38687.0</v>
      </c>
      <c r="E236" s="28">
        <v>3991.0</v>
      </c>
      <c r="F236" s="29">
        <v>942867.0</v>
      </c>
      <c r="G236" s="29">
        <v>4144.0</v>
      </c>
      <c r="H236" s="29">
        <v>981554.0</v>
      </c>
      <c r="I236" s="28">
        <v>127.0</v>
      </c>
      <c r="J236" s="28">
        <v>234.0</v>
      </c>
      <c r="K236" s="28">
        <v>28521.0</v>
      </c>
      <c r="L236" s="28">
        <v>1310.0</v>
      </c>
      <c r="M236" s="28">
        <v>370074.0</v>
      </c>
      <c r="N236" s="28">
        <v>398595.0</v>
      </c>
      <c r="O236" s="28">
        <v>18.0</v>
      </c>
      <c r="P236" s="30">
        <v>3100.0</v>
      </c>
      <c r="Q236" s="30">
        <v>11.0</v>
      </c>
      <c r="R236" s="30">
        <v>2589.0</v>
      </c>
      <c r="S236" s="30">
        <v>0.0</v>
      </c>
      <c r="T236" s="30">
        <v>380.0</v>
      </c>
      <c r="U236" s="30">
        <v>131.0</v>
      </c>
      <c r="V236" s="30">
        <v>124.0</v>
      </c>
      <c r="W236" s="30">
        <v>17.0</v>
      </c>
      <c r="X236" s="30">
        <v>5.0</v>
      </c>
      <c r="Y236" s="30">
        <v>2.0</v>
      </c>
      <c r="Z236" s="28">
        <v>1172.0</v>
      </c>
    </row>
    <row r="237" ht="14.25" customHeight="1">
      <c r="A237" s="27">
        <v>44123.0</v>
      </c>
      <c r="B237" s="28">
        <v>381.0</v>
      </c>
      <c r="C237" s="28">
        <v>294.0</v>
      </c>
      <c r="D237" s="28">
        <v>39068.0</v>
      </c>
      <c r="E237" s="28">
        <v>8416.0</v>
      </c>
      <c r="F237" s="29">
        <v>951283.0</v>
      </c>
      <c r="G237" s="29">
        <v>8797.0</v>
      </c>
      <c r="H237" s="29">
        <v>990351.0</v>
      </c>
      <c r="I237" s="28">
        <v>321.0</v>
      </c>
      <c r="J237" s="28">
        <v>251.0</v>
      </c>
      <c r="K237" s="28">
        <v>28842.0</v>
      </c>
      <c r="L237" s="28">
        <v>2550.0</v>
      </c>
      <c r="M237" s="28">
        <v>372624.0</v>
      </c>
      <c r="N237" s="28">
        <v>401466.0</v>
      </c>
      <c r="O237" s="28">
        <v>21.0</v>
      </c>
      <c r="P237" s="30">
        <v>3121.0</v>
      </c>
      <c r="Q237" s="30">
        <v>23.0</v>
      </c>
      <c r="R237" s="30">
        <v>2612.0</v>
      </c>
      <c r="S237" s="30">
        <v>2.0</v>
      </c>
      <c r="T237" s="30">
        <v>382.0</v>
      </c>
      <c r="U237" s="30">
        <v>127.0</v>
      </c>
      <c r="V237" s="30">
        <v>127.0</v>
      </c>
      <c r="W237" s="30">
        <v>15.0</v>
      </c>
      <c r="X237" s="30">
        <v>5.0</v>
      </c>
      <c r="Y237" s="30">
        <v>1.0</v>
      </c>
      <c r="Z237" s="28">
        <v>1173.0</v>
      </c>
    </row>
    <row r="238" ht="14.25" customHeight="1">
      <c r="A238" s="27">
        <v>44124.0</v>
      </c>
      <c r="B238" s="28">
        <v>429.0</v>
      </c>
      <c r="C238" s="28">
        <v>321.0</v>
      </c>
      <c r="D238" s="28">
        <v>39497.0</v>
      </c>
      <c r="E238" s="28">
        <v>13137.0</v>
      </c>
      <c r="F238" s="29">
        <v>964420.0</v>
      </c>
      <c r="G238" s="29">
        <v>13566.0</v>
      </c>
      <c r="H238" s="29">
        <v>1003917.0</v>
      </c>
      <c r="I238" s="28">
        <v>380.0</v>
      </c>
      <c r="J238" s="28">
        <v>276.0</v>
      </c>
      <c r="K238" s="28">
        <v>29222.0</v>
      </c>
      <c r="L238" s="28">
        <v>2970.0</v>
      </c>
      <c r="M238" s="28">
        <v>375594.0</v>
      </c>
      <c r="N238" s="28">
        <v>404816.0</v>
      </c>
      <c r="O238" s="28">
        <v>22.0</v>
      </c>
      <c r="P238" s="30">
        <v>3143.0</v>
      </c>
      <c r="Q238" s="30">
        <v>17.0</v>
      </c>
      <c r="R238" s="30">
        <v>2629.0</v>
      </c>
      <c r="S238" s="30">
        <v>0.0</v>
      </c>
      <c r="T238" s="30">
        <v>382.0</v>
      </c>
      <c r="U238" s="30">
        <v>132.0</v>
      </c>
      <c r="V238" s="30">
        <v>130.0</v>
      </c>
      <c r="W238" s="30">
        <v>14.0</v>
      </c>
      <c r="X238" s="30">
        <v>7.0</v>
      </c>
      <c r="Y238" s="30">
        <v>3.0</v>
      </c>
      <c r="Z238" s="28">
        <v>1176.0</v>
      </c>
    </row>
    <row r="239" ht="14.25" customHeight="1">
      <c r="A239" s="27">
        <v>44125.0</v>
      </c>
      <c r="B239" s="28">
        <v>537.0</v>
      </c>
      <c r="C239" s="28">
        <v>449.0</v>
      </c>
      <c r="D239" s="28">
        <v>40034.0</v>
      </c>
      <c r="E239" s="28">
        <v>17408.0</v>
      </c>
      <c r="F239" s="29">
        <v>981828.0</v>
      </c>
      <c r="G239" s="29">
        <v>17945.0</v>
      </c>
      <c r="H239" s="29">
        <v>1021862.0</v>
      </c>
      <c r="I239" s="28">
        <v>471.0</v>
      </c>
      <c r="J239" s="28">
        <v>391.0</v>
      </c>
      <c r="K239" s="28">
        <v>29693.0</v>
      </c>
      <c r="L239" s="28">
        <v>3536.0</v>
      </c>
      <c r="M239" s="28">
        <v>379130.0</v>
      </c>
      <c r="N239" s="28">
        <v>408823.0</v>
      </c>
      <c r="O239" s="28">
        <v>21.0</v>
      </c>
      <c r="P239" s="30">
        <v>3164.0</v>
      </c>
      <c r="Q239" s="30">
        <v>9.0</v>
      </c>
      <c r="R239" s="30">
        <v>2638.0</v>
      </c>
      <c r="S239" s="30">
        <v>2.0</v>
      </c>
      <c r="T239" s="30">
        <v>384.0</v>
      </c>
      <c r="U239" s="30">
        <v>142.0</v>
      </c>
      <c r="V239" s="30">
        <v>134.0</v>
      </c>
      <c r="W239" s="30">
        <v>15.0</v>
      </c>
      <c r="X239" s="30">
        <v>9.0</v>
      </c>
      <c r="Y239" s="30">
        <v>3.0</v>
      </c>
      <c r="Z239" s="28">
        <v>1179.0</v>
      </c>
    </row>
    <row r="240" ht="14.25" customHeight="1">
      <c r="A240" s="27">
        <v>44126.0</v>
      </c>
      <c r="B240" s="28">
        <v>537.0</v>
      </c>
      <c r="C240" s="28">
        <v>501.0</v>
      </c>
      <c r="D240" s="28">
        <v>40571.0</v>
      </c>
      <c r="E240" s="28">
        <v>15850.0</v>
      </c>
      <c r="F240" s="29">
        <v>997678.0</v>
      </c>
      <c r="G240" s="29">
        <v>16387.0</v>
      </c>
      <c r="H240" s="29">
        <v>1038249.0</v>
      </c>
      <c r="I240" s="28">
        <v>486.0</v>
      </c>
      <c r="J240" s="28">
        <v>446.0</v>
      </c>
      <c r="K240" s="28">
        <v>30179.0</v>
      </c>
      <c r="L240" s="28">
        <v>3225.0</v>
      </c>
      <c r="M240" s="28">
        <v>382355.0</v>
      </c>
      <c r="N240" s="28">
        <v>412534.0</v>
      </c>
      <c r="O240" s="28">
        <v>24.0</v>
      </c>
      <c r="P240" s="30">
        <v>3188.0</v>
      </c>
      <c r="Q240" s="30">
        <v>21.0</v>
      </c>
      <c r="R240" s="30">
        <v>2659.0</v>
      </c>
      <c r="S240" s="30">
        <v>3.0</v>
      </c>
      <c r="T240" s="30">
        <v>387.0</v>
      </c>
      <c r="U240" s="30">
        <v>142.0</v>
      </c>
      <c r="V240" s="30">
        <v>139.0</v>
      </c>
      <c r="W240" s="30">
        <v>14.0</v>
      </c>
      <c r="X240" s="30">
        <v>9.0</v>
      </c>
      <c r="Y240" s="30">
        <v>3.0</v>
      </c>
      <c r="Z240" s="28">
        <v>1182.0</v>
      </c>
    </row>
    <row r="241" ht="14.25" customHeight="1">
      <c r="A241" s="27">
        <v>44127.0</v>
      </c>
      <c r="B241" s="28">
        <v>510.0</v>
      </c>
      <c r="C241" s="28">
        <v>528.0</v>
      </c>
      <c r="D241" s="28">
        <v>41081.0</v>
      </c>
      <c r="E241" s="28">
        <v>16620.0</v>
      </c>
      <c r="F241" s="29">
        <v>1014298.0</v>
      </c>
      <c r="G241" s="29">
        <v>17130.0</v>
      </c>
      <c r="H241" s="29">
        <v>1055379.0</v>
      </c>
      <c r="I241" s="28">
        <v>445.0</v>
      </c>
      <c r="J241" s="28">
        <v>467.0</v>
      </c>
      <c r="K241" s="28">
        <v>30624.0</v>
      </c>
      <c r="L241" s="28">
        <v>2911.0</v>
      </c>
      <c r="M241" s="28">
        <v>385266.0</v>
      </c>
      <c r="N241" s="28">
        <v>415890.0</v>
      </c>
      <c r="O241" s="28">
        <v>22.0</v>
      </c>
      <c r="P241" s="30">
        <v>3210.0</v>
      </c>
      <c r="Q241" s="30">
        <v>26.0</v>
      </c>
      <c r="R241" s="30">
        <v>2685.0</v>
      </c>
      <c r="S241" s="30">
        <v>1.0</v>
      </c>
      <c r="T241" s="30">
        <v>388.0</v>
      </c>
      <c r="U241" s="30">
        <v>137.0</v>
      </c>
      <c r="V241" s="30">
        <v>140.0</v>
      </c>
      <c r="W241" s="30">
        <v>15.0</v>
      </c>
      <c r="X241" s="30">
        <v>9.0</v>
      </c>
      <c r="Y241" s="30">
        <v>3.0</v>
      </c>
      <c r="Z241" s="28">
        <v>1185.0</v>
      </c>
    </row>
    <row r="242" ht="14.25" customHeight="1">
      <c r="A242" s="27">
        <v>44128.0</v>
      </c>
      <c r="B242" s="28">
        <v>355.0</v>
      </c>
      <c r="C242" s="28">
        <v>467.0</v>
      </c>
      <c r="D242" s="28">
        <v>41436.0</v>
      </c>
      <c r="E242" s="28">
        <v>10063.0</v>
      </c>
      <c r="F242" s="29">
        <v>1024361.0</v>
      </c>
      <c r="G242" s="29">
        <v>10418.0</v>
      </c>
      <c r="H242" s="29">
        <v>1065797.0</v>
      </c>
      <c r="I242" s="28">
        <v>328.0</v>
      </c>
      <c r="J242" s="28">
        <v>420.0</v>
      </c>
      <c r="K242" s="28">
        <v>30952.0</v>
      </c>
      <c r="L242" s="28">
        <v>2289.0</v>
      </c>
      <c r="M242" s="28">
        <v>387555.0</v>
      </c>
      <c r="N242" s="28">
        <v>418507.0</v>
      </c>
      <c r="O242" s="28">
        <v>15.0</v>
      </c>
      <c r="P242" s="30">
        <v>3225.0</v>
      </c>
      <c r="Q242" s="30">
        <v>11.0</v>
      </c>
      <c r="R242" s="30">
        <v>2696.0</v>
      </c>
      <c r="S242" s="30">
        <v>0.0</v>
      </c>
      <c r="T242" s="30">
        <v>388.0</v>
      </c>
      <c r="U242" s="30">
        <v>141.0</v>
      </c>
      <c r="V242" s="30">
        <v>140.0</v>
      </c>
      <c r="W242" s="30">
        <v>14.0</v>
      </c>
      <c r="X242" s="30">
        <v>8.0</v>
      </c>
      <c r="Y242" s="30">
        <v>1.0</v>
      </c>
      <c r="Z242" s="28">
        <v>1186.0</v>
      </c>
    </row>
    <row r="243" ht="14.25" customHeight="1">
      <c r="A243" s="27">
        <v>44129.0</v>
      </c>
      <c r="B243" s="28">
        <v>231.0</v>
      </c>
      <c r="C243" s="28">
        <v>365.0</v>
      </c>
      <c r="D243" s="28">
        <v>41667.0</v>
      </c>
      <c r="E243" s="28">
        <v>4761.0</v>
      </c>
      <c r="F243" s="29">
        <v>1029122.0</v>
      </c>
      <c r="G243" s="29">
        <v>4992.0</v>
      </c>
      <c r="H243" s="29">
        <v>1070789.0</v>
      </c>
      <c r="I243" s="28">
        <v>205.0</v>
      </c>
      <c r="J243" s="28">
        <v>326.0</v>
      </c>
      <c r="K243" s="28">
        <v>31157.0</v>
      </c>
      <c r="L243" s="28">
        <v>1493.0</v>
      </c>
      <c r="M243" s="28">
        <v>389048.0</v>
      </c>
      <c r="N243" s="28">
        <v>420205.0</v>
      </c>
      <c r="O243" s="28">
        <v>15.0</v>
      </c>
      <c r="P243" s="30">
        <v>3240.0</v>
      </c>
      <c r="Q243" s="30">
        <v>15.0</v>
      </c>
      <c r="R243" s="30">
        <v>2711.0</v>
      </c>
      <c r="S243" s="30">
        <v>1.0</v>
      </c>
      <c r="T243" s="30">
        <v>389.0</v>
      </c>
      <c r="U243" s="30">
        <v>140.0</v>
      </c>
      <c r="V243" s="30">
        <v>139.0</v>
      </c>
      <c r="W243" s="30">
        <v>15.0</v>
      </c>
      <c r="X243" s="30">
        <v>8.0</v>
      </c>
      <c r="Y243" s="30">
        <v>1.0</v>
      </c>
      <c r="Z243" s="28">
        <v>1187.0</v>
      </c>
    </row>
    <row r="244" ht="14.25" customHeight="1">
      <c r="A244" s="27">
        <v>44130.0</v>
      </c>
      <c r="B244" s="28">
        <v>446.0</v>
      </c>
      <c r="C244" s="28">
        <v>344.0</v>
      </c>
      <c r="D244" s="28">
        <v>42113.0</v>
      </c>
      <c r="E244" s="28">
        <v>9142.0</v>
      </c>
      <c r="F244" s="29">
        <v>1038264.0</v>
      </c>
      <c r="G244" s="29">
        <v>9588.0</v>
      </c>
      <c r="H244" s="29">
        <v>1080377.0</v>
      </c>
      <c r="I244" s="28">
        <v>385.0</v>
      </c>
      <c r="J244" s="28">
        <v>306.0</v>
      </c>
      <c r="K244" s="28">
        <v>31542.0</v>
      </c>
      <c r="L244" s="28">
        <v>2990.0</v>
      </c>
      <c r="M244" s="28">
        <v>392038.0</v>
      </c>
      <c r="N244" s="28">
        <v>423580.0</v>
      </c>
      <c r="O244" s="28">
        <v>22.0</v>
      </c>
      <c r="P244" s="30">
        <v>3262.0</v>
      </c>
      <c r="Q244" s="30">
        <v>20.0</v>
      </c>
      <c r="R244" s="30">
        <v>2731.0</v>
      </c>
      <c r="S244" s="30">
        <v>2.0</v>
      </c>
      <c r="T244" s="30">
        <v>391.0</v>
      </c>
      <c r="U244" s="30">
        <v>140.0</v>
      </c>
      <c r="V244" s="30">
        <v>140.0</v>
      </c>
      <c r="W244" s="30">
        <v>17.0</v>
      </c>
      <c r="X244" s="30">
        <v>8.0</v>
      </c>
      <c r="Y244" s="30">
        <v>3.0</v>
      </c>
      <c r="Z244" s="28">
        <v>1190.0</v>
      </c>
    </row>
    <row r="245" ht="14.25" customHeight="1">
      <c r="A245" s="27">
        <v>44131.0</v>
      </c>
      <c r="B245" s="28">
        <v>516.0</v>
      </c>
      <c r="C245" s="28">
        <v>398.0</v>
      </c>
      <c r="D245" s="28">
        <v>42629.0</v>
      </c>
      <c r="E245" s="28">
        <v>13582.0</v>
      </c>
      <c r="F245" s="29">
        <v>1051846.0</v>
      </c>
      <c r="G245" s="29">
        <v>14098.0</v>
      </c>
      <c r="H245" s="29">
        <v>1094475.0</v>
      </c>
      <c r="I245" s="28">
        <v>447.0</v>
      </c>
      <c r="J245" s="28">
        <v>346.0</v>
      </c>
      <c r="K245" s="28">
        <v>31989.0</v>
      </c>
      <c r="L245" s="28">
        <v>2403.0</v>
      </c>
      <c r="M245" s="28">
        <v>394441.0</v>
      </c>
      <c r="N245" s="28">
        <v>426430.0</v>
      </c>
      <c r="O245" s="28">
        <v>27.0</v>
      </c>
      <c r="P245" s="30">
        <v>3289.0</v>
      </c>
      <c r="Q245" s="30">
        <v>11.0</v>
      </c>
      <c r="R245" s="30">
        <v>2742.0</v>
      </c>
      <c r="S245" s="30">
        <v>2.0</v>
      </c>
      <c r="T245" s="30">
        <v>393.0</v>
      </c>
      <c r="U245" s="30">
        <v>154.0</v>
      </c>
      <c r="V245" s="30">
        <v>145.0</v>
      </c>
      <c r="W245" s="30">
        <v>16.0</v>
      </c>
      <c r="X245" s="30">
        <v>9.0</v>
      </c>
      <c r="Y245" s="30">
        <v>4.0</v>
      </c>
      <c r="Z245" s="28">
        <v>1194.0</v>
      </c>
    </row>
    <row r="246" ht="14.25" customHeight="1">
      <c r="A246" s="27">
        <v>44132.0</v>
      </c>
      <c r="B246" s="28">
        <v>468.0</v>
      </c>
      <c r="C246" s="28">
        <v>477.0</v>
      </c>
      <c r="D246" s="28">
        <v>43097.0</v>
      </c>
      <c r="E246" s="28">
        <v>14802.0</v>
      </c>
      <c r="F246" s="29">
        <v>1066648.0</v>
      </c>
      <c r="G246" s="29">
        <v>15270.0</v>
      </c>
      <c r="H246" s="29">
        <v>1109745.0</v>
      </c>
      <c r="I246" s="28">
        <v>403.0</v>
      </c>
      <c r="J246" s="28">
        <v>412.0</v>
      </c>
      <c r="K246" s="28">
        <v>32392.0</v>
      </c>
      <c r="L246" s="28">
        <v>2723.0</v>
      </c>
      <c r="M246" s="28">
        <v>397164.0</v>
      </c>
      <c r="N246" s="28">
        <v>429556.0</v>
      </c>
      <c r="O246" s="28">
        <v>20.0</v>
      </c>
      <c r="P246" s="30">
        <v>3309.0</v>
      </c>
      <c r="Q246" s="30">
        <v>21.0</v>
      </c>
      <c r="R246" s="30">
        <v>2763.0</v>
      </c>
      <c r="S246" s="30">
        <v>1.0</v>
      </c>
      <c r="T246" s="30">
        <v>394.0</v>
      </c>
      <c r="U246" s="30">
        <v>152.0</v>
      </c>
      <c r="V246" s="30">
        <v>149.0</v>
      </c>
      <c r="W246" s="30">
        <v>15.0</v>
      </c>
      <c r="X246" s="30">
        <v>9.0</v>
      </c>
      <c r="Y246" s="30">
        <v>3.0</v>
      </c>
      <c r="Z246" s="28">
        <v>1197.0</v>
      </c>
    </row>
    <row r="247" ht="14.25" customHeight="1">
      <c r="A247" s="27">
        <v>44133.0</v>
      </c>
      <c r="B247" s="28">
        <v>551.0</v>
      </c>
      <c r="C247" s="28">
        <v>512.0</v>
      </c>
      <c r="D247" s="28">
        <v>43648.0</v>
      </c>
      <c r="E247" s="28">
        <v>14011.0</v>
      </c>
      <c r="F247" s="29">
        <v>1080659.0</v>
      </c>
      <c r="G247" s="29">
        <v>14562.0</v>
      </c>
      <c r="H247" s="29">
        <v>1124307.0</v>
      </c>
      <c r="I247" s="28">
        <v>482.0</v>
      </c>
      <c r="J247" s="28">
        <v>444.0</v>
      </c>
      <c r="K247" s="28">
        <v>32874.0</v>
      </c>
      <c r="L247" s="28">
        <v>2838.0</v>
      </c>
      <c r="M247" s="28">
        <v>400002.0</v>
      </c>
      <c r="N247" s="28">
        <v>432876.0</v>
      </c>
      <c r="O247" s="31"/>
      <c r="P247" s="32"/>
      <c r="Q247" s="32"/>
      <c r="R247" s="32"/>
      <c r="S247" s="32"/>
      <c r="T247" s="32"/>
      <c r="U247" s="32"/>
      <c r="V247" s="32"/>
      <c r="W247" s="32"/>
      <c r="X247" s="32"/>
      <c r="Y247" s="30">
        <v>4.0</v>
      </c>
      <c r="Z247" s="28">
        <v>1201.0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t="str">
        <f t="shared" ref="A1:O1" si="1">'Municipality Case Trends'!A5</f>
        <v>#REF!</v>
      </c>
      <c r="B1" s="235" t="str">
        <f t="shared" si="1"/>
        <v>#REF!</v>
      </c>
      <c r="C1" s="235" t="str">
        <f t="shared" si="1"/>
        <v>#REF!</v>
      </c>
      <c r="D1" s="235" t="str">
        <f t="shared" si="1"/>
        <v>#REF!</v>
      </c>
      <c r="E1" s="235" t="str">
        <f t="shared" si="1"/>
        <v>#REF!</v>
      </c>
      <c r="F1" s="235" t="str">
        <f t="shared" si="1"/>
        <v>#REF!</v>
      </c>
      <c r="G1" s="235" t="str">
        <f t="shared" si="1"/>
        <v>#REF!</v>
      </c>
      <c r="H1" s="235" t="str">
        <f t="shared" si="1"/>
        <v>#REF!</v>
      </c>
      <c r="I1" s="235" t="str">
        <f t="shared" si="1"/>
        <v>#REF!</v>
      </c>
      <c r="J1" s="235" t="str">
        <f t="shared" si="1"/>
        <v>#REF!</v>
      </c>
      <c r="K1" s="235" t="str">
        <f t="shared" si="1"/>
        <v>#REF!</v>
      </c>
      <c r="L1" s="235" t="str">
        <f t="shared" si="1"/>
        <v>#REF!</v>
      </c>
      <c r="M1" s="235" t="str">
        <f t="shared" si="1"/>
        <v>#REF!</v>
      </c>
      <c r="N1" s="235" t="str">
        <f t="shared" si="1"/>
        <v>#REF!</v>
      </c>
      <c r="O1" s="235" t="str">
        <f t="shared" si="1"/>
        <v>#REF!</v>
      </c>
      <c r="P1" s="235" t="str">
        <f t="shared" ref="P1:Z1" si="2">#REF!</f>
        <v>#REF!</v>
      </c>
      <c r="Q1" s="235" t="str">
        <f t="shared" si="2"/>
        <v>#REF!</v>
      </c>
      <c r="R1" s="235" t="str">
        <f t="shared" si="2"/>
        <v>#REF!</v>
      </c>
      <c r="S1" s="235" t="str">
        <f t="shared" si="2"/>
        <v>#REF!</v>
      </c>
      <c r="T1" s="235" t="str">
        <f t="shared" si="2"/>
        <v>#REF!</v>
      </c>
      <c r="U1" s="235" t="str">
        <f t="shared" si="2"/>
        <v>#REF!</v>
      </c>
      <c r="V1" s="235" t="str">
        <f t="shared" si="2"/>
        <v>#REF!</v>
      </c>
      <c r="W1" s="235" t="str">
        <f t="shared" si="2"/>
        <v>#REF!</v>
      </c>
      <c r="X1" s="235" t="str">
        <f t="shared" si="2"/>
        <v>#REF!</v>
      </c>
      <c r="Y1" s="235" t="str">
        <f t="shared" si="2"/>
        <v>#REF!</v>
      </c>
      <c r="Z1" s="235" t="str">
        <f t="shared" si="2"/>
        <v>#REF!</v>
      </c>
    </row>
    <row r="2">
      <c r="A2" s="235" t="str">
        <f t="shared" ref="A2:O2" si="3">'Municipality Case Trends'!A6</f>
        <v>#REF!</v>
      </c>
      <c r="B2" s="235" t="str">
        <f t="shared" si="3"/>
        <v>#REF!</v>
      </c>
      <c r="C2" s="235" t="str">
        <f t="shared" si="3"/>
        <v>#REF!</v>
      </c>
      <c r="D2" s="235" t="str">
        <f t="shared" si="3"/>
        <v>#REF!</v>
      </c>
      <c r="E2" s="235" t="str">
        <f t="shared" si="3"/>
        <v>#REF!</v>
      </c>
      <c r="F2" s="235" t="str">
        <f t="shared" si="3"/>
        <v>#REF!</v>
      </c>
      <c r="G2" s="235" t="str">
        <f t="shared" si="3"/>
        <v>#REF!</v>
      </c>
      <c r="H2" s="235" t="str">
        <f t="shared" si="3"/>
        <v>#REF!</v>
      </c>
      <c r="I2" s="235" t="str">
        <f t="shared" si="3"/>
        <v>#REF!</v>
      </c>
      <c r="J2" s="235" t="str">
        <f t="shared" si="3"/>
        <v>#REF!</v>
      </c>
      <c r="K2" s="235" t="str">
        <f t="shared" si="3"/>
        <v>#REF!</v>
      </c>
      <c r="L2" s="235" t="str">
        <f t="shared" si="3"/>
        <v>#REF!</v>
      </c>
      <c r="M2" s="235" t="str">
        <f t="shared" si="3"/>
        <v>#REF!</v>
      </c>
      <c r="N2" s="235" t="str">
        <f t="shared" si="3"/>
        <v>#REF!</v>
      </c>
      <c r="O2" s="235" t="str">
        <f t="shared" si="3"/>
        <v>#REF!</v>
      </c>
      <c r="P2" s="235" t="str">
        <f t="shared" ref="P2:X2" si="4">#REF!</f>
        <v>#REF!</v>
      </c>
      <c r="Q2" s="235" t="str">
        <f t="shared" si="4"/>
        <v>#REF!</v>
      </c>
      <c r="R2" s="235" t="str">
        <f t="shared" si="4"/>
        <v>#REF!</v>
      </c>
      <c r="S2" s="235" t="str">
        <f t="shared" si="4"/>
        <v>#REF!</v>
      </c>
      <c r="T2" s="235" t="str">
        <f t="shared" si="4"/>
        <v>#REF!</v>
      </c>
      <c r="U2" s="235" t="str">
        <f t="shared" si="4"/>
        <v>#REF!</v>
      </c>
      <c r="V2" s="235" t="str">
        <f t="shared" si="4"/>
        <v>#REF!</v>
      </c>
      <c r="W2" s="235" t="str">
        <f t="shared" si="4"/>
        <v>#REF!</v>
      </c>
      <c r="X2" s="235" t="str">
        <f t="shared" si="4"/>
        <v>#REF!</v>
      </c>
    </row>
    <row r="3">
      <c r="A3" s="235" t="str">
        <f t="shared" ref="A3:O3" si="5">'Municipality Case Trends'!A7</f>
        <v>#REF!</v>
      </c>
      <c r="B3" s="235" t="str">
        <f t="shared" si="5"/>
        <v>#REF!</v>
      </c>
      <c r="C3" s="235" t="str">
        <f t="shared" si="5"/>
        <v>#REF!</v>
      </c>
      <c r="D3" s="235" t="str">
        <f t="shared" si="5"/>
        <v>#REF!</v>
      </c>
      <c r="E3" s="235" t="str">
        <f t="shared" si="5"/>
        <v>#REF!</v>
      </c>
      <c r="F3" s="235" t="str">
        <f t="shared" si="5"/>
        <v>#REF!</v>
      </c>
      <c r="G3" s="235" t="str">
        <f t="shared" si="5"/>
        <v>#REF!</v>
      </c>
      <c r="H3" s="235" t="str">
        <f t="shared" si="5"/>
        <v>#REF!</v>
      </c>
      <c r="I3" s="235" t="str">
        <f t="shared" si="5"/>
        <v>#REF!</v>
      </c>
      <c r="J3" s="235" t="str">
        <f t="shared" si="5"/>
        <v>#REF!</v>
      </c>
      <c r="K3" s="235" t="str">
        <f t="shared" si="5"/>
        <v>#REF!</v>
      </c>
      <c r="L3" s="235" t="str">
        <f t="shared" si="5"/>
        <v>#REF!</v>
      </c>
      <c r="M3" s="235" t="str">
        <f t="shared" si="5"/>
        <v>#REF!</v>
      </c>
      <c r="N3" s="235" t="str">
        <f t="shared" si="5"/>
        <v>#REF!</v>
      </c>
      <c r="O3" s="235" t="str">
        <f t="shared" si="5"/>
        <v>#REF!</v>
      </c>
      <c r="P3" s="235" t="str">
        <f t="shared" ref="P3:X3" si="6">#REF!</f>
        <v>#REF!</v>
      </c>
      <c r="Q3" s="235" t="str">
        <f t="shared" si="6"/>
        <v>#REF!</v>
      </c>
      <c r="R3" s="235" t="str">
        <f t="shared" si="6"/>
        <v>#REF!</v>
      </c>
      <c r="S3" s="235" t="str">
        <f t="shared" si="6"/>
        <v>#REF!</v>
      </c>
      <c r="T3" s="235" t="str">
        <f t="shared" si="6"/>
        <v>#REF!</v>
      </c>
      <c r="U3" s="235" t="str">
        <f t="shared" si="6"/>
        <v>#REF!</v>
      </c>
      <c r="V3" s="235" t="str">
        <f t="shared" si="6"/>
        <v>#REF!</v>
      </c>
      <c r="W3" s="235" t="str">
        <f t="shared" si="6"/>
        <v>#REF!</v>
      </c>
      <c r="X3" s="235" t="str">
        <f t="shared" si="6"/>
        <v>#REF!</v>
      </c>
    </row>
    <row r="4">
      <c r="A4" s="235" t="str">
        <f t="shared" ref="A4:O4" si="7">'Municipality Case Trends'!A8</f>
        <v>#REF!</v>
      </c>
      <c r="B4" s="235" t="str">
        <f t="shared" si="7"/>
        <v>#REF!</v>
      </c>
      <c r="C4" s="235" t="str">
        <f t="shared" si="7"/>
        <v>#REF!</v>
      </c>
      <c r="D4" s="235" t="str">
        <f t="shared" si="7"/>
        <v>#REF!</v>
      </c>
      <c r="E4" s="235" t="str">
        <f t="shared" si="7"/>
        <v>#REF!</v>
      </c>
      <c r="F4" s="235" t="str">
        <f t="shared" si="7"/>
        <v>#REF!</v>
      </c>
      <c r="G4" s="235" t="str">
        <f t="shared" si="7"/>
        <v>#REF!</v>
      </c>
      <c r="H4" s="235" t="str">
        <f t="shared" si="7"/>
        <v>#REF!</v>
      </c>
      <c r="I4" s="235" t="str">
        <f t="shared" si="7"/>
        <v>#REF!</v>
      </c>
      <c r="J4" s="235" t="str">
        <f t="shared" si="7"/>
        <v>#REF!</v>
      </c>
      <c r="K4" s="235" t="str">
        <f t="shared" si="7"/>
        <v>#REF!</v>
      </c>
      <c r="L4" s="235" t="str">
        <f t="shared" si="7"/>
        <v>#REF!</v>
      </c>
      <c r="M4" s="235" t="str">
        <f t="shared" si="7"/>
        <v>#REF!</v>
      </c>
      <c r="N4" s="235" t="str">
        <f t="shared" si="7"/>
        <v>#REF!</v>
      </c>
      <c r="O4" s="235" t="str">
        <f t="shared" si="7"/>
        <v>#REF!</v>
      </c>
      <c r="P4" s="235" t="str">
        <f t="shared" ref="P4:X4" si="8">#REF!</f>
        <v>#REF!</v>
      </c>
      <c r="Q4" s="235" t="str">
        <f t="shared" si="8"/>
        <v>#REF!</v>
      </c>
      <c r="R4" s="235" t="str">
        <f t="shared" si="8"/>
        <v>#REF!</v>
      </c>
      <c r="S4" s="235" t="str">
        <f t="shared" si="8"/>
        <v>#REF!</v>
      </c>
      <c r="T4" s="235" t="str">
        <f t="shared" si="8"/>
        <v>#REF!</v>
      </c>
      <c r="U4" s="235" t="str">
        <f t="shared" si="8"/>
        <v>#REF!</v>
      </c>
      <c r="V4" s="235" t="str">
        <f t="shared" si="8"/>
        <v>#REF!</v>
      </c>
      <c r="W4" s="235" t="str">
        <f t="shared" si="8"/>
        <v>#REF!</v>
      </c>
      <c r="X4" s="235" t="str">
        <f t="shared" si="8"/>
        <v>#REF!</v>
      </c>
    </row>
    <row r="5">
      <c r="A5" s="235" t="str">
        <f t="shared" ref="A5:O5" si="9">'Municipality Case Trends'!A9</f>
        <v>#REF!</v>
      </c>
      <c r="B5" s="235" t="str">
        <f t="shared" si="9"/>
        <v>#REF!</v>
      </c>
      <c r="C5" s="235" t="str">
        <f t="shared" si="9"/>
        <v>#REF!</v>
      </c>
      <c r="D5" s="235" t="str">
        <f t="shared" si="9"/>
        <v>#REF!</v>
      </c>
      <c r="E5" s="235" t="str">
        <f t="shared" si="9"/>
        <v>#REF!</v>
      </c>
      <c r="F5" s="235" t="str">
        <f t="shared" si="9"/>
        <v>#REF!</v>
      </c>
      <c r="G5" s="235" t="str">
        <f t="shared" si="9"/>
        <v>#REF!</v>
      </c>
      <c r="H5" s="235" t="str">
        <f t="shared" si="9"/>
        <v>#REF!</v>
      </c>
      <c r="I5" s="235" t="str">
        <f t="shared" si="9"/>
        <v>#REF!</v>
      </c>
      <c r="J5" s="235" t="str">
        <f t="shared" si="9"/>
        <v>#REF!</v>
      </c>
      <c r="K5" s="235" t="str">
        <f t="shared" si="9"/>
        <v>#REF!</v>
      </c>
      <c r="L5" s="235" t="str">
        <f t="shared" si="9"/>
        <v>#REF!</v>
      </c>
      <c r="M5" s="235" t="str">
        <f t="shared" si="9"/>
        <v>#REF!</v>
      </c>
      <c r="N5" s="235" t="str">
        <f t="shared" si="9"/>
        <v>#REF!</v>
      </c>
      <c r="O5" s="235" t="str">
        <f t="shared" si="9"/>
        <v>#REF!</v>
      </c>
      <c r="P5" s="235" t="str">
        <f t="shared" ref="P5:X5" si="10">#REF!</f>
        <v>#REF!</v>
      </c>
      <c r="Q5" s="235" t="str">
        <f t="shared" si="10"/>
        <v>#REF!</v>
      </c>
      <c r="R5" s="235" t="str">
        <f t="shared" si="10"/>
        <v>#REF!</v>
      </c>
      <c r="S5" s="235" t="str">
        <f t="shared" si="10"/>
        <v>#REF!</v>
      </c>
      <c r="T5" s="235" t="str">
        <f t="shared" si="10"/>
        <v>#REF!</v>
      </c>
      <c r="U5" s="235" t="str">
        <f t="shared" si="10"/>
        <v>#REF!</v>
      </c>
      <c r="V5" s="235" t="str">
        <f t="shared" si="10"/>
        <v>#REF!</v>
      </c>
      <c r="W5" s="235" t="str">
        <f t="shared" si="10"/>
        <v>#REF!</v>
      </c>
      <c r="X5" s="235" t="str">
        <f t="shared" si="10"/>
        <v>#REF!</v>
      </c>
    </row>
    <row r="6">
      <c r="A6" s="235" t="str">
        <f t="shared" ref="A6:O6" si="11">'Municipality Case Trends'!A10</f>
        <v>#REF!</v>
      </c>
      <c r="B6" s="235" t="str">
        <f t="shared" si="11"/>
        <v>#REF!</v>
      </c>
      <c r="C6" s="235" t="str">
        <f t="shared" si="11"/>
        <v>#REF!</v>
      </c>
      <c r="D6" s="235" t="str">
        <f t="shared" si="11"/>
        <v>#REF!</v>
      </c>
      <c r="E6" s="235" t="str">
        <f t="shared" si="11"/>
        <v>#REF!</v>
      </c>
      <c r="F6" s="235" t="str">
        <f t="shared" si="11"/>
        <v>#REF!</v>
      </c>
      <c r="G6" s="235" t="str">
        <f t="shared" si="11"/>
        <v>#REF!</v>
      </c>
      <c r="H6" s="235" t="str">
        <f t="shared" si="11"/>
        <v>#REF!</v>
      </c>
      <c r="I6" s="235" t="str">
        <f t="shared" si="11"/>
        <v>#REF!</v>
      </c>
      <c r="J6" s="235" t="str">
        <f t="shared" si="11"/>
        <v>#REF!</v>
      </c>
      <c r="K6" s="235" t="str">
        <f t="shared" si="11"/>
        <v>#REF!</v>
      </c>
      <c r="L6" s="235" t="str">
        <f t="shared" si="11"/>
        <v>#REF!</v>
      </c>
      <c r="M6" s="235" t="str">
        <f t="shared" si="11"/>
        <v>#REF!</v>
      </c>
      <c r="N6" s="235" t="str">
        <f t="shared" si="11"/>
        <v>#REF!</v>
      </c>
      <c r="O6" s="235" t="str">
        <f t="shared" si="11"/>
        <v>#REF!</v>
      </c>
      <c r="P6" s="235" t="str">
        <f t="shared" ref="P6:X6" si="12">#REF!</f>
        <v>#REF!</v>
      </c>
      <c r="Q6" s="235" t="str">
        <f t="shared" si="12"/>
        <v>#REF!</v>
      </c>
      <c r="R6" s="235" t="str">
        <f t="shared" si="12"/>
        <v>#REF!</v>
      </c>
      <c r="S6" s="235" t="str">
        <f t="shared" si="12"/>
        <v>#REF!</v>
      </c>
      <c r="T6" s="235" t="str">
        <f t="shared" si="12"/>
        <v>#REF!</v>
      </c>
      <c r="U6" s="235" t="str">
        <f t="shared" si="12"/>
        <v>#REF!</v>
      </c>
      <c r="V6" s="235" t="str">
        <f t="shared" si="12"/>
        <v>#REF!</v>
      </c>
      <c r="W6" s="235" t="str">
        <f t="shared" si="12"/>
        <v>#REF!</v>
      </c>
      <c r="X6" s="235" t="str">
        <f t="shared" si="12"/>
        <v>#REF!</v>
      </c>
    </row>
    <row r="7">
      <c r="A7" s="235" t="str">
        <f t="shared" ref="A7:O7" si="13">'Municipality Case Trends'!A11</f>
        <v>#REF!</v>
      </c>
      <c r="B7" s="235" t="str">
        <f t="shared" si="13"/>
        <v>#REF!</v>
      </c>
      <c r="C7" s="235" t="str">
        <f t="shared" si="13"/>
        <v>#REF!</v>
      </c>
      <c r="D7" s="235" t="str">
        <f t="shared" si="13"/>
        <v>#REF!</v>
      </c>
      <c r="E7" s="235" t="str">
        <f t="shared" si="13"/>
        <v>#REF!</v>
      </c>
      <c r="F7" s="235" t="str">
        <f t="shared" si="13"/>
        <v>#REF!</v>
      </c>
      <c r="G7" s="235" t="str">
        <f t="shared" si="13"/>
        <v>#REF!</v>
      </c>
      <c r="H7" s="235" t="str">
        <f t="shared" si="13"/>
        <v>#REF!</v>
      </c>
      <c r="I7" s="235" t="str">
        <f t="shared" si="13"/>
        <v>#REF!</v>
      </c>
      <c r="J7" s="235" t="str">
        <f t="shared" si="13"/>
        <v>#REF!</v>
      </c>
      <c r="K7" s="235" t="str">
        <f t="shared" si="13"/>
        <v>#REF!</v>
      </c>
      <c r="L7" s="235" t="str">
        <f t="shared" si="13"/>
        <v>#REF!</v>
      </c>
      <c r="M7" s="235" t="str">
        <f t="shared" si="13"/>
        <v>#REF!</v>
      </c>
      <c r="N7" s="235" t="str">
        <f t="shared" si="13"/>
        <v>#REF!</v>
      </c>
      <c r="O7" s="235" t="str">
        <f t="shared" si="13"/>
        <v>#REF!</v>
      </c>
      <c r="P7" s="235" t="str">
        <f t="shared" ref="P7:X7" si="14">#REF!</f>
        <v>#REF!</v>
      </c>
      <c r="Q7" s="235" t="str">
        <f t="shared" si="14"/>
        <v>#REF!</v>
      </c>
      <c r="R7" s="235" t="str">
        <f t="shared" si="14"/>
        <v>#REF!</v>
      </c>
      <c r="S7" s="235" t="str">
        <f t="shared" si="14"/>
        <v>#REF!</v>
      </c>
      <c r="T7" s="235" t="str">
        <f t="shared" si="14"/>
        <v>#REF!</v>
      </c>
      <c r="U7" s="235" t="str">
        <f t="shared" si="14"/>
        <v>#REF!</v>
      </c>
      <c r="V7" s="235" t="str">
        <f t="shared" si="14"/>
        <v>#REF!</v>
      </c>
      <c r="W7" s="235" t="str">
        <f t="shared" si="14"/>
        <v>#REF!</v>
      </c>
      <c r="X7" s="235" t="str">
        <f t="shared" si="14"/>
        <v>#REF!</v>
      </c>
    </row>
    <row r="8">
      <c r="A8" s="235" t="str">
        <f t="shared" ref="A8:O8" si="15">'Municipality Case Trends'!A12</f>
        <v>#REF!</v>
      </c>
      <c r="B8" s="235" t="str">
        <f t="shared" si="15"/>
        <v>#REF!</v>
      </c>
      <c r="C8" s="235" t="str">
        <f t="shared" si="15"/>
        <v>#REF!</v>
      </c>
      <c r="D8" s="235" t="str">
        <f t="shared" si="15"/>
        <v>#REF!</v>
      </c>
      <c r="E8" s="235" t="str">
        <f t="shared" si="15"/>
        <v>#REF!</v>
      </c>
      <c r="F8" s="235" t="str">
        <f t="shared" si="15"/>
        <v>#REF!</v>
      </c>
      <c r="G8" s="235" t="str">
        <f t="shared" si="15"/>
        <v>#REF!</v>
      </c>
      <c r="H8" s="235" t="str">
        <f t="shared" si="15"/>
        <v>#REF!</v>
      </c>
      <c r="I8" s="235" t="str">
        <f t="shared" si="15"/>
        <v>#REF!</v>
      </c>
      <c r="J8" s="235" t="str">
        <f t="shared" si="15"/>
        <v>#REF!</v>
      </c>
      <c r="K8" s="235" t="str">
        <f t="shared" si="15"/>
        <v>#REF!</v>
      </c>
      <c r="L8" s="235" t="str">
        <f t="shared" si="15"/>
        <v>#REF!</v>
      </c>
      <c r="M8" s="235" t="str">
        <f t="shared" si="15"/>
        <v>#REF!</v>
      </c>
      <c r="N8" s="235" t="str">
        <f t="shared" si="15"/>
        <v>#REF!</v>
      </c>
      <c r="O8" s="235" t="str">
        <f t="shared" si="15"/>
        <v>#REF!</v>
      </c>
      <c r="P8" s="235" t="str">
        <f t="shared" ref="P8:X8" si="16">#REF!</f>
        <v>#REF!</v>
      </c>
      <c r="Q8" s="235" t="str">
        <f t="shared" si="16"/>
        <v>#REF!</v>
      </c>
      <c r="R8" s="235" t="str">
        <f t="shared" si="16"/>
        <v>#REF!</v>
      </c>
      <c r="S8" s="235" t="str">
        <f t="shared" si="16"/>
        <v>#REF!</v>
      </c>
      <c r="T8" s="235" t="str">
        <f t="shared" si="16"/>
        <v>#REF!</v>
      </c>
      <c r="U8" s="235" t="str">
        <f t="shared" si="16"/>
        <v>#REF!</v>
      </c>
      <c r="V8" s="235" t="str">
        <f t="shared" si="16"/>
        <v>#REF!</v>
      </c>
      <c r="W8" s="235" t="str">
        <f t="shared" si="16"/>
        <v>#REF!</v>
      </c>
      <c r="X8" s="235" t="str">
        <f t="shared" si="16"/>
        <v>#REF!</v>
      </c>
    </row>
    <row r="9">
      <c r="A9" s="235" t="str">
        <f t="shared" ref="A9:O9" si="17">'Municipality Case Trends'!A13</f>
        <v>#REF!</v>
      </c>
      <c r="B9" s="235" t="str">
        <f t="shared" si="17"/>
        <v>#REF!</v>
      </c>
      <c r="C9" s="235" t="str">
        <f t="shared" si="17"/>
        <v>#REF!</v>
      </c>
      <c r="D9" s="235" t="str">
        <f t="shared" si="17"/>
        <v>#REF!</v>
      </c>
      <c r="E9" s="235" t="str">
        <f t="shared" si="17"/>
        <v>#REF!</v>
      </c>
      <c r="F9" s="235" t="str">
        <f t="shared" si="17"/>
        <v>#REF!</v>
      </c>
      <c r="G9" s="235" t="str">
        <f t="shared" si="17"/>
        <v>#REF!</v>
      </c>
      <c r="H9" s="235" t="str">
        <f t="shared" si="17"/>
        <v>#REF!</v>
      </c>
      <c r="I9" s="235" t="str">
        <f t="shared" si="17"/>
        <v>#REF!</v>
      </c>
      <c r="J9" s="235" t="str">
        <f t="shared" si="17"/>
        <v>#REF!</v>
      </c>
      <c r="K9" s="235" t="str">
        <f t="shared" si="17"/>
        <v>#REF!</v>
      </c>
      <c r="L9" s="235" t="str">
        <f t="shared" si="17"/>
        <v>#REF!</v>
      </c>
      <c r="M9" s="235" t="str">
        <f t="shared" si="17"/>
        <v>#REF!</v>
      </c>
      <c r="N9" s="235" t="str">
        <f t="shared" si="17"/>
        <v>#REF!</v>
      </c>
      <c r="O9" s="235" t="str">
        <f t="shared" si="17"/>
        <v>#REF!</v>
      </c>
      <c r="P9" s="235" t="str">
        <f t="shared" ref="P9:X9" si="18">#REF!</f>
        <v>#REF!</v>
      </c>
      <c r="Q9" s="235" t="str">
        <f t="shared" si="18"/>
        <v>#REF!</v>
      </c>
      <c r="R9" s="235" t="str">
        <f t="shared" si="18"/>
        <v>#REF!</v>
      </c>
      <c r="S9" s="235" t="str">
        <f t="shared" si="18"/>
        <v>#REF!</v>
      </c>
      <c r="T9" s="235" t="str">
        <f t="shared" si="18"/>
        <v>#REF!</v>
      </c>
      <c r="U9" s="235" t="str">
        <f t="shared" si="18"/>
        <v>#REF!</v>
      </c>
      <c r="V9" s="235" t="str">
        <f t="shared" si="18"/>
        <v>#REF!</v>
      </c>
      <c r="W9" s="235" t="str">
        <f t="shared" si="18"/>
        <v>#REF!</v>
      </c>
      <c r="X9" s="235" t="str">
        <f t="shared" si="18"/>
        <v>#REF!</v>
      </c>
    </row>
    <row r="10">
      <c r="A10" s="235" t="str">
        <f t="shared" ref="A10:O10" si="19">'Municipality Case Trends'!A14</f>
        <v>#REF!</v>
      </c>
      <c r="B10" s="235" t="str">
        <f t="shared" si="19"/>
        <v>#REF!</v>
      </c>
      <c r="C10" s="235" t="str">
        <f t="shared" si="19"/>
        <v>#REF!</v>
      </c>
      <c r="D10" s="235" t="str">
        <f t="shared" si="19"/>
        <v>#REF!</v>
      </c>
      <c r="E10" s="235" t="str">
        <f t="shared" si="19"/>
        <v>#REF!</v>
      </c>
      <c r="F10" s="235" t="str">
        <f t="shared" si="19"/>
        <v>#REF!</v>
      </c>
      <c r="G10" s="235" t="str">
        <f t="shared" si="19"/>
        <v>#REF!</v>
      </c>
      <c r="H10" s="235" t="str">
        <f t="shared" si="19"/>
        <v>#REF!</v>
      </c>
      <c r="I10" s="235" t="str">
        <f t="shared" si="19"/>
        <v>#REF!</v>
      </c>
      <c r="J10" s="235" t="str">
        <f t="shared" si="19"/>
        <v>#REF!</v>
      </c>
      <c r="K10" s="235" t="str">
        <f t="shared" si="19"/>
        <v>#REF!</v>
      </c>
      <c r="L10" s="235" t="str">
        <f t="shared" si="19"/>
        <v>#REF!</v>
      </c>
      <c r="M10" s="235" t="str">
        <f t="shared" si="19"/>
        <v>#REF!</v>
      </c>
      <c r="N10" s="235" t="str">
        <f t="shared" si="19"/>
        <v>#REF!</v>
      </c>
      <c r="O10" s="235" t="str">
        <f t="shared" si="19"/>
        <v>#REF!</v>
      </c>
      <c r="P10" s="235" t="str">
        <f t="shared" ref="P10:X10" si="20">#REF!</f>
        <v>#REF!</v>
      </c>
      <c r="Q10" s="235" t="str">
        <f t="shared" si="20"/>
        <v>#REF!</v>
      </c>
      <c r="R10" s="235" t="str">
        <f t="shared" si="20"/>
        <v>#REF!</v>
      </c>
      <c r="S10" s="235" t="str">
        <f t="shared" si="20"/>
        <v>#REF!</v>
      </c>
      <c r="T10" s="235" t="str">
        <f t="shared" si="20"/>
        <v>#REF!</v>
      </c>
      <c r="U10" s="235" t="str">
        <f t="shared" si="20"/>
        <v>#REF!</v>
      </c>
      <c r="V10" s="235" t="str">
        <f t="shared" si="20"/>
        <v>#REF!</v>
      </c>
      <c r="W10" s="235" t="str">
        <f t="shared" si="20"/>
        <v>#REF!</v>
      </c>
      <c r="X10" s="235" t="str">
        <f t="shared" si="20"/>
        <v>#REF!</v>
      </c>
    </row>
    <row r="11">
      <c r="A11" s="235" t="str">
        <f t="shared" ref="A11:O11" si="21">'Municipality Case Trends'!A15</f>
        <v>#REF!</v>
      </c>
      <c r="B11" s="235" t="str">
        <f t="shared" si="21"/>
        <v>#REF!</v>
      </c>
      <c r="C11" s="235" t="str">
        <f t="shared" si="21"/>
        <v>#REF!</v>
      </c>
      <c r="D11" s="235" t="str">
        <f t="shared" si="21"/>
        <v>#REF!</v>
      </c>
      <c r="E11" s="235" t="str">
        <f t="shared" si="21"/>
        <v>#REF!</v>
      </c>
      <c r="F11" s="235" t="str">
        <f t="shared" si="21"/>
        <v>#REF!</v>
      </c>
      <c r="G11" s="235" t="str">
        <f t="shared" si="21"/>
        <v>#REF!</v>
      </c>
      <c r="H11" s="235" t="str">
        <f t="shared" si="21"/>
        <v>#REF!</v>
      </c>
      <c r="I11" s="235" t="str">
        <f t="shared" si="21"/>
        <v>#REF!</v>
      </c>
      <c r="J11" s="235" t="str">
        <f t="shared" si="21"/>
        <v>#REF!</v>
      </c>
      <c r="K11" s="235" t="str">
        <f t="shared" si="21"/>
        <v>#REF!</v>
      </c>
      <c r="L11" s="235" t="str">
        <f t="shared" si="21"/>
        <v>#REF!</v>
      </c>
      <c r="M11" s="235" t="str">
        <f t="shared" si="21"/>
        <v>#REF!</v>
      </c>
      <c r="N11" s="235" t="str">
        <f t="shared" si="21"/>
        <v>#REF!</v>
      </c>
      <c r="O11" s="235" t="str">
        <f t="shared" si="21"/>
        <v>#REF!</v>
      </c>
      <c r="P11" s="235" t="str">
        <f t="shared" ref="P11:X11" si="22">#REF!</f>
        <v>#REF!</v>
      </c>
      <c r="Q11" s="235" t="str">
        <f t="shared" si="22"/>
        <v>#REF!</v>
      </c>
      <c r="R11" s="235" t="str">
        <f t="shared" si="22"/>
        <v>#REF!</v>
      </c>
      <c r="S11" s="235" t="str">
        <f t="shared" si="22"/>
        <v>#REF!</v>
      </c>
      <c r="T11" s="235" t="str">
        <f t="shared" si="22"/>
        <v>#REF!</v>
      </c>
      <c r="U11" s="235" t="str">
        <f t="shared" si="22"/>
        <v>#REF!</v>
      </c>
      <c r="V11" s="235" t="str">
        <f t="shared" si="22"/>
        <v>#REF!</v>
      </c>
      <c r="W11" s="235" t="str">
        <f t="shared" si="22"/>
        <v>#REF!</v>
      </c>
      <c r="X11" s="235" t="str">
        <f t="shared" si="22"/>
        <v>#REF!</v>
      </c>
    </row>
    <row r="12">
      <c r="A12" s="235" t="str">
        <f t="shared" ref="A12:O12" si="23">'Municipality Case Trends'!A16</f>
        <v>#REF!</v>
      </c>
      <c r="B12" s="235" t="str">
        <f t="shared" si="23"/>
        <v>#REF!</v>
      </c>
      <c r="C12" s="235" t="str">
        <f t="shared" si="23"/>
        <v>#REF!</v>
      </c>
      <c r="D12" s="235" t="str">
        <f t="shared" si="23"/>
        <v>#REF!</v>
      </c>
      <c r="E12" s="235" t="str">
        <f t="shared" si="23"/>
        <v>#REF!</v>
      </c>
      <c r="F12" s="235" t="str">
        <f t="shared" si="23"/>
        <v>#REF!</v>
      </c>
      <c r="G12" s="235" t="str">
        <f t="shared" si="23"/>
        <v>#REF!</v>
      </c>
      <c r="H12" s="235" t="str">
        <f t="shared" si="23"/>
        <v>#REF!</v>
      </c>
      <c r="I12" s="235" t="str">
        <f t="shared" si="23"/>
        <v>#REF!</v>
      </c>
      <c r="J12" s="235" t="str">
        <f t="shared" si="23"/>
        <v>#REF!</v>
      </c>
      <c r="K12" s="235" t="str">
        <f t="shared" si="23"/>
        <v>#REF!</v>
      </c>
      <c r="L12" s="235" t="str">
        <f t="shared" si="23"/>
        <v>#REF!</v>
      </c>
      <c r="M12" s="235" t="str">
        <f t="shared" si="23"/>
        <v>#REF!</v>
      </c>
      <c r="N12" s="235" t="str">
        <f t="shared" si="23"/>
        <v>#REF!</v>
      </c>
      <c r="O12" s="235" t="str">
        <f t="shared" si="23"/>
        <v>#REF!</v>
      </c>
      <c r="P12" s="235" t="str">
        <f t="shared" ref="P12:X12" si="24">#REF!</f>
        <v>#REF!</v>
      </c>
      <c r="Q12" s="235" t="str">
        <f t="shared" si="24"/>
        <v>#REF!</v>
      </c>
      <c r="R12" s="235" t="str">
        <f t="shared" si="24"/>
        <v>#REF!</v>
      </c>
      <c r="S12" s="235" t="str">
        <f t="shared" si="24"/>
        <v>#REF!</v>
      </c>
      <c r="T12" s="235" t="str">
        <f t="shared" si="24"/>
        <v>#REF!</v>
      </c>
      <c r="U12" s="235" t="str">
        <f t="shared" si="24"/>
        <v>#REF!</v>
      </c>
      <c r="V12" s="235" t="str">
        <f t="shared" si="24"/>
        <v>#REF!</v>
      </c>
      <c r="W12" s="235" t="str">
        <f t="shared" si="24"/>
        <v>#REF!</v>
      </c>
      <c r="X12" s="235" t="str">
        <f t="shared" si="24"/>
        <v>#REF!</v>
      </c>
    </row>
    <row r="13">
      <c r="A13" s="235" t="str">
        <f t="shared" ref="A13:O13" si="25">'Municipality Case Trends'!A17</f>
        <v>#REF!</v>
      </c>
      <c r="B13" s="235" t="str">
        <f t="shared" si="25"/>
        <v>#REF!</v>
      </c>
      <c r="C13" s="235" t="str">
        <f t="shared" si="25"/>
        <v>#REF!</v>
      </c>
      <c r="D13" s="235" t="str">
        <f t="shared" si="25"/>
        <v>#REF!</v>
      </c>
      <c r="E13" s="235" t="str">
        <f t="shared" si="25"/>
        <v>#REF!</v>
      </c>
      <c r="F13" s="235" t="str">
        <f t="shared" si="25"/>
        <v>#REF!</v>
      </c>
      <c r="G13" s="235" t="str">
        <f t="shared" si="25"/>
        <v>#REF!</v>
      </c>
      <c r="H13" s="235" t="str">
        <f t="shared" si="25"/>
        <v>#REF!</v>
      </c>
      <c r="I13" s="235" t="str">
        <f t="shared" si="25"/>
        <v>#REF!</v>
      </c>
      <c r="J13" s="235" t="str">
        <f t="shared" si="25"/>
        <v>#REF!</v>
      </c>
      <c r="K13" s="235" t="str">
        <f t="shared" si="25"/>
        <v>#REF!</v>
      </c>
      <c r="L13" s="235" t="str">
        <f t="shared" si="25"/>
        <v>#REF!</v>
      </c>
      <c r="M13" s="235" t="str">
        <f t="shared" si="25"/>
        <v>#REF!</v>
      </c>
      <c r="N13" s="235" t="str">
        <f t="shared" si="25"/>
        <v>#REF!</v>
      </c>
      <c r="O13" s="235" t="str">
        <f t="shared" si="25"/>
        <v>#REF!</v>
      </c>
      <c r="P13" s="235" t="str">
        <f t="shared" ref="P13:X13" si="26">#REF!</f>
        <v>#REF!</v>
      </c>
      <c r="Q13" s="235" t="str">
        <f t="shared" si="26"/>
        <v>#REF!</v>
      </c>
      <c r="R13" s="235" t="str">
        <f t="shared" si="26"/>
        <v>#REF!</v>
      </c>
      <c r="S13" s="235" t="str">
        <f t="shared" si="26"/>
        <v>#REF!</v>
      </c>
      <c r="T13" s="235" t="str">
        <f t="shared" si="26"/>
        <v>#REF!</v>
      </c>
      <c r="U13" s="235" t="str">
        <f t="shared" si="26"/>
        <v>#REF!</v>
      </c>
      <c r="V13" s="235" t="str">
        <f t="shared" si="26"/>
        <v>#REF!</v>
      </c>
      <c r="W13" s="235" t="str">
        <f t="shared" si="26"/>
        <v>#REF!</v>
      </c>
      <c r="X13" s="235" t="str">
        <f t="shared" si="26"/>
        <v>#REF!</v>
      </c>
    </row>
    <row r="14">
      <c r="A14" s="235" t="str">
        <f t="shared" ref="A14:O14" si="27">'Municipality Case Trends'!A18</f>
        <v>#REF!</v>
      </c>
      <c r="B14" s="235" t="str">
        <f t="shared" si="27"/>
        <v>#REF!</v>
      </c>
      <c r="C14" s="235" t="str">
        <f t="shared" si="27"/>
        <v>#REF!</v>
      </c>
      <c r="D14" s="235" t="str">
        <f t="shared" si="27"/>
        <v>#REF!</v>
      </c>
      <c r="E14" s="235" t="str">
        <f t="shared" si="27"/>
        <v>#REF!</v>
      </c>
      <c r="F14" s="235" t="str">
        <f t="shared" si="27"/>
        <v>#REF!</v>
      </c>
      <c r="G14" s="235" t="str">
        <f t="shared" si="27"/>
        <v>#REF!</v>
      </c>
      <c r="H14" s="235" t="str">
        <f t="shared" si="27"/>
        <v>#REF!</v>
      </c>
      <c r="I14" s="235" t="str">
        <f t="shared" si="27"/>
        <v>#REF!</v>
      </c>
      <c r="J14" s="235" t="str">
        <f t="shared" si="27"/>
        <v>#REF!</v>
      </c>
      <c r="K14" s="235" t="str">
        <f t="shared" si="27"/>
        <v>#REF!</v>
      </c>
      <c r="L14" s="235" t="str">
        <f t="shared" si="27"/>
        <v>#REF!</v>
      </c>
      <c r="M14" s="235" t="str">
        <f t="shared" si="27"/>
        <v>#REF!</v>
      </c>
      <c r="N14" s="235" t="str">
        <f t="shared" si="27"/>
        <v>#REF!</v>
      </c>
      <c r="O14" s="235" t="str">
        <f t="shared" si="27"/>
        <v>#REF!</v>
      </c>
      <c r="P14" s="235" t="str">
        <f t="shared" ref="P14:X14" si="28">#REF!</f>
        <v>#REF!</v>
      </c>
      <c r="Q14" s="235" t="str">
        <f t="shared" si="28"/>
        <v>#REF!</v>
      </c>
      <c r="R14" s="235" t="str">
        <f t="shared" si="28"/>
        <v>#REF!</v>
      </c>
      <c r="S14" s="235" t="str">
        <f t="shared" si="28"/>
        <v>#REF!</v>
      </c>
      <c r="T14" s="235" t="str">
        <f t="shared" si="28"/>
        <v>#REF!</v>
      </c>
      <c r="U14" s="235" t="str">
        <f t="shared" si="28"/>
        <v>#REF!</v>
      </c>
      <c r="V14" s="235" t="str">
        <f t="shared" si="28"/>
        <v>#REF!</v>
      </c>
      <c r="W14" s="235" t="str">
        <f t="shared" si="28"/>
        <v>#REF!</v>
      </c>
      <c r="X14" s="235" t="str">
        <f t="shared" si="28"/>
        <v>#REF!</v>
      </c>
    </row>
    <row r="15">
      <c r="A15" s="235" t="str">
        <f t="shared" ref="A15:O15" si="29">'Municipality Case Trends'!A19</f>
        <v>#REF!</v>
      </c>
      <c r="B15" s="235" t="str">
        <f t="shared" si="29"/>
        <v>#REF!</v>
      </c>
      <c r="C15" s="235" t="str">
        <f t="shared" si="29"/>
        <v>#REF!</v>
      </c>
      <c r="D15" s="235" t="str">
        <f t="shared" si="29"/>
        <v>#REF!</v>
      </c>
      <c r="E15" s="235" t="str">
        <f t="shared" si="29"/>
        <v>#REF!</v>
      </c>
      <c r="F15" s="235" t="str">
        <f t="shared" si="29"/>
        <v>#REF!</v>
      </c>
      <c r="G15" s="235" t="str">
        <f t="shared" si="29"/>
        <v>#REF!</v>
      </c>
      <c r="H15" s="235" t="str">
        <f t="shared" si="29"/>
        <v>#REF!</v>
      </c>
      <c r="I15" s="235" t="str">
        <f t="shared" si="29"/>
        <v>#REF!</v>
      </c>
      <c r="J15" s="235" t="str">
        <f t="shared" si="29"/>
        <v>#REF!</v>
      </c>
      <c r="K15" s="235" t="str">
        <f t="shared" si="29"/>
        <v>#REF!</v>
      </c>
      <c r="L15" s="235" t="str">
        <f t="shared" si="29"/>
        <v>#REF!</v>
      </c>
      <c r="M15" s="235" t="str">
        <f t="shared" si="29"/>
        <v>#REF!</v>
      </c>
      <c r="N15" s="235" t="str">
        <f t="shared" si="29"/>
        <v>#REF!</v>
      </c>
      <c r="O15" s="235" t="str">
        <f t="shared" si="29"/>
        <v>#REF!</v>
      </c>
      <c r="P15" s="235" t="str">
        <f t="shared" ref="P15:X15" si="30">#REF!</f>
        <v>#REF!</v>
      </c>
      <c r="Q15" s="235" t="str">
        <f t="shared" si="30"/>
        <v>#REF!</v>
      </c>
      <c r="R15" s="235" t="str">
        <f t="shared" si="30"/>
        <v>#REF!</v>
      </c>
      <c r="S15" s="235" t="str">
        <f t="shared" si="30"/>
        <v>#REF!</v>
      </c>
      <c r="T15" s="235" t="str">
        <f t="shared" si="30"/>
        <v>#REF!</v>
      </c>
      <c r="U15" s="235" t="str">
        <f t="shared" si="30"/>
        <v>#REF!</v>
      </c>
      <c r="V15" s="235" t="str">
        <f t="shared" si="30"/>
        <v>#REF!</v>
      </c>
      <c r="W15" s="235" t="str">
        <f t="shared" si="30"/>
        <v>#REF!</v>
      </c>
      <c r="X15" s="235" t="str">
        <f t="shared" si="30"/>
        <v>#REF!</v>
      </c>
    </row>
    <row r="16">
      <c r="A16" s="235" t="str">
        <f t="shared" ref="A16:O16" si="31">'Municipality Case Trends'!A20</f>
        <v>#REF!</v>
      </c>
      <c r="B16" s="235" t="str">
        <f t="shared" si="31"/>
        <v>#REF!</v>
      </c>
      <c r="C16" s="235" t="str">
        <f t="shared" si="31"/>
        <v>#REF!</v>
      </c>
      <c r="D16" s="235" t="str">
        <f t="shared" si="31"/>
        <v>#REF!</v>
      </c>
      <c r="E16" s="235" t="str">
        <f t="shared" si="31"/>
        <v>#REF!</v>
      </c>
      <c r="F16" s="235" t="str">
        <f t="shared" si="31"/>
        <v>#REF!</v>
      </c>
      <c r="G16" s="235" t="str">
        <f t="shared" si="31"/>
        <v>#REF!</v>
      </c>
      <c r="H16" s="235" t="str">
        <f t="shared" si="31"/>
        <v>#REF!</v>
      </c>
      <c r="I16" s="235" t="str">
        <f t="shared" si="31"/>
        <v>#REF!</v>
      </c>
      <c r="J16" s="235" t="str">
        <f t="shared" si="31"/>
        <v>#REF!</v>
      </c>
      <c r="K16" s="235" t="str">
        <f t="shared" si="31"/>
        <v>#REF!</v>
      </c>
      <c r="L16" s="235" t="str">
        <f t="shared" si="31"/>
        <v>#REF!</v>
      </c>
      <c r="M16" s="235" t="str">
        <f t="shared" si="31"/>
        <v>#REF!</v>
      </c>
      <c r="N16" s="235" t="str">
        <f t="shared" si="31"/>
        <v>#REF!</v>
      </c>
      <c r="O16" s="235" t="str">
        <f t="shared" si="31"/>
        <v>#REF!</v>
      </c>
      <c r="P16" s="235" t="str">
        <f t="shared" ref="P16:X16" si="32">#REF!</f>
        <v>#REF!</v>
      </c>
      <c r="Q16" s="235" t="str">
        <f t="shared" si="32"/>
        <v>#REF!</v>
      </c>
      <c r="R16" s="235" t="str">
        <f t="shared" si="32"/>
        <v>#REF!</v>
      </c>
      <c r="S16" s="235" t="str">
        <f t="shared" si="32"/>
        <v>#REF!</v>
      </c>
      <c r="T16" s="235" t="str">
        <f t="shared" si="32"/>
        <v>#REF!</v>
      </c>
      <c r="U16" s="235" t="str">
        <f t="shared" si="32"/>
        <v>#REF!</v>
      </c>
      <c r="V16" s="235" t="str">
        <f t="shared" si="32"/>
        <v>#REF!</v>
      </c>
      <c r="W16" s="235" t="str">
        <f t="shared" si="32"/>
        <v>#REF!</v>
      </c>
      <c r="X16" s="235" t="str">
        <f t="shared" si="32"/>
        <v>#REF!</v>
      </c>
    </row>
    <row r="17">
      <c r="A17" s="235" t="str">
        <f t="shared" ref="A17:O17" si="33">'Municipality Case Trends'!A21</f>
        <v>#REF!</v>
      </c>
      <c r="B17" s="235" t="str">
        <f t="shared" si="33"/>
        <v>#REF!</v>
      </c>
      <c r="C17" s="235" t="str">
        <f t="shared" si="33"/>
        <v>#REF!</v>
      </c>
      <c r="D17" s="235" t="str">
        <f t="shared" si="33"/>
        <v>#REF!</v>
      </c>
      <c r="E17" s="235" t="str">
        <f t="shared" si="33"/>
        <v>#REF!</v>
      </c>
      <c r="F17" s="235" t="str">
        <f t="shared" si="33"/>
        <v>#REF!</v>
      </c>
      <c r="G17" s="235" t="str">
        <f t="shared" si="33"/>
        <v>#REF!</v>
      </c>
      <c r="H17" s="235" t="str">
        <f t="shared" si="33"/>
        <v>#REF!</v>
      </c>
      <c r="I17" s="235" t="str">
        <f t="shared" si="33"/>
        <v>#REF!</v>
      </c>
      <c r="J17" s="235" t="str">
        <f t="shared" si="33"/>
        <v>#REF!</v>
      </c>
      <c r="K17" s="235" t="str">
        <f t="shared" si="33"/>
        <v>#REF!</v>
      </c>
      <c r="L17" s="235" t="str">
        <f t="shared" si="33"/>
        <v>#REF!</v>
      </c>
      <c r="M17" s="235" t="str">
        <f t="shared" si="33"/>
        <v>#REF!</v>
      </c>
      <c r="N17" s="235" t="str">
        <f t="shared" si="33"/>
        <v>#REF!</v>
      </c>
      <c r="O17" s="235" t="str">
        <f t="shared" si="33"/>
        <v>#REF!</v>
      </c>
      <c r="P17" s="235" t="str">
        <f t="shared" ref="P17:X17" si="34">#REF!</f>
        <v>#REF!</v>
      </c>
      <c r="Q17" s="235" t="str">
        <f t="shared" si="34"/>
        <v>#REF!</v>
      </c>
      <c r="R17" s="235" t="str">
        <f t="shared" si="34"/>
        <v>#REF!</v>
      </c>
      <c r="S17" s="235" t="str">
        <f t="shared" si="34"/>
        <v>#REF!</v>
      </c>
      <c r="T17" s="235" t="str">
        <f t="shared" si="34"/>
        <v>#REF!</v>
      </c>
      <c r="U17" s="235" t="str">
        <f t="shared" si="34"/>
        <v>#REF!</v>
      </c>
      <c r="V17" s="235" t="str">
        <f t="shared" si="34"/>
        <v>#REF!</v>
      </c>
      <c r="W17" s="235" t="str">
        <f t="shared" si="34"/>
        <v>#REF!</v>
      </c>
      <c r="X17" s="235" t="str">
        <f t="shared" si="34"/>
        <v>#REF!</v>
      </c>
    </row>
    <row r="18">
      <c r="A18" s="235" t="str">
        <f t="shared" ref="A18:O18" si="35">'Municipality Case Trends'!A22</f>
        <v>#REF!</v>
      </c>
      <c r="B18" s="235" t="str">
        <f t="shared" si="35"/>
        <v>#REF!</v>
      </c>
      <c r="C18" s="235" t="str">
        <f t="shared" si="35"/>
        <v>#REF!</v>
      </c>
      <c r="D18" s="235" t="str">
        <f t="shared" si="35"/>
        <v>#REF!</v>
      </c>
      <c r="E18" s="235" t="str">
        <f t="shared" si="35"/>
        <v>#REF!</v>
      </c>
      <c r="F18" s="235" t="str">
        <f t="shared" si="35"/>
        <v>#REF!</v>
      </c>
      <c r="G18" s="235" t="str">
        <f t="shared" si="35"/>
        <v>#REF!</v>
      </c>
      <c r="H18" s="235" t="str">
        <f t="shared" si="35"/>
        <v>#REF!</v>
      </c>
      <c r="I18" s="235" t="str">
        <f t="shared" si="35"/>
        <v>#REF!</v>
      </c>
      <c r="J18" s="235" t="str">
        <f t="shared" si="35"/>
        <v>#REF!</v>
      </c>
      <c r="K18" s="235" t="str">
        <f t="shared" si="35"/>
        <v>#REF!</v>
      </c>
      <c r="L18" s="235" t="str">
        <f t="shared" si="35"/>
        <v>#REF!</v>
      </c>
      <c r="M18" s="235" t="str">
        <f t="shared" si="35"/>
        <v>#REF!</v>
      </c>
      <c r="N18" s="235" t="str">
        <f t="shared" si="35"/>
        <v>#REF!</v>
      </c>
      <c r="O18" s="235" t="str">
        <f t="shared" si="35"/>
        <v>#REF!</v>
      </c>
      <c r="P18" s="235" t="str">
        <f t="shared" ref="P18:X18" si="36">#REF!</f>
        <v>#REF!</v>
      </c>
      <c r="Q18" s="235" t="str">
        <f t="shared" si="36"/>
        <v>#REF!</v>
      </c>
      <c r="R18" s="235" t="str">
        <f t="shared" si="36"/>
        <v>#REF!</v>
      </c>
      <c r="S18" s="235" t="str">
        <f t="shared" si="36"/>
        <v>#REF!</v>
      </c>
      <c r="T18" s="235" t="str">
        <f t="shared" si="36"/>
        <v>#REF!</v>
      </c>
      <c r="U18" s="235" t="str">
        <f t="shared" si="36"/>
        <v>#REF!</v>
      </c>
      <c r="V18" s="235" t="str">
        <f t="shared" si="36"/>
        <v>#REF!</v>
      </c>
      <c r="W18" s="235" t="str">
        <f t="shared" si="36"/>
        <v>#REF!</v>
      </c>
      <c r="X18" s="235" t="str">
        <f t="shared" si="36"/>
        <v>#REF!</v>
      </c>
    </row>
    <row r="19">
      <c r="A19" s="235" t="str">
        <f t="shared" ref="A19:O19" si="37">'Municipality Case Trends'!A23</f>
        <v>#REF!</v>
      </c>
      <c r="B19" s="235" t="str">
        <f t="shared" si="37"/>
        <v>#REF!</v>
      </c>
      <c r="C19" s="235" t="str">
        <f t="shared" si="37"/>
        <v>#REF!</v>
      </c>
      <c r="D19" s="235" t="str">
        <f t="shared" si="37"/>
        <v>#REF!</v>
      </c>
      <c r="E19" s="235" t="str">
        <f t="shared" si="37"/>
        <v>#REF!</v>
      </c>
      <c r="F19" s="235" t="str">
        <f t="shared" si="37"/>
        <v>#REF!</v>
      </c>
      <c r="G19" s="235" t="str">
        <f t="shared" si="37"/>
        <v>#REF!</v>
      </c>
      <c r="H19" s="235" t="str">
        <f t="shared" si="37"/>
        <v>#REF!</v>
      </c>
      <c r="I19" s="235" t="str">
        <f t="shared" si="37"/>
        <v>#REF!</v>
      </c>
      <c r="J19" s="235" t="str">
        <f t="shared" si="37"/>
        <v>#REF!</v>
      </c>
      <c r="K19" s="235" t="str">
        <f t="shared" si="37"/>
        <v>#REF!</v>
      </c>
      <c r="L19" s="235" t="str">
        <f t="shared" si="37"/>
        <v>#REF!</v>
      </c>
      <c r="M19" s="235" t="str">
        <f t="shared" si="37"/>
        <v>#REF!</v>
      </c>
      <c r="N19" s="235" t="str">
        <f t="shared" si="37"/>
        <v>#REF!</v>
      </c>
      <c r="O19" s="235" t="str">
        <f t="shared" si="37"/>
        <v>#REF!</v>
      </c>
      <c r="P19" s="235" t="str">
        <f t="shared" ref="P19:X19" si="38">#REF!</f>
        <v>#REF!</v>
      </c>
      <c r="Q19" s="235" t="str">
        <f t="shared" si="38"/>
        <v>#REF!</v>
      </c>
      <c r="R19" s="235" t="str">
        <f t="shared" si="38"/>
        <v>#REF!</v>
      </c>
      <c r="S19" s="235" t="str">
        <f t="shared" si="38"/>
        <v>#REF!</v>
      </c>
      <c r="T19" s="235" t="str">
        <f t="shared" si="38"/>
        <v>#REF!</v>
      </c>
      <c r="U19" s="235" t="str">
        <f t="shared" si="38"/>
        <v>#REF!</v>
      </c>
      <c r="V19" s="235" t="str">
        <f t="shared" si="38"/>
        <v>#REF!</v>
      </c>
      <c r="W19" s="235" t="str">
        <f t="shared" si="38"/>
        <v>#REF!</v>
      </c>
      <c r="X19" s="235" t="str">
        <f t="shared" si="38"/>
        <v>#REF!</v>
      </c>
    </row>
    <row r="20">
      <c r="A20" s="235" t="str">
        <f t="shared" ref="A20:O20" si="39">'Municipality Case Trends'!A24</f>
        <v>#REF!</v>
      </c>
      <c r="B20" s="235" t="str">
        <f t="shared" si="39"/>
        <v>#REF!</v>
      </c>
      <c r="C20" s="235" t="str">
        <f t="shared" si="39"/>
        <v>#REF!</v>
      </c>
      <c r="D20" s="235" t="str">
        <f t="shared" si="39"/>
        <v>#REF!</v>
      </c>
      <c r="E20" s="235" t="str">
        <f t="shared" si="39"/>
        <v>#REF!</v>
      </c>
      <c r="F20" s="235" t="str">
        <f t="shared" si="39"/>
        <v>#REF!</v>
      </c>
      <c r="G20" s="235" t="str">
        <f t="shared" si="39"/>
        <v>#REF!</v>
      </c>
      <c r="H20" s="235" t="str">
        <f t="shared" si="39"/>
        <v>#REF!</v>
      </c>
      <c r="I20" s="235" t="str">
        <f t="shared" si="39"/>
        <v>#REF!</v>
      </c>
      <c r="J20" s="235" t="str">
        <f t="shared" si="39"/>
        <v>#REF!</v>
      </c>
      <c r="K20" s="235" t="str">
        <f t="shared" si="39"/>
        <v>#REF!</v>
      </c>
      <c r="L20" s="235" t="str">
        <f t="shared" si="39"/>
        <v>#REF!</v>
      </c>
      <c r="M20" s="235" t="str">
        <f t="shared" si="39"/>
        <v>#REF!</v>
      </c>
      <c r="N20" s="235" t="str">
        <f t="shared" si="39"/>
        <v>#REF!</v>
      </c>
      <c r="O20" s="235" t="str">
        <f t="shared" si="39"/>
        <v>#REF!</v>
      </c>
      <c r="P20" s="235" t="str">
        <f t="shared" ref="P20:X20" si="40">#REF!</f>
        <v>#REF!</v>
      </c>
      <c r="Q20" s="235" t="str">
        <f t="shared" si="40"/>
        <v>#REF!</v>
      </c>
      <c r="R20" s="235" t="str">
        <f t="shared" si="40"/>
        <v>#REF!</v>
      </c>
      <c r="S20" s="235" t="str">
        <f t="shared" si="40"/>
        <v>#REF!</v>
      </c>
      <c r="T20" s="235" t="str">
        <f t="shared" si="40"/>
        <v>#REF!</v>
      </c>
      <c r="U20" s="235" t="str">
        <f t="shared" si="40"/>
        <v>#REF!</v>
      </c>
      <c r="V20" s="235" t="str">
        <f t="shared" si="40"/>
        <v>#REF!</v>
      </c>
      <c r="W20" s="235" t="str">
        <f t="shared" si="40"/>
        <v>#REF!</v>
      </c>
      <c r="X20" s="235" t="str">
        <f t="shared" si="40"/>
        <v>#REF!</v>
      </c>
    </row>
    <row r="21">
      <c r="A21" s="235" t="str">
        <f t="shared" ref="A21:O21" si="41">'Municipality Case Trends'!A25</f>
        <v>#REF!</v>
      </c>
      <c r="B21" s="235" t="str">
        <f t="shared" si="41"/>
        <v>#REF!</v>
      </c>
      <c r="C21" s="235" t="str">
        <f t="shared" si="41"/>
        <v>#REF!</v>
      </c>
      <c r="D21" s="235" t="str">
        <f t="shared" si="41"/>
        <v>#REF!</v>
      </c>
      <c r="E21" s="235" t="str">
        <f t="shared" si="41"/>
        <v>#REF!</v>
      </c>
      <c r="F21" s="235" t="str">
        <f t="shared" si="41"/>
        <v>#REF!</v>
      </c>
      <c r="G21" s="235" t="str">
        <f t="shared" si="41"/>
        <v>#REF!</v>
      </c>
      <c r="H21" s="235" t="str">
        <f t="shared" si="41"/>
        <v>#REF!</v>
      </c>
      <c r="I21" s="235" t="str">
        <f t="shared" si="41"/>
        <v>#REF!</v>
      </c>
      <c r="J21" s="235" t="str">
        <f t="shared" si="41"/>
        <v>#REF!</v>
      </c>
      <c r="K21" s="235" t="str">
        <f t="shared" si="41"/>
        <v>#REF!</v>
      </c>
      <c r="L21" s="235" t="str">
        <f t="shared" si="41"/>
        <v>#REF!</v>
      </c>
      <c r="M21" s="235" t="str">
        <f t="shared" si="41"/>
        <v>#REF!</v>
      </c>
      <c r="N21" s="235" t="str">
        <f t="shared" si="41"/>
        <v>#REF!</v>
      </c>
      <c r="O21" s="235" t="str">
        <f t="shared" si="41"/>
        <v>#REF!</v>
      </c>
      <c r="P21" s="235" t="str">
        <f t="shared" ref="P21:X21" si="42">#REF!</f>
        <v>#REF!</v>
      </c>
      <c r="Q21" s="235" t="str">
        <f t="shared" si="42"/>
        <v>#REF!</v>
      </c>
      <c r="R21" s="235" t="str">
        <f t="shared" si="42"/>
        <v>#REF!</v>
      </c>
      <c r="S21" s="235" t="str">
        <f t="shared" si="42"/>
        <v>#REF!</v>
      </c>
      <c r="T21" s="235" t="str">
        <f t="shared" si="42"/>
        <v>#REF!</v>
      </c>
      <c r="U21" s="235" t="str">
        <f t="shared" si="42"/>
        <v>#REF!</v>
      </c>
      <c r="V21" s="235" t="str">
        <f t="shared" si="42"/>
        <v>#REF!</v>
      </c>
      <c r="W21" s="235" t="str">
        <f t="shared" si="42"/>
        <v>#REF!</v>
      </c>
      <c r="X21" s="235" t="str">
        <f t="shared" si="42"/>
        <v>#REF!</v>
      </c>
    </row>
    <row r="22">
      <c r="A22" s="235" t="str">
        <f t="shared" ref="A22:O22" si="43">'Municipality Case Trends'!A26</f>
        <v>#REF!</v>
      </c>
      <c r="B22" s="235" t="str">
        <f t="shared" si="43"/>
        <v>#REF!</v>
      </c>
      <c r="C22" s="235" t="str">
        <f t="shared" si="43"/>
        <v>#REF!</v>
      </c>
      <c r="D22" s="235" t="str">
        <f t="shared" si="43"/>
        <v>#REF!</v>
      </c>
      <c r="E22" s="235" t="str">
        <f t="shared" si="43"/>
        <v>#REF!</v>
      </c>
      <c r="F22" s="235" t="str">
        <f t="shared" si="43"/>
        <v>#REF!</v>
      </c>
      <c r="G22" s="235" t="str">
        <f t="shared" si="43"/>
        <v>#REF!</v>
      </c>
      <c r="H22" s="235" t="str">
        <f t="shared" si="43"/>
        <v>#REF!</v>
      </c>
      <c r="I22" s="235" t="str">
        <f t="shared" si="43"/>
        <v>#REF!</v>
      </c>
      <c r="J22" s="235" t="str">
        <f t="shared" si="43"/>
        <v>#REF!</v>
      </c>
      <c r="K22" s="235" t="str">
        <f t="shared" si="43"/>
        <v>#REF!</v>
      </c>
      <c r="L22" s="235" t="str">
        <f t="shared" si="43"/>
        <v>#REF!</v>
      </c>
      <c r="M22" s="235" t="str">
        <f t="shared" si="43"/>
        <v>#REF!</v>
      </c>
      <c r="N22" s="235" t="str">
        <f t="shared" si="43"/>
        <v>#REF!</v>
      </c>
      <c r="O22" s="235" t="str">
        <f t="shared" si="43"/>
        <v>#REF!</v>
      </c>
      <c r="P22" s="235" t="str">
        <f t="shared" ref="P22:X22" si="44">#REF!</f>
        <v>#REF!</v>
      </c>
      <c r="Q22" s="235" t="str">
        <f t="shared" si="44"/>
        <v>#REF!</v>
      </c>
      <c r="R22" s="235" t="str">
        <f t="shared" si="44"/>
        <v>#REF!</v>
      </c>
      <c r="S22" s="235" t="str">
        <f t="shared" si="44"/>
        <v>#REF!</v>
      </c>
      <c r="T22" s="235" t="str">
        <f t="shared" si="44"/>
        <v>#REF!</v>
      </c>
      <c r="U22" s="235" t="str">
        <f t="shared" si="44"/>
        <v>#REF!</v>
      </c>
      <c r="V22" s="235" t="str">
        <f t="shared" si="44"/>
        <v>#REF!</v>
      </c>
      <c r="W22" s="235" t="str">
        <f t="shared" si="44"/>
        <v>#REF!</v>
      </c>
      <c r="X22" s="235" t="str">
        <f t="shared" si="44"/>
        <v>#REF!</v>
      </c>
    </row>
    <row r="23">
      <c r="A23" s="235" t="str">
        <f t="shared" ref="A23:O23" si="45">'Municipality Case Trends'!A27</f>
        <v>#REF!</v>
      </c>
      <c r="B23" s="235" t="str">
        <f t="shared" si="45"/>
        <v>#REF!</v>
      </c>
      <c r="C23" s="235" t="str">
        <f t="shared" si="45"/>
        <v>#REF!</v>
      </c>
      <c r="D23" s="235" t="str">
        <f t="shared" si="45"/>
        <v>#REF!</v>
      </c>
      <c r="E23" s="235" t="str">
        <f t="shared" si="45"/>
        <v>#REF!</v>
      </c>
      <c r="F23" s="235" t="str">
        <f t="shared" si="45"/>
        <v>#REF!</v>
      </c>
      <c r="G23" s="235" t="str">
        <f t="shared" si="45"/>
        <v>#REF!</v>
      </c>
      <c r="H23" s="235" t="str">
        <f t="shared" si="45"/>
        <v>#REF!</v>
      </c>
      <c r="I23" s="235" t="str">
        <f t="shared" si="45"/>
        <v>#REF!</v>
      </c>
      <c r="J23" s="235" t="str">
        <f t="shared" si="45"/>
        <v>#REF!</v>
      </c>
      <c r="K23" s="235" t="str">
        <f t="shared" si="45"/>
        <v>#REF!</v>
      </c>
      <c r="L23" s="235" t="str">
        <f t="shared" si="45"/>
        <v>#REF!</v>
      </c>
      <c r="M23" s="235" t="str">
        <f t="shared" si="45"/>
        <v>#REF!</v>
      </c>
      <c r="N23" s="235" t="str">
        <f t="shared" si="45"/>
        <v>#REF!</v>
      </c>
      <c r="O23" s="235" t="str">
        <f t="shared" si="45"/>
        <v>#REF!</v>
      </c>
      <c r="P23" s="235" t="str">
        <f t="shared" ref="P23:X23" si="46">#REF!</f>
        <v>#REF!</v>
      </c>
      <c r="Q23" s="235" t="str">
        <f t="shared" si="46"/>
        <v>#REF!</v>
      </c>
      <c r="R23" s="235" t="str">
        <f t="shared" si="46"/>
        <v>#REF!</v>
      </c>
      <c r="S23" s="235" t="str">
        <f t="shared" si="46"/>
        <v>#REF!</v>
      </c>
      <c r="T23" s="235" t="str">
        <f t="shared" si="46"/>
        <v>#REF!</v>
      </c>
      <c r="U23" s="235" t="str">
        <f t="shared" si="46"/>
        <v>#REF!</v>
      </c>
      <c r="V23" s="235" t="str">
        <f t="shared" si="46"/>
        <v>#REF!</v>
      </c>
      <c r="W23" s="235" t="str">
        <f t="shared" si="46"/>
        <v>#REF!</v>
      </c>
      <c r="X23" s="235" t="str">
        <f t="shared" si="46"/>
        <v>#REF!</v>
      </c>
    </row>
    <row r="24">
      <c r="A24" s="235" t="str">
        <f t="shared" ref="A24:O24" si="47">'Municipality Case Trends'!A28</f>
        <v>#REF!</v>
      </c>
      <c r="B24" s="235" t="str">
        <f t="shared" si="47"/>
        <v>#REF!</v>
      </c>
      <c r="C24" s="235" t="str">
        <f t="shared" si="47"/>
        <v>#REF!</v>
      </c>
      <c r="D24" s="235" t="str">
        <f t="shared" si="47"/>
        <v>#REF!</v>
      </c>
      <c r="E24" s="235" t="str">
        <f t="shared" si="47"/>
        <v>#REF!</v>
      </c>
      <c r="F24" s="235" t="str">
        <f t="shared" si="47"/>
        <v>#REF!</v>
      </c>
      <c r="G24" s="235" t="str">
        <f t="shared" si="47"/>
        <v>#REF!</v>
      </c>
      <c r="H24" s="235" t="str">
        <f t="shared" si="47"/>
        <v>#REF!</v>
      </c>
      <c r="I24" s="235" t="str">
        <f t="shared" si="47"/>
        <v>#REF!</v>
      </c>
      <c r="J24" s="235" t="str">
        <f t="shared" si="47"/>
        <v>#REF!</v>
      </c>
      <c r="K24" s="235" t="str">
        <f t="shared" si="47"/>
        <v>#REF!</v>
      </c>
      <c r="L24" s="235" t="str">
        <f t="shared" si="47"/>
        <v>#REF!</v>
      </c>
      <c r="M24" s="235" t="str">
        <f t="shared" si="47"/>
        <v>#REF!</v>
      </c>
      <c r="N24" s="235" t="str">
        <f t="shared" si="47"/>
        <v>#REF!</v>
      </c>
      <c r="O24" s="235" t="str">
        <f t="shared" si="47"/>
        <v>#REF!</v>
      </c>
      <c r="P24" s="235" t="str">
        <f t="shared" ref="P24:X24" si="48">#REF!</f>
        <v>#REF!</v>
      </c>
      <c r="Q24" s="235" t="str">
        <f t="shared" si="48"/>
        <v>#REF!</v>
      </c>
      <c r="R24" s="235" t="str">
        <f t="shared" si="48"/>
        <v>#REF!</v>
      </c>
      <c r="S24" s="235" t="str">
        <f t="shared" si="48"/>
        <v>#REF!</v>
      </c>
      <c r="T24" s="235" t="str">
        <f t="shared" si="48"/>
        <v>#REF!</v>
      </c>
      <c r="U24" s="235" t="str">
        <f t="shared" si="48"/>
        <v>#REF!</v>
      </c>
      <c r="V24" s="235" t="str">
        <f t="shared" si="48"/>
        <v>#REF!</v>
      </c>
      <c r="W24" s="235" t="str">
        <f t="shared" si="48"/>
        <v>#REF!</v>
      </c>
      <c r="X24" s="235" t="str">
        <f t="shared" si="48"/>
        <v>#REF!</v>
      </c>
    </row>
    <row r="25">
      <c r="A25" s="235" t="str">
        <f t="shared" ref="A25:O25" si="49">'Municipality Case Trends'!A29</f>
        <v>#REF!</v>
      </c>
      <c r="B25" s="235" t="str">
        <f t="shared" si="49"/>
        <v>#REF!</v>
      </c>
      <c r="C25" s="235" t="str">
        <f t="shared" si="49"/>
        <v>#REF!</v>
      </c>
      <c r="D25" s="235" t="str">
        <f t="shared" si="49"/>
        <v>#REF!</v>
      </c>
      <c r="E25" s="235" t="str">
        <f t="shared" si="49"/>
        <v>#REF!</v>
      </c>
      <c r="F25" s="235" t="str">
        <f t="shared" si="49"/>
        <v>#REF!</v>
      </c>
      <c r="G25" s="235" t="str">
        <f t="shared" si="49"/>
        <v>#REF!</v>
      </c>
      <c r="H25" s="235" t="str">
        <f t="shared" si="49"/>
        <v>#REF!</v>
      </c>
      <c r="I25" s="235" t="str">
        <f t="shared" si="49"/>
        <v>#REF!</v>
      </c>
      <c r="J25" s="235" t="str">
        <f t="shared" si="49"/>
        <v>#REF!</v>
      </c>
      <c r="K25" s="235" t="str">
        <f t="shared" si="49"/>
        <v>#REF!</v>
      </c>
      <c r="L25" s="235" t="str">
        <f t="shared" si="49"/>
        <v>#REF!</v>
      </c>
      <c r="M25" s="235" t="str">
        <f t="shared" si="49"/>
        <v>#REF!</v>
      </c>
      <c r="N25" s="235" t="str">
        <f t="shared" si="49"/>
        <v>#REF!</v>
      </c>
      <c r="O25" s="235" t="str">
        <f t="shared" si="49"/>
        <v>#REF!</v>
      </c>
      <c r="P25" s="235" t="str">
        <f t="shared" ref="P25:X25" si="50">#REF!</f>
        <v>#REF!</v>
      </c>
      <c r="Q25" s="235" t="str">
        <f t="shared" si="50"/>
        <v>#REF!</v>
      </c>
      <c r="R25" s="235" t="str">
        <f t="shared" si="50"/>
        <v>#REF!</v>
      </c>
      <c r="S25" s="235" t="str">
        <f t="shared" si="50"/>
        <v>#REF!</v>
      </c>
      <c r="T25" s="235" t="str">
        <f t="shared" si="50"/>
        <v>#REF!</v>
      </c>
      <c r="U25" s="235" t="str">
        <f t="shared" si="50"/>
        <v>#REF!</v>
      </c>
      <c r="V25" s="235" t="str">
        <f t="shared" si="50"/>
        <v>#REF!</v>
      </c>
      <c r="W25" s="235" t="str">
        <f t="shared" si="50"/>
        <v>#REF!</v>
      </c>
      <c r="X25" s="235" t="str">
        <f t="shared" si="50"/>
        <v>#REF!</v>
      </c>
    </row>
    <row r="26">
      <c r="A26" s="235" t="str">
        <f t="shared" ref="A26:O26" si="51">'Municipality Case Trends'!A30</f>
        <v>#REF!</v>
      </c>
      <c r="B26" s="235" t="str">
        <f t="shared" si="51"/>
        <v>#REF!</v>
      </c>
      <c r="C26" s="235" t="str">
        <f t="shared" si="51"/>
        <v>#REF!</v>
      </c>
      <c r="D26" s="235" t="str">
        <f t="shared" si="51"/>
        <v>#REF!</v>
      </c>
      <c r="E26" s="235" t="str">
        <f t="shared" si="51"/>
        <v>#REF!</v>
      </c>
      <c r="F26" s="235" t="str">
        <f t="shared" si="51"/>
        <v>#REF!</v>
      </c>
      <c r="G26" s="235" t="str">
        <f t="shared" si="51"/>
        <v>#REF!</v>
      </c>
      <c r="H26" s="235" t="str">
        <f t="shared" si="51"/>
        <v>#REF!</v>
      </c>
      <c r="I26" s="235" t="str">
        <f t="shared" si="51"/>
        <v>#REF!</v>
      </c>
      <c r="J26" s="235" t="str">
        <f t="shared" si="51"/>
        <v>#REF!</v>
      </c>
      <c r="K26" s="235" t="str">
        <f t="shared" si="51"/>
        <v>#REF!</v>
      </c>
      <c r="L26" s="235" t="str">
        <f t="shared" si="51"/>
        <v>#REF!</v>
      </c>
      <c r="M26" s="235" t="str">
        <f t="shared" si="51"/>
        <v>#REF!</v>
      </c>
      <c r="N26" s="235" t="str">
        <f t="shared" si="51"/>
        <v>#REF!</v>
      </c>
      <c r="O26" s="235" t="str">
        <f t="shared" si="51"/>
        <v>#REF!</v>
      </c>
      <c r="P26" s="235" t="str">
        <f t="shared" ref="P26:X26" si="52">#REF!</f>
        <v>#REF!</v>
      </c>
      <c r="Q26" s="235" t="str">
        <f t="shared" si="52"/>
        <v>#REF!</v>
      </c>
      <c r="R26" s="235" t="str">
        <f t="shared" si="52"/>
        <v>#REF!</v>
      </c>
      <c r="S26" s="235" t="str">
        <f t="shared" si="52"/>
        <v>#REF!</v>
      </c>
      <c r="T26" s="235" t="str">
        <f t="shared" si="52"/>
        <v>#REF!</v>
      </c>
      <c r="U26" s="235" t="str">
        <f t="shared" si="52"/>
        <v>#REF!</v>
      </c>
      <c r="V26" s="235" t="str">
        <f t="shared" si="52"/>
        <v>#REF!</v>
      </c>
      <c r="W26" s="235" t="str">
        <f t="shared" si="52"/>
        <v>#REF!</v>
      </c>
      <c r="X26" s="235" t="str">
        <f t="shared" si="52"/>
        <v>#REF!</v>
      </c>
    </row>
    <row r="27">
      <c r="A27" s="235" t="str">
        <f t="shared" ref="A27:O27" si="53">'Municipality Case Trends'!A31</f>
        <v>#REF!</v>
      </c>
      <c r="B27" s="235" t="str">
        <f t="shared" si="53"/>
        <v>#REF!</v>
      </c>
      <c r="C27" s="235" t="str">
        <f t="shared" si="53"/>
        <v>#REF!</v>
      </c>
      <c r="D27" s="235" t="str">
        <f t="shared" si="53"/>
        <v>#REF!</v>
      </c>
      <c r="E27" s="235" t="str">
        <f t="shared" si="53"/>
        <v>#REF!</v>
      </c>
      <c r="F27" s="235" t="str">
        <f t="shared" si="53"/>
        <v>#REF!</v>
      </c>
      <c r="G27" s="235" t="str">
        <f t="shared" si="53"/>
        <v>#REF!</v>
      </c>
      <c r="H27" s="235" t="str">
        <f t="shared" si="53"/>
        <v>#REF!</v>
      </c>
      <c r="I27" s="235" t="str">
        <f t="shared" si="53"/>
        <v>#REF!</v>
      </c>
      <c r="J27" s="235" t="str">
        <f t="shared" si="53"/>
        <v>#REF!</v>
      </c>
      <c r="K27" s="235" t="str">
        <f t="shared" si="53"/>
        <v>#REF!</v>
      </c>
      <c r="L27" s="235" t="str">
        <f t="shared" si="53"/>
        <v>#REF!</v>
      </c>
      <c r="M27" s="235" t="str">
        <f t="shared" si="53"/>
        <v>#REF!</v>
      </c>
      <c r="N27" s="235" t="str">
        <f t="shared" si="53"/>
        <v>#REF!</v>
      </c>
      <c r="O27" s="235" t="str">
        <f t="shared" si="53"/>
        <v>#REF!</v>
      </c>
      <c r="P27" s="235" t="str">
        <f t="shared" ref="P27:X27" si="54">#REF!</f>
        <v>#REF!</v>
      </c>
      <c r="Q27" s="235" t="str">
        <f t="shared" si="54"/>
        <v>#REF!</v>
      </c>
      <c r="R27" s="235" t="str">
        <f t="shared" si="54"/>
        <v>#REF!</v>
      </c>
      <c r="S27" s="235" t="str">
        <f t="shared" si="54"/>
        <v>#REF!</v>
      </c>
      <c r="T27" s="235" t="str">
        <f t="shared" si="54"/>
        <v>#REF!</v>
      </c>
      <c r="U27" s="235" t="str">
        <f t="shared" si="54"/>
        <v>#REF!</v>
      </c>
      <c r="V27" s="235" t="str">
        <f t="shared" si="54"/>
        <v>#REF!</v>
      </c>
      <c r="W27" s="235" t="str">
        <f t="shared" si="54"/>
        <v>#REF!</v>
      </c>
      <c r="X27" s="235" t="str">
        <f t="shared" si="54"/>
        <v>#REF!</v>
      </c>
    </row>
    <row r="28">
      <c r="A28" s="235" t="str">
        <f t="shared" ref="A28:O28" si="55">'Municipality Case Trends'!A32</f>
        <v>#REF!</v>
      </c>
      <c r="B28" s="235" t="str">
        <f t="shared" si="55"/>
        <v>#REF!</v>
      </c>
      <c r="C28" s="235" t="str">
        <f t="shared" si="55"/>
        <v>#REF!</v>
      </c>
      <c r="D28" s="235" t="str">
        <f t="shared" si="55"/>
        <v>#REF!</v>
      </c>
      <c r="E28" s="235" t="str">
        <f t="shared" si="55"/>
        <v>#REF!</v>
      </c>
      <c r="F28" s="235" t="str">
        <f t="shared" si="55"/>
        <v>#REF!</v>
      </c>
      <c r="G28" s="235" t="str">
        <f t="shared" si="55"/>
        <v>#REF!</v>
      </c>
      <c r="H28" s="235" t="str">
        <f t="shared" si="55"/>
        <v>#REF!</v>
      </c>
      <c r="I28" s="235" t="str">
        <f t="shared" si="55"/>
        <v>#REF!</v>
      </c>
      <c r="J28" s="235" t="str">
        <f t="shared" si="55"/>
        <v>#REF!</v>
      </c>
      <c r="K28" s="235" t="str">
        <f t="shared" si="55"/>
        <v>#REF!</v>
      </c>
      <c r="L28" s="235" t="str">
        <f t="shared" si="55"/>
        <v>#REF!</v>
      </c>
      <c r="M28" s="235" t="str">
        <f t="shared" si="55"/>
        <v>#REF!</v>
      </c>
      <c r="N28" s="235" t="str">
        <f t="shared" si="55"/>
        <v>#REF!</v>
      </c>
      <c r="O28" s="235" t="str">
        <f t="shared" si="55"/>
        <v>#REF!</v>
      </c>
      <c r="P28" s="235" t="str">
        <f t="shared" ref="P28:X28" si="56">#REF!</f>
        <v>#REF!</v>
      </c>
      <c r="Q28" s="235" t="str">
        <f t="shared" si="56"/>
        <v>#REF!</v>
      </c>
      <c r="R28" s="235" t="str">
        <f t="shared" si="56"/>
        <v>#REF!</v>
      </c>
      <c r="S28" s="235" t="str">
        <f t="shared" si="56"/>
        <v>#REF!</v>
      </c>
      <c r="T28" s="235" t="str">
        <f t="shared" si="56"/>
        <v>#REF!</v>
      </c>
      <c r="U28" s="235" t="str">
        <f t="shared" si="56"/>
        <v>#REF!</v>
      </c>
      <c r="V28" s="235" t="str">
        <f t="shared" si="56"/>
        <v>#REF!</v>
      </c>
      <c r="W28" s="235" t="str">
        <f t="shared" si="56"/>
        <v>#REF!</v>
      </c>
      <c r="X28" s="235" t="str">
        <f t="shared" si="56"/>
        <v>#REF!</v>
      </c>
    </row>
    <row r="29">
      <c r="A29" s="235" t="str">
        <f t="shared" ref="A29:O29" si="57">'Municipality Case Trends'!A33</f>
        <v>#REF!</v>
      </c>
      <c r="B29" s="235" t="str">
        <f t="shared" si="57"/>
        <v>#REF!</v>
      </c>
      <c r="C29" s="235" t="str">
        <f t="shared" si="57"/>
        <v>#REF!</v>
      </c>
      <c r="D29" s="235" t="str">
        <f t="shared" si="57"/>
        <v>#REF!</v>
      </c>
      <c r="E29" s="235" t="str">
        <f t="shared" si="57"/>
        <v>#REF!</v>
      </c>
      <c r="F29" s="235" t="str">
        <f t="shared" si="57"/>
        <v>#REF!</v>
      </c>
      <c r="G29" s="235" t="str">
        <f t="shared" si="57"/>
        <v>#REF!</v>
      </c>
      <c r="H29" s="235" t="str">
        <f t="shared" si="57"/>
        <v>#REF!</v>
      </c>
      <c r="I29" s="235" t="str">
        <f t="shared" si="57"/>
        <v>#REF!</v>
      </c>
      <c r="J29" s="235" t="str">
        <f t="shared" si="57"/>
        <v>#REF!</v>
      </c>
      <c r="K29" s="235" t="str">
        <f t="shared" si="57"/>
        <v>#REF!</v>
      </c>
      <c r="L29" s="235" t="str">
        <f t="shared" si="57"/>
        <v>#REF!</v>
      </c>
      <c r="M29" s="235" t="str">
        <f t="shared" si="57"/>
        <v>#REF!</v>
      </c>
      <c r="N29" s="235" t="str">
        <f t="shared" si="57"/>
        <v>#REF!</v>
      </c>
      <c r="O29" s="235" t="str">
        <f t="shared" si="57"/>
        <v>#REF!</v>
      </c>
      <c r="P29" s="235" t="str">
        <f t="shared" ref="P29:X29" si="58">#REF!</f>
        <v>#REF!</v>
      </c>
      <c r="Q29" s="235" t="str">
        <f t="shared" si="58"/>
        <v>#REF!</v>
      </c>
      <c r="R29" s="235" t="str">
        <f t="shared" si="58"/>
        <v>#REF!</v>
      </c>
      <c r="S29" s="235" t="str">
        <f t="shared" si="58"/>
        <v>#REF!</v>
      </c>
      <c r="T29" s="235" t="str">
        <f t="shared" si="58"/>
        <v>#REF!</v>
      </c>
      <c r="U29" s="235" t="str">
        <f t="shared" si="58"/>
        <v>#REF!</v>
      </c>
      <c r="V29" s="235" t="str">
        <f t="shared" si="58"/>
        <v>#REF!</v>
      </c>
      <c r="W29" s="235" t="str">
        <f t="shared" si="58"/>
        <v>#REF!</v>
      </c>
      <c r="X29" s="235" t="str">
        <f t="shared" si="58"/>
        <v>#REF!</v>
      </c>
    </row>
    <row r="30">
      <c r="A30" s="235" t="str">
        <f t="shared" ref="A30:O30" si="59">'Municipality Case Trends'!A34</f>
        <v>#REF!</v>
      </c>
      <c r="B30" s="235" t="str">
        <f t="shared" si="59"/>
        <v>#REF!</v>
      </c>
      <c r="C30" s="235" t="str">
        <f t="shared" si="59"/>
        <v>#REF!</v>
      </c>
      <c r="D30" s="235" t="str">
        <f t="shared" si="59"/>
        <v>#REF!</v>
      </c>
      <c r="E30" s="235" t="str">
        <f t="shared" si="59"/>
        <v>#REF!</v>
      </c>
      <c r="F30" s="235" t="str">
        <f t="shared" si="59"/>
        <v>#REF!</v>
      </c>
      <c r="G30" s="235" t="str">
        <f t="shared" si="59"/>
        <v>#REF!</v>
      </c>
      <c r="H30" s="235" t="str">
        <f t="shared" si="59"/>
        <v>#REF!</v>
      </c>
      <c r="I30" s="235" t="str">
        <f t="shared" si="59"/>
        <v>#REF!</v>
      </c>
      <c r="J30" s="235" t="str">
        <f t="shared" si="59"/>
        <v>#REF!</v>
      </c>
      <c r="K30" s="235" t="str">
        <f t="shared" si="59"/>
        <v>#REF!</v>
      </c>
      <c r="L30" s="235" t="str">
        <f t="shared" si="59"/>
        <v>#REF!</v>
      </c>
      <c r="M30" s="235" t="str">
        <f t="shared" si="59"/>
        <v>#REF!</v>
      </c>
      <c r="N30" s="235" t="str">
        <f t="shared" si="59"/>
        <v>#REF!</v>
      </c>
      <c r="O30" s="235" t="str">
        <f t="shared" si="59"/>
        <v>#REF!</v>
      </c>
      <c r="P30" s="235" t="str">
        <f t="shared" ref="P30:X30" si="60">#REF!</f>
        <v>#REF!</v>
      </c>
      <c r="Q30" s="235" t="str">
        <f t="shared" si="60"/>
        <v>#REF!</v>
      </c>
      <c r="R30" s="235" t="str">
        <f t="shared" si="60"/>
        <v>#REF!</v>
      </c>
      <c r="S30" s="235" t="str">
        <f t="shared" si="60"/>
        <v>#REF!</v>
      </c>
      <c r="T30" s="235" t="str">
        <f t="shared" si="60"/>
        <v>#REF!</v>
      </c>
      <c r="U30" s="235" t="str">
        <f t="shared" si="60"/>
        <v>#REF!</v>
      </c>
      <c r="V30" s="235" t="str">
        <f t="shared" si="60"/>
        <v>#REF!</v>
      </c>
      <c r="W30" s="235" t="str">
        <f t="shared" si="60"/>
        <v>#REF!</v>
      </c>
      <c r="X30" s="235" t="str">
        <f t="shared" si="60"/>
        <v>#REF!</v>
      </c>
    </row>
    <row r="31">
      <c r="A31" s="235" t="str">
        <f t="shared" ref="A31:O31" si="61">'Municipality Case Trends'!A35</f>
        <v>#REF!</v>
      </c>
      <c r="B31" s="235" t="str">
        <f t="shared" si="61"/>
        <v>#REF!</v>
      </c>
      <c r="C31" s="235" t="str">
        <f t="shared" si="61"/>
        <v>#REF!</v>
      </c>
      <c r="D31" s="235" t="str">
        <f t="shared" si="61"/>
        <v>#REF!</v>
      </c>
      <c r="E31" s="235" t="str">
        <f t="shared" si="61"/>
        <v>#REF!</v>
      </c>
      <c r="F31" s="235" t="str">
        <f t="shared" si="61"/>
        <v>#REF!</v>
      </c>
      <c r="G31" s="235" t="str">
        <f t="shared" si="61"/>
        <v>#REF!</v>
      </c>
      <c r="H31" s="235" t="str">
        <f t="shared" si="61"/>
        <v>#REF!</v>
      </c>
      <c r="I31" s="235" t="str">
        <f t="shared" si="61"/>
        <v>#REF!</v>
      </c>
      <c r="J31" s="235" t="str">
        <f t="shared" si="61"/>
        <v>#REF!</v>
      </c>
      <c r="K31" s="235" t="str">
        <f t="shared" si="61"/>
        <v>#REF!</v>
      </c>
      <c r="L31" s="235" t="str">
        <f t="shared" si="61"/>
        <v>#REF!</v>
      </c>
      <c r="M31" s="235" t="str">
        <f t="shared" si="61"/>
        <v>#REF!</v>
      </c>
      <c r="N31" s="235" t="str">
        <f t="shared" si="61"/>
        <v>#REF!</v>
      </c>
      <c r="O31" s="235" t="str">
        <f t="shared" si="61"/>
        <v>#REF!</v>
      </c>
      <c r="P31" s="235" t="str">
        <f t="shared" ref="P31:X31" si="62">#REF!</f>
        <v>#REF!</v>
      </c>
      <c r="Q31" s="235" t="str">
        <f t="shared" si="62"/>
        <v>#REF!</v>
      </c>
      <c r="R31" s="235" t="str">
        <f t="shared" si="62"/>
        <v>#REF!</v>
      </c>
      <c r="S31" s="235" t="str">
        <f t="shared" si="62"/>
        <v>#REF!</v>
      </c>
      <c r="T31" s="235" t="str">
        <f t="shared" si="62"/>
        <v>#REF!</v>
      </c>
      <c r="U31" s="235" t="str">
        <f t="shared" si="62"/>
        <v>#REF!</v>
      </c>
      <c r="V31" s="235" t="str">
        <f t="shared" si="62"/>
        <v>#REF!</v>
      </c>
      <c r="W31" s="235" t="str">
        <f t="shared" si="62"/>
        <v>#REF!</v>
      </c>
      <c r="X31" s="235" t="str">
        <f t="shared" si="62"/>
        <v>#REF!</v>
      </c>
    </row>
    <row r="32">
      <c r="A32" s="235" t="str">
        <f t="shared" ref="A32:O32" si="63">'Municipality Case Trends'!A36</f>
        <v>#REF!</v>
      </c>
      <c r="B32" s="235" t="str">
        <f t="shared" si="63"/>
        <v>#REF!</v>
      </c>
      <c r="C32" s="235" t="str">
        <f t="shared" si="63"/>
        <v>#REF!</v>
      </c>
      <c r="D32" s="235" t="str">
        <f t="shared" si="63"/>
        <v>#REF!</v>
      </c>
      <c r="E32" s="235" t="str">
        <f t="shared" si="63"/>
        <v>#REF!</v>
      </c>
      <c r="F32" s="235" t="str">
        <f t="shared" si="63"/>
        <v>#REF!</v>
      </c>
      <c r="G32" s="235" t="str">
        <f t="shared" si="63"/>
        <v>#REF!</v>
      </c>
      <c r="H32" s="235" t="str">
        <f t="shared" si="63"/>
        <v>#REF!</v>
      </c>
      <c r="I32" s="235" t="str">
        <f t="shared" si="63"/>
        <v>#REF!</v>
      </c>
      <c r="J32" s="235" t="str">
        <f t="shared" si="63"/>
        <v>#REF!</v>
      </c>
      <c r="K32" s="235" t="str">
        <f t="shared" si="63"/>
        <v>#REF!</v>
      </c>
      <c r="L32" s="235" t="str">
        <f t="shared" si="63"/>
        <v>#REF!</v>
      </c>
      <c r="M32" s="235" t="str">
        <f t="shared" si="63"/>
        <v>#REF!</v>
      </c>
      <c r="N32" s="235" t="str">
        <f t="shared" si="63"/>
        <v>#REF!</v>
      </c>
      <c r="O32" s="235" t="str">
        <f t="shared" si="63"/>
        <v>#REF!</v>
      </c>
      <c r="P32" s="235" t="str">
        <f t="shared" ref="P32:X32" si="64">#REF!</f>
        <v>#REF!</v>
      </c>
      <c r="Q32" s="235" t="str">
        <f t="shared" si="64"/>
        <v>#REF!</v>
      </c>
      <c r="R32" s="235" t="str">
        <f t="shared" si="64"/>
        <v>#REF!</v>
      </c>
      <c r="S32" s="235" t="str">
        <f t="shared" si="64"/>
        <v>#REF!</v>
      </c>
      <c r="T32" s="235" t="str">
        <f t="shared" si="64"/>
        <v>#REF!</v>
      </c>
      <c r="U32" s="235" t="str">
        <f t="shared" si="64"/>
        <v>#REF!</v>
      </c>
      <c r="V32" s="235" t="str">
        <f t="shared" si="64"/>
        <v>#REF!</v>
      </c>
      <c r="W32" s="235" t="str">
        <f t="shared" si="64"/>
        <v>#REF!</v>
      </c>
      <c r="X32" s="235" t="str">
        <f t="shared" si="64"/>
        <v>#REF!</v>
      </c>
    </row>
    <row r="33">
      <c r="A33" s="235" t="str">
        <f t="shared" ref="A33:O33" si="65">'Municipality Case Trends'!A37</f>
        <v>#REF!</v>
      </c>
      <c r="B33" s="235" t="str">
        <f t="shared" si="65"/>
        <v>#REF!</v>
      </c>
      <c r="C33" s="235" t="str">
        <f t="shared" si="65"/>
        <v>#REF!</v>
      </c>
      <c r="D33" s="235" t="str">
        <f t="shared" si="65"/>
        <v>#REF!</v>
      </c>
      <c r="E33" s="235" t="str">
        <f t="shared" si="65"/>
        <v>#REF!</v>
      </c>
      <c r="F33" s="235" t="str">
        <f t="shared" si="65"/>
        <v>#REF!</v>
      </c>
      <c r="G33" s="235" t="str">
        <f t="shared" si="65"/>
        <v>#REF!</v>
      </c>
      <c r="H33" s="235" t="str">
        <f t="shared" si="65"/>
        <v>#REF!</v>
      </c>
      <c r="I33" s="235" t="str">
        <f t="shared" si="65"/>
        <v>#REF!</v>
      </c>
      <c r="J33" s="235" t="str">
        <f t="shared" si="65"/>
        <v>#REF!</v>
      </c>
      <c r="K33" s="235" t="str">
        <f t="shared" si="65"/>
        <v>#REF!</v>
      </c>
      <c r="L33" s="235" t="str">
        <f t="shared" si="65"/>
        <v>#REF!</v>
      </c>
      <c r="M33" s="235" t="str">
        <f t="shared" si="65"/>
        <v>#REF!</v>
      </c>
      <c r="N33" s="235" t="str">
        <f t="shared" si="65"/>
        <v>#REF!</v>
      </c>
      <c r="O33" s="235" t="str">
        <f t="shared" si="65"/>
        <v>#REF!</v>
      </c>
      <c r="P33" s="235" t="str">
        <f t="shared" ref="P33:X33" si="66">#REF!</f>
        <v>#REF!</v>
      </c>
      <c r="Q33" s="235" t="str">
        <f t="shared" si="66"/>
        <v>#REF!</v>
      </c>
      <c r="R33" s="235" t="str">
        <f t="shared" si="66"/>
        <v>#REF!</v>
      </c>
      <c r="S33" s="235" t="str">
        <f t="shared" si="66"/>
        <v>#REF!</v>
      </c>
      <c r="T33" s="235" t="str">
        <f t="shared" si="66"/>
        <v>#REF!</v>
      </c>
      <c r="U33" s="235" t="str">
        <f t="shared" si="66"/>
        <v>#REF!</v>
      </c>
      <c r="V33" s="235" t="str">
        <f t="shared" si="66"/>
        <v>#REF!</v>
      </c>
      <c r="W33" s="235" t="str">
        <f t="shared" si="66"/>
        <v>#REF!</v>
      </c>
      <c r="X33" s="235" t="str">
        <f t="shared" si="66"/>
        <v>#REF!</v>
      </c>
    </row>
    <row r="34">
      <c r="A34" s="235" t="str">
        <f t="shared" ref="A34:O34" si="67">'Municipality Case Trends'!A38</f>
        <v>#REF!</v>
      </c>
      <c r="B34" s="235" t="str">
        <f t="shared" si="67"/>
        <v>#REF!</v>
      </c>
      <c r="C34" s="235" t="str">
        <f t="shared" si="67"/>
        <v>#REF!</v>
      </c>
      <c r="D34" s="235" t="str">
        <f t="shared" si="67"/>
        <v>#REF!</v>
      </c>
      <c r="E34" s="235" t="str">
        <f t="shared" si="67"/>
        <v>#REF!</v>
      </c>
      <c r="F34" s="235" t="str">
        <f t="shared" si="67"/>
        <v>#REF!</v>
      </c>
      <c r="G34" s="235" t="str">
        <f t="shared" si="67"/>
        <v>#REF!</v>
      </c>
      <c r="H34" s="235" t="str">
        <f t="shared" si="67"/>
        <v>#REF!</v>
      </c>
      <c r="I34" s="235" t="str">
        <f t="shared" si="67"/>
        <v>#REF!</v>
      </c>
      <c r="J34" s="235" t="str">
        <f t="shared" si="67"/>
        <v>#REF!</v>
      </c>
      <c r="K34" s="235" t="str">
        <f t="shared" si="67"/>
        <v>#REF!</v>
      </c>
      <c r="L34" s="235" t="str">
        <f t="shared" si="67"/>
        <v>#REF!</v>
      </c>
      <c r="M34" s="235" t="str">
        <f t="shared" si="67"/>
        <v>#REF!</v>
      </c>
      <c r="N34" s="235" t="str">
        <f t="shared" si="67"/>
        <v>#REF!</v>
      </c>
      <c r="O34" s="235" t="str">
        <f t="shared" si="67"/>
        <v>#REF!</v>
      </c>
      <c r="P34" s="235" t="str">
        <f t="shared" ref="P34:X34" si="68">#REF!</f>
        <v>#REF!</v>
      </c>
      <c r="Q34" s="235" t="str">
        <f t="shared" si="68"/>
        <v>#REF!</v>
      </c>
      <c r="R34" s="235" t="str">
        <f t="shared" si="68"/>
        <v>#REF!</v>
      </c>
      <c r="S34" s="235" t="str">
        <f t="shared" si="68"/>
        <v>#REF!</v>
      </c>
      <c r="T34" s="235" t="str">
        <f t="shared" si="68"/>
        <v>#REF!</v>
      </c>
      <c r="U34" s="235" t="str">
        <f t="shared" si="68"/>
        <v>#REF!</v>
      </c>
      <c r="V34" s="235" t="str">
        <f t="shared" si="68"/>
        <v>#REF!</v>
      </c>
      <c r="W34" s="235" t="str">
        <f t="shared" si="68"/>
        <v>#REF!</v>
      </c>
      <c r="X34" s="235" t="str">
        <f t="shared" si="68"/>
        <v>#REF!</v>
      </c>
    </row>
    <row r="35">
      <c r="A35" s="235" t="str">
        <f t="shared" ref="A35:O35" si="69">'Municipality Case Trends'!A39</f>
        <v>#REF!</v>
      </c>
      <c r="B35" s="235" t="str">
        <f t="shared" si="69"/>
        <v>#REF!</v>
      </c>
      <c r="C35" s="235" t="str">
        <f t="shared" si="69"/>
        <v>#REF!</v>
      </c>
      <c r="D35" s="235" t="str">
        <f t="shared" si="69"/>
        <v>#REF!</v>
      </c>
      <c r="E35" s="235" t="str">
        <f t="shared" si="69"/>
        <v>#REF!</v>
      </c>
      <c r="F35" s="235" t="str">
        <f t="shared" si="69"/>
        <v>#REF!</v>
      </c>
      <c r="G35" s="235" t="str">
        <f t="shared" si="69"/>
        <v>#REF!</v>
      </c>
      <c r="H35" s="235" t="str">
        <f t="shared" si="69"/>
        <v>#REF!</v>
      </c>
      <c r="I35" s="235" t="str">
        <f t="shared" si="69"/>
        <v>#REF!</v>
      </c>
      <c r="J35" s="235" t="str">
        <f t="shared" si="69"/>
        <v>#REF!</v>
      </c>
      <c r="K35" s="235" t="str">
        <f t="shared" si="69"/>
        <v>#REF!</v>
      </c>
      <c r="L35" s="235" t="str">
        <f t="shared" si="69"/>
        <v>#REF!</v>
      </c>
      <c r="M35" s="235" t="str">
        <f t="shared" si="69"/>
        <v>#REF!</v>
      </c>
      <c r="N35" s="235" t="str">
        <f t="shared" si="69"/>
        <v>#REF!</v>
      </c>
      <c r="O35" s="235" t="str">
        <f t="shared" si="69"/>
        <v>#REF!</v>
      </c>
      <c r="P35" s="235" t="str">
        <f t="shared" ref="P35:X35" si="70">#REF!</f>
        <v>#REF!</v>
      </c>
      <c r="Q35" s="235" t="str">
        <f t="shared" si="70"/>
        <v>#REF!</v>
      </c>
      <c r="R35" s="235" t="str">
        <f t="shared" si="70"/>
        <v>#REF!</v>
      </c>
      <c r="S35" s="235" t="str">
        <f t="shared" si="70"/>
        <v>#REF!</v>
      </c>
      <c r="T35" s="235" t="str">
        <f t="shared" si="70"/>
        <v>#REF!</v>
      </c>
      <c r="U35" s="235" t="str">
        <f t="shared" si="70"/>
        <v>#REF!</v>
      </c>
      <c r="V35" s="235" t="str">
        <f t="shared" si="70"/>
        <v>#REF!</v>
      </c>
      <c r="W35" s="235" t="str">
        <f t="shared" si="70"/>
        <v>#REF!</v>
      </c>
      <c r="X35" s="235" t="str">
        <f t="shared" si="70"/>
        <v>#REF!</v>
      </c>
    </row>
    <row r="36">
      <c r="A36" s="235" t="str">
        <f t="shared" ref="A36:O36" si="71">'Municipality Case Trends'!A40</f>
        <v>#REF!</v>
      </c>
      <c r="B36" s="235" t="str">
        <f t="shared" si="71"/>
        <v>#REF!</v>
      </c>
      <c r="C36" s="235" t="str">
        <f t="shared" si="71"/>
        <v>#REF!</v>
      </c>
      <c r="D36" s="235" t="str">
        <f t="shared" si="71"/>
        <v>#REF!</v>
      </c>
      <c r="E36" s="235" t="str">
        <f t="shared" si="71"/>
        <v>#REF!</v>
      </c>
      <c r="F36" s="235" t="str">
        <f t="shared" si="71"/>
        <v>#REF!</v>
      </c>
      <c r="G36" s="235" t="str">
        <f t="shared" si="71"/>
        <v>#REF!</v>
      </c>
      <c r="H36" s="235" t="str">
        <f t="shared" si="71"/>
        <v>#REF!</v>
      </c>
      <c r="I36" s="235" t="str">
        <f t="shared" si="71"/>
        <v>#REF!</v>
      </c>
      <c r="J36" s="235" t="str">
        <f t="shared" si="71"/>
        <v>#REF!</v>
      </c>
      <c r="K36" s="235" t="str">
        <f t="shared" si="71"/>
        <v>#REF!</v>
      </c>
      <c r="L36" s="235" t="str">
        <f t="shared" si="71"/>
        <v>#REF!</v>
      </c>
      <c r="M36" s="235" t="str">
        <f t="shared" si="71"/>
        <v>#REF!</v>
      </c>
      <c r="N36" s="235" t="str">
        <f t="shared" si="71"/>
        <v>#REF!</v>
      </c>
      <c r="O36" s="235" t="str">
        <f t="shared" si="71"/>
        <v>#REF!</v>
      </c>
      <c r="P36" s="235" t="str">
        <f t="shared" ref="P36:X36" si="72">#REF!</f>
        <v>#REF!</v>
      </c>
      <c r="Q36" s="235" t="str">
        <f t="shared" si="72"/>
        <v>#REF!</v>
      </c>
      <c r="R36" s="235" t="str">
        <f t="shared" si="72"/>
        <v>#REF!</v>
      </c>
      <c r="S36" s="235" t="str">
        <f t="shared" si="72"/>
        <v>#REF!</v>
      </c>
      <c r="T36" s="235" t="str">
        <f t="shared" si="72"/>
        <v>#REF!</v>
      </c>
      <c r="U36" s="235" t="str">
        <f t="shared" si="72"/>
        <v>#REF!</v>
      </c>
      <c r="V36" s="235" t="str">
        <f t="shared" si="72"/>
        <v>#REF!</v>
      </c>
      <c r="W36" s="235" t="str">
        <f t="shared" si="72"/>
        <v>#REF!</v>
      </c>
      <c r="X36" s="235" t="str">
        <f t="shared" si="72"/>
        <v>#REF!</v>
      </c>
    </row>
    <row r="37">
      <c r="A37" s="235" t="str">
        <f t="shared" ref="A37:O37" si="73">'Municipality Case Trends'!A41</f>
        <v>#REF!</v>
      </c>
      <c r="B37" s="235" t="str">
        <f t="shared" si="73"/>
        <v>#REF!</v>
      </c>
      <c r="C37" s="235" t="str">
        <f t="shared" si="73"/>
        <v>#REF!</v>
      </c>
      <c r="D37" s="235" t="str">
        <f t="shared" si="73"/>
        <v>#REF!</v>
      </c>
      <c r="E37" s="235" t="str">
        <f t="shared" si="73"/>
        <v>#REF!</v>
      </c>
      <c r="F37" s="235" t="str">
        <f t="shared" si="73"/>
        <v>#REF!</v>
      </c>
      <c r="G37" s="235" t="str">
        <f t="shared" si="73"/>
        <v>#REF!</v>
      </c>
      <c r="H37" s="235" t="str">
        <f t="shared" si="73"/>
        <v>#REF!</v>
      </c>
      <c r="I37" s="235" t="str">
        <f t="shared" si="73"/>
        <v>#REF!</v>
      </c>
      <c r="J37" s="235" t="str">
        <f t="shared" si="73"/>
        <v>#REF!</v>
      </c>
      <c r="K37" s="235" t="str">
        <f t="shared" si="73"/>
        <v>#REF!</v>
      </c>
      <c r="L37" s="235" t="str">
        <f t="shared" si="73"/>
        <v>#REF!</v>
      </c>
      <c r="M37" s="235" t="str">
        <f t="shared" si="73"/>
        <v>#REF!</v>
      </c>
      <c r="N37" s="235" t="str">
        <f t="shared" si="73"/>
        <v>#REF!</v>
      </c>
      <c r="O37" s="235" t="str">
        <f t="shared" si="73"/>
        <v>#REF!</v>
      </c>
      <c r="P37" s="235" t="str">
        <f t="shared" ref="P37:X37" si="74">#REF!</f>
        <v>#REF!</v>
      </c>
      <c r="Q37" s="235" t="str">
        <f t="shared" si="74"/>
        <v>#REF!</v>
      </c>
      <c r="R37" s="235" t="str">
        <f t="shared" si="74"/>
        <v>#REF!</v>
      </c>
      <c r="S37" s="235" t="str">
        <f t="shared" si="74"/>
        <v>#REF!</v>
      </c>
      <c r="T37" s="235" t="str">
        <f t="shared" si="74"/>
        <v>#REF!</v>
      </c>
      <c r="U37" s="235" t="str">
        <f t="shared" si="74"/>
        <v>#REF!</v>
      </c>
      <c r="V37" s="235" t="str">
        <f t="shared" si="74"/>
        <v>#REF!</v>
      </c>
      <c r="W37" s="235" t="str">
        <f t="shared" si="74"/>
        <v>#REF!</v>
      </c>
      <c r="X37" s="235" t="str">
        <f t="shared" si="74"/>
        <v>#REF!</v>
      </c>
    </row>
    <row r="38">
      <c r="A38" s="235" t="str">
        <f t="shared" ref="A38:O38" si="75">'Municipality Case Trends'!A42</f>
        <v>#REF!</v>
      </c>
      <c r="B38" s="235" t="str">
        <f t="shared" si="75"/>
        <v>#REF!</v>
      </c>
      <c r="C38" s="235" t="str">
        <f t="shared" si="75"/>
        <v>#REF!</v>
      </c>
      <c r="D38" s="235" t="str">
        <f t="shared" si="75"/>
        <v>#REF!</v>
      </c>
      <c r="E38" s="235" t="str">
        <f t="shared" si="75"/>
        <v>#REF!</v>
      </c>
      <c r="F38" s="235" t="str">
        <f t="shared" si="75"/>
        <v>#REF!</v>
      </c>
      <c r="G38" s="235" t="str">
        <f t="shared" si="75"/>
        <v>#REF!</v>
      </c>
      <c r="H38" s="235" t="str">
        <f t="shared" si="75"/>
        <v>#REF!</v>
      </c>
      <c r="I38" s="235" t="str">
        <f t="shared" si="75"/>
        <v>#REF!</v>
      </c>
      <c r="J38" s="235" t="str">
        <f t="shared" si="75"/>
        <v>#REF!</v>
      </c>
      <c r="K38" s="235" t="str">
        <f t="shared" si="75"/>
        <v>#REF!</v>
      </c>
      <c r="L38" s="235" t="str">
        <f t="shared" si="75"/>
        <v>#REF!</v>
      </c>
      <c r="M38" s="235" t="str">
        <f t="shared" si="75"/>
        <v>#REF!</v>
      </c>
      <c r="N38" s="235" t="str">
        <f t="shared" si="75"/>
        <v>#REF!</v>
      </c>
      <c r="O38" s="235" t="str">
        <f t="shared" si="75"/>
        <v>#REF!</v>
      </c>
      <c r="P38" s="235" t="str">
        <f t="shared" ref="P38:X38" si="76">#REF!</f>
        <v>#REF!</v>
      </c>
      <c r="Q38" s="235" t="str">
        <f t="shared" si="76"/>
        <v>#REF!</v>
      </c>
      <c r="R38" s="235" t="str">
        <f t="shared" si="76"/>
        <v>#REF!</v>
      </c>
      <c r="S38" s="235" t="str">
        <f t="shared" si="76"/>
        <v>#REF!</v>
      </c>
      <c r="T38" s="235" t="str">
        <f t="shared" si="76"/>
        <v>#REF!</v>
      </c>
      <c r="U38" s="235" t="str">
        <f t="shared" si="76"/>
        <v>#REF!</v>
      </c>
      <c r="V38" s="235" t="str">
        <f t="shared" si="76"/>
        <v>#REF!</v>
      </c>
      <c r="W38" s="235" t="str">
        <f t="shared" si="76"/>
        <v>#REF!</v>
      </c>
      <c r="X38" s="235" t="str">
        <f t="shared" si="76"/>
        <v>#REF!</v>
      </c>
    </row>
    <row r="39">
      <c r="A39" s="235" t="str">
        <f t="shared" ref="A39:O39" si="77">'Municipality Case Trends'!A43</f>
        <v>#REF!</v>
      </c>
      <c r="B39" s="235" t="str">
        <f t="shared" si="77"/>
        <v>#REF!</v>
      </c>
      <c r="C39" s="235" t="str">
        <f t="shared" si="77"/>
        <v>#REF!</v>
      </c>
      <c r="D39" s="235" t="str">
        <f t="shared" si="77"/>
        <v>#REF!</v>
      </c>
      <c r="E39" s="235" t="str">
        <f t="shared" si="77"/>
        <v>#REF!</v>
      </c>
      <c r="F39" s="235" t="str">
        <f t="shared" si="77"/>
        <v>#REF!</v>
      </c>
      <c r="G39" s="235" t="str">
        <f t="shared" si="77"/>
        <v>#REF!</v>
      </c>
      <c r="H39" s="235" t="str">
        <f t="shared" si="77"/>
        <v>#REF!</v>
      </c>
      <c r="I39" s="235" t="str">
        <f t="shared" si="77"/>
        <v>#REF!</v>
      </c>
      <c r="J39" s="235" t="str">
        <f t="shared" si="77"/>
        <v>#REF!</v>
      </c>
      <c r="K39" s="235" t="str">
        <f t="shared" si="77"/>
        <v>#REF!</v>
      </c>
      <c r="L39" s="235" t="str">
        <f t="shared" si="77"/>
        <v>#REF!</v>
      </c>
      <c r="M39" s="235" t="str">
        <f t="shared" si="77"/>
        <v>#REF!</v>
      </c>
      <c r="N39" s="235" t="str">
        <f t="shared" si="77"/>
        <v>#REF!</v>
      </c>
      <c r="O39" s="235" t="str">
        <f t="shared" si="77"/>
        <v>#REF!</v>
      </c>
      <c r="P39" s="235" t="str">
        <f t="shared" ref="P39:X39" si="78">#REF!</f>
        <v>#REF!</v>
      </c>
      <c r="Q39" s="235" t="str">
        <f t="shared" si="78"/>
        <v>#REF!</v>
      </c>
      <c r="R39" s="235" t="str">
        <f t="shared" si="78"/>
        <v>#REF!</v>
      </c>
      <c r="S39" s="235" t="str">
        <f t="shared" si="78"/>
        <v>#REF!</v>
      </c>
      <c r="T39" s="235" t="str">
        <f t="shared" si="78"/>
        <v>#REF!</v>
      </c>
      <c r="U39" s="235" t="str">
        <f t="shared" si="78"/>
        <v>#REF!</v>
      </c>
      <c r="V39" s="235" t="str">
        <f t="shared" si="78"/>
        <v>#REF!</v>
      </c>
      <c r="W39" s="235" t="str">
        <f t="shared" si="78"/>
        <v>#REF!</v>
      </c>
      <c r="X39" s="235" t="str">
        <f t="shared" si="78"/>
        <v>#REF!</v>
      </c>
    </row>
    <row r="40">
      <c r="A40" s="235" t="str">
        <f t="shared" ref="A40:O40" si="79">'Municipality Case Trends'!A44</f>
        <v>#REF!</v>
      </c>
      <c r="B40" s="235" t="str">
        <f t="shared" si="79"/>
        <v>#REF!</v>
      </c>
      <c r="C40" s="235" t="str">
        <f t="shared" si="79"/>
        <v>#REF!</v>
      </c>
      <c r="D40" s="235" t="str">
        <f t="shared" si="79"/>
        <v>#REF!</v>
      </c>
      <c r="E40" s="235" t="str">
        <f t="shared" si="79"/>
        <v>#REF!</v>
      </c>
      <c r="F40" s="235" t="str">
        <f t="shared" si="79"/>
        <v>#REF!</v>
      </c>
      <c r="G40" s="235" t="str">
        <f t="shared" si="79"/>
        <v>#REF!</v>
      </c>
      <c r="H40" s="235" t="str">
        <f t="shared" si="79"/>
        <v>#REF!</v>
      </c>
      <c r="I40" s="235" t="str">
        <f t="shared" si="79"/>
        <v>#REF!</v>
      </c>
      <c r="J40" s="235" t="str">
        <f t="shared" si="79"/>
        <v>#REF!</v>
      </c>
      <c r="K40" s="235" t="str">
        <f t="shared" si="79"/>
        <v>#REF!</v>
      </c>
      <c r="L40" s="235" t="str">
        <f t="shared" si="79"/>
        <v>#REF!</v>
      </c>
      <c r="M40" s="235" t="str">
        <f t="shared" si="79"/>
        <v>#REF!</v>
      </c>
      <c r="N40" s="235" t="str">
        <f t="shared" si="79"/>
        <v>#REF!</v>
      </c>
      <c r="O40" s="235" t="str">
        <f t="shared" si="79"/>
        <v>#REF!</v>
      </c>
      <c r="P40" s="235" t="str">
        <f t="shared" ref="P40:X40" si="80">#REF!</f>
        <v>#REF!</v>
      </c>
      <c r="Q40" s="235" t="str">
        <f t="shared" si="80"/>
        <v>#REF!</v>
      </c>
      <c r="R40" s="235" t="str">
        <f t="shared" si="80"/>
        <v>#REF!</v>
      </c>
      <c r="S40" s="235" t="str">
        <f t="shared" si="80"/>
        <v>#REF!</v>
      </c>
      <c r="T40" s="235" t="str">
        <f t="shared" si="80"/>
        <v>#REF!</v>
      </c>
      <c r="U40" s="235" t="str">
        <f t="shared" si="80"/>
        <v>#REF!</v>
      </c>
      <c r="V40" s="235" t="str">
        <f t="shared" si="80"/>
        <v>#REF!</v>
      </c>
      <c r="W40" s="235" t="str">
        <f t="shared" si="80"/>
        <v>#REF!</v>
      </c>
      <c r="X40" s="235" t="str">
        <f t="shared" si="80"/>
        <v>#REF!</v>
      </c>
    </row>
    <row r="41">
      <c r="A41" s="235" t="str">
        <f t="shared" ref="A41:O41" si="81">'Municipality Case Trends'!A45</f>
        <v>#REF!</v>
      </c>
      <c r="B41" s="235" t="str">
        <f t="shared" si="81"/>
        <v>#REF!</v>
      </c>
      <c r="C41" s="235" t="str">
        <f t="shared" si="81"/>
        <v>#REF!</v>
      </c>
      <c r="D41" s="235" t="str">
        <f t="shared" si="81"/>
        <v>#REF!</v>
      </c>
      <c r="E41" s="235" t="str">
        <f t="shared" si="81"/>
        <v>#REF!</v>
      </c>
      <c r="F41" s="235" t="str">
        <f t="shared" si="81"/>
        <v>#REF!</v>
      </c>
      <c r="G41" s="235" t="str">
        <f t="shared" si="81"/>
        <v>#REF!</v>
      </c>
      <c r="H41" s="235" t="str">
        <f t="shared" si="81"/>
        <v>#REF!</v>
      </c>
      <c r="I41" s="235" t="str">
        <f t="shared" si="81"/>
        <v>#REF!</v>
      </c>
      <c r="J41" s="235" t="str">
        <f t="shared" si="81"/>
        <v>#REF!</v>
      </c>
      <c r="K41" s="235" t="str">
        <f t="shared" si="81"/>
        <v>#REF!</v>
      </c>
      <c r="L41" s="235" t="str">
        <f t="shared" si="81"/>
        <v>#REF!</v>
      </c>
      <c r="M41" s="235" t="str">
        <f t="shared" si="81"/>
        <v>#REF!</v>
      </c>
      <c r="N41" s="235" t="str">
        <f t="shared" si="81"/>
        <v>#REF!</v>
      </c>
      <c r="O41" s="235" t="str">
        <f t="shared" si="81"/>
        <v>#REF!</v>
      </c>
      <c r="P41" s="235" t="str">
        <f t="shared" ref="P41:X41" si="82">#REF!</f>
        <v>#REF!</v>
      </c>
      <c r="Q41" s="235" t="str">
        <f t="shared" si="82"/>
        <v>#REF!</v>
      </c>
      <c r="R41" s="235" t="str">
        <f t="shared" si="82"/>
        <v>#REF!</v>
      </c>
      <c r="S41" s="235" t="str">
        <f t="shared" si="82"/>
        <v>#REF!</v>
      </c>
      <c r="T41" s="235" t="str">
        <f t="shared" si="82"/>
        <v>#REF!</v>
      </c>
      <c r="U41" s="235" t="str">
        <f t="shared" si="82"/>
        <v>#REF!</v>
      </c>
      <c r="V41" s="235" t="str">
        <f t="shared" si="82"/>
        <v>#REF!</v>
      </c>
      <c r="W41" s="235" t="str">
        <f t="shared" si="82"/>
        <v>#REF!</v>
      </c>
      <c r="X41" s="235" t="str">
        <f t="shared" si="82"/>
        <v>#REF!</v>
      </c>
    </row>
    <row r="42">
      <c r="A42" s="235" t="str">
        <f t="shared" ref="A42:O42" si="83">'Municipality Case Trends'!A46</f>
        <v>#REF!</v>
      </c>
      <c r="B42" s="235" t="str">
        <f t="shared" si="83"/>
        <v>#REF!</v>
      </c>
      <c r="C42" s="235" t="str">
        <f t="shared" si="83"/>
        <v>#REF!</v>
      </c>
      <c r="D42" s="235" t="str">
        <f t="shared" si="83"/>
        <v>#REF!</v>
      </c>
      <c r="E42" s="235" t="str">
        <f t="shared" si="83"/>
        <v>#REF!</v>
      </c>
      <c r="F42" s="235" t="str">
        <f t="shared" si="83"/>
        <v>#REF!</v>
      </c>
      <c r="G42" s="235" t="str">
        <f t="shared" si="83"/>
        <v>#REF!</v>
      </c>
      <c r="H42" s="235" t="str">
        <f t="shared" si="83"/>
        <v>#REF!</v>
      </c>
      <c r="I42" s="235" t="str">
        <f t="shared" si="83"/>
        <v>#REF!</v>
      </c>
      <c r="J42" s="235" t="str">
        <f t="shared" si="83"/>
        <v>#REF!</v>
      </c>
      <c r="K42" s="235" t="str">
        <f t="shared" si="83"/>
        <v>#REF!</v>
      </c>
      <c r="L42" s="235" t="str">
        <f t="shared" si="83"/>
        <v>#REF!</v>
      </c>
      <c r="M42" s="235" t="str">
        <f t="shared" si="83"/>
        <v>#REF!</v>
      </c>
      <c r="N42" s="235" t="str">
        <f t="shared" si="83"/>
        <v>#REF!</v>
      </c>
      <c r="O42" s="235" t="str">
        <f t="shared" si="83"/>
        <v>#REF!</v>
      </c>
      <c r="P42" s="235" t="str">
        <f t="shared" ref="P42:X42" si="84">#REF!</f>
        <v>#REF!</v>
      </c>
      <c r="Q42" s="235" t="str">
        <f t="shared" si="84"/>
        <v>#REF!</v>
      </c>
      <c r="R42" s="235" t="str">
        <f t="shared" si="84"/>
        <v>#REF!</v>
      </c>
      <c r="S42" s="235" t="str">
        <f t="shared" si="84"/>
        <v>#REF!</v>
      </c>
      <c r="T42" s="235" t="str">
        <f t="shared" si="84"/>
        <v>#REF!</v>
      </c>
      <c r="U42" s="235" t="str">
        <f t="shared" si="84"/>
        <v>#REF!</v>
      </c>
      <c r="V42" s="235" t="str">
        <f t="shared" si="84"/>
        <v>#REF!</v>
      </c>
      <c r="W42" s="235" t="str">
        <f t="shared" si="84"/>
        <v>#REF!</v>
      </c>
      <c r="X42" s="235" t="str">
        <f t="shared" si="84"/>
        <v>#REF!</v>
      </c>
    </row>
    <row r="43">
      <c r="A43" s="235" t="str">
        <f>#REF!</f>
        <v>#REF!</v>
      </c>
    </row>
    <row r="44">
      <c r="A44" s="235" t="str">
        <f>'Municipality Case Trends'!A4</f>
        <v>#REF!</v>
      </c>
    </row>
    <row r="45">
      <c r="A45" s="235" t="str">
        <f t="shared" ref="A45:A57" si="85">#REF!</f>
        <v>#REF!</v>
      </c>
    </row>
    <row r="46">
      <c r="A46" s="235" t="str">
        <f t="shared" si="85"/>
        <v>#REF!</v>
      </c>
    </row>
    <row r="47">
      <c r="A47" s="235" t="str">
        <f t="shared" si="85"/>
        <v>#REF!</v>
      </c>
    </row>
    <row r="48">
      <c r="A48" s="235" t="str">
        <f t="shared" si="85"/>
        <v>#REF!</v>
      </c>
    </row>
    <row r="49">
      <c r="A49" s="235" t="str">
        <f t="shared" si="85"/>
        <v>#REF!</v>
      </c>
    </row>
    <row r="50">
      <c r="A50" s="235" t="str">
        <f t="shared" si="85"/>
        <v>#REF!</v>
      </c>
    </row>
    <row r="51">
      <c r="A51" s="235" t="str">
        <f t="shared" si="85"/>
        <v>#REF!</v>
      </c>
    </row>
    <row r="52">
      <c r="A52" s="235" t="str">
        <f t="shared" si="85"/>
        <v>#REF!</v>
      </c>
    </row>
    <row r="53">
      <c r="A53" s="235" t="str">
        <f t="shared" si="85"/>
        <v>#REF!</v>
      </c>
    </row>
    <row r="54">
      <c r="A54" s="235" t="str">
        <f t="shared" si="85"/>
        <v>#REF!</v>
      </c>
    </row>
    <row r="55">
      <c r="A55" s="235" t="str">
        <f t="shared" si="85"/>
        <v>#REF!</v>
      </c>
    </row>
    <row r="56">
      <c r="A56" s="235" t="str">
        <f t="shared" si="85"/>
        <v>#REF!</v>
      </c>
    </row>
    <row r="57">
      <c r="A57" s="23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202309.0</v>
      </c>
      <c r="C3" s="42">
        <v>0.55</v>
      </c>
      <c r="D3" s="43">
        <v>16060.0</v>
      </c>
      <c r="E3" s="44">
        <v>0.54</v>
      </c>
      <c r="F3" s="45">
        <v>1552.0</v>
      </c>
      <c r="G3" s="42">
        <v>0.48</v>
      </c>
      <c r="H3" s="45">
        <v>626.0</v>
      </c>
      <c r="I3" s="46">
        <v>0.53</v>
      </c>
    </row>
    <row r="4" ht="14.25" customHeight="1">
      <c r="A4" s="40" t="s">
        <v>41</v>
      </c>
      <c r="B4" s="41">
        <v>164404.0</v>
      </c>
      <c r="C4" s="42">
        <v>0.45</v>
      </c>
      <c r="D4" s="43">
        <v>13452.0</v>
      </c>
      <c r="E4" s="44">
        <v>0.46</v>
      </c>
      <c r="F4" s="45">
        <v>1650.0</v>
      </c>
      <c r="G4" s="42">
        <v>0.51</v>
      </c>
      <c r="H4" s="45">
        <v>557.0</v>
      </c>
      <c r="I4" s="46">
        <v>0.47</v>
      </c>
    </row>
    <row r="5" ht="14.25" customHeight="1">
      <c r="A5" s="40" t="s">
        <v>42</v>
      </c>
      <c r="B5" s="41">
        <v>80.0</v>
      </c>
      <c r="C5" s="47" t="s">
        <v>43</v>
      </c>
      <c r="D5" s="43">
        <v>11.0</v>
      </c>
      <c r="E5" s="47" t="s">
        <v>43</v>
      </c>
      <c r="F5" s="45" t="s">
        <v>44</v>
      </c>
      <c r="G5" s="48" t="s">
        <v>30</v>
      </c>
      <c r="H5" s="45">
        <v>0.0</v>
      </c>
      <c r="I5" s="46">
        <v>0.0</v>
      </c>
    </row>
    <row r="6" ht="14.25" customHeight="1">
      <c r="A6" s="40" t="s">
        <v>45</v>
      </c>
      <c r="B6" s="41">
        <v>20575.0</v>
      </c>
      <c r="C6" s="47" t="s">
        <v>30</v>
      </c>
      <c r="D6" s="43">
        <v>256.0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8925.0</v>
      </c>
      <c r="C8" s="42">
        <v>0.02</v>
      </c>
      <c r="D8" s="58">
        <v>498.0</v>
      </c>
      <c r="E8" s="44">
        <v>0.02</v>
      </c>
      <c r="F8" s="59">
        <v>25.0</v>
      </c>
      <c r="G8" s="60">
        <v>0.01</v>
      </c>
      <c r="H8" s="59">
        <v>0.0</v>
      </c>
      <c r="I8" s="60">
        <v>0.0</v>
      </c>
    </row>
    <row r="9" ht="15.0" customHeight="1">
      <c r="A9" s="61">
        <v>43960.0</v>
      </c>
      <c r="B9" s="41">
        <v>10261.0</v>
      </c>
      <c r="C9" s="42">
        <v>0.03</v>
      </c>
      <c r="D9" s="58">
        <v>547.0</v>
      </c>
      <c r="E9" s="44">
        <v>0.02</v>
      </c>
      <c r="F9" s="59">
        <v>11.0</v>
      </c>
      <c r="G9" s="62" t="s">
        <v>43</v>
      </c>
      <c r="H9" s="59">
        <v>0.0</v>
      </c>
      <c r="I9" s="46">
        <v>0.0</v>
      </c>
    </row>
    <row r="10" ht="15.0" customHeight="1">
      <c r="A10" s="61">
        <v>44118.0</v>
      </c>
      <c r="B10" s="41">
        <v>10088.0</v>
      </c>
      <c r="C10" s="42">
        <v>0.03</v>
      </c>
      <c r="D10" s="58">
        <v>678.0</v>
      </c>
      <c r="E10" s="44">
        <v>0.02</v>
      </c>
      <c r="F10" s="59">
        <v>16.0</v>
      </c>
      <c r="G10" s="62" t="s">
        <v>43</v>
      </c>
      <c r="H10" s="59" t="s">
        <v>44</v>
      </c>
      <c r="I10" s="50" t="s">
        <v>30</v>
      </c>
    </row>
    <row r="11" ht="14.25" customHeight="1">
      <c r="A11" s="40" t="s">
        <v>48</v>
      </c>
      <c r="B11" s="41">
        <v>18111.0</v>
      </c>
      <c r="C11" s="42">
        <v>0.05</v>
      </c>
      <c r="D11" s="58">
        <v>1199.0</v>
      </c>
      <c r="E11" s="44">
        <v>0.04</v>
      </c>
      <c r="F11" s="59">
        <v>24.0</v>
      </c>
      <c r="G11" s="60">
        <v>0.01</v>
      </c>
      <c r="H11" s="59">
        <v>0.0</v>
      </c>
      <c r="I11" s="46">
        <v>0.0</v>
      </c>
    </row>
    <row r="12" ht="14.25" customHeight="1">
      <c r="A12" s="40" t="s">
        <v>49</v>
      </c>
      <c r="B12" s="41">
        <v>50453.0</v>
      </c>
      <c r="C12" s="42">
        <v>0.13</v>
      </c>
      <c r="D12" s="58">
        <v>3572.0</v>
      </c>
      <c r="E12" s="44">
        <v>0.12</v>
      </c>
      <c r="F12" s="59">
        <v>96.0</v>
      </c>
      <c r="G12" s="60">
        <v>0.03</v>
      </c>
      <c r="H12" s="59" t="s">
        <v>44</v>
      </c>
      <c r="I12" s="62" t="s">
        <v>30</v>
      </c>
    </row>
    <row r="13" ht="14.25" customHeight="1">
      <c r="A13" s="40" t="s">
        <v>50</v>
      </c>
      <c r="B13" s="41">
        <v>34555.0</v>
      </c>
      <c r="C13" s="42">
        <v>0.09</v>
      </c>
      <c r="D13" s="58">
        <v>2720.0</v>
      </c>
      <c r="E13" s="44">
        <v>0.09</v>
      </c>
      <c r="F13" s="59">
        <v>108.0</v>
      </c>
      <c r="G13" s="60">
        <v>0.03</v>
      </c>
      <c r="H13" s="59" t="s">
        <v>44</v>
      </c>
      <c r="I13" s="62" t="s">
        <v>30</v>
      </c>
    </row>
    <row r="14" ht="14.25" customHeight="1">
      <c r="A14" s="40" t="s">
        <v>51</v>
      </c>
      <c r="B14" s="41">
        <v>60082.0</v>
      </c>
      <c r="C14" s="42">
        <v>0.16</v>
      </c>
      <c r="D14" s="58">
        <v>4783.0</v>
      </c>
      <c r="E14" s="44">
        <v>0.16</v>
      </c>
      <c r="F14" s="59">
        <v>246.0</v>
      </c>
      <c r="G14" s="60">
        <v>0.08</v>
      </c>
      <c r="H14" s="59">
        <v>7.0</v>
      </c>
      <c r="I14" s="60">
        <v>0.01</v>
      </c>
    </row>
    <row r="15" ht="14.25" customHeight="1">
      <c r="A15" s="40" t="s">
        <v>52</v>
      </c>
      <c r="B15" s="41">
        <v>48076.0</v>
      </c>
      <c r="C15" s="42">
        <v>0.12</v>
      </c>
      <c r="D15" s="58">
        <v>4238.0</v>
      </c>
      <c r="E15" s="44">
        <v>0.14</v>
      </c>
      <c r="F15" s="59">
        <v>358.0</v>
      </c>
      <c r="G15" s="60">
        <v>0.11</v>
      </c>
      <c r="H15" s="59">
        <v>16.0</v>
      </c>
      <c r="I15" s="60">
        <v>0.01</v>
      </c>
    </row>
    <row r="16" ht="14.25" customHeight="1">
      <c r="A16" s="40" t="s">
        <v>53</v>
      </c>
      <c r="B16" s="41">
        <v>56686.0</v>
      </c>
      <c r="C16" s="42">
        <v>0.15</v>
      </c>
      <c r="D16" s="58">
        <v>4296.0</v>
      </c>
      <c r="E16" s="44">
        <v>0.14</v>
      </c>
      <c r="F16" s="59">
        <v>494.0</v>
      </c>
      <c r="G16" s="60">
        <v>0.15</v>
      </c>
      <c r="H16" s="59">
        <v>51.0</v>
      </c>
      <c r="I16" s="60">
        <v>0.04</v>
      </c>
    </row>
    <row r="17" ht="14.25" customHeight="1">
      <c r="A17" s="40" t="s">
        <v>54</v>
      </c>
      <c r="B17" s="41">
        <v>46245.0</v>
      </c>
      <c r="C17" s="42">
        <v>0.12</v>
      </c>
      <c r="D17" s="58">
        <v>2982.0</v>
      </c>
      <c r="E17" s="44">
        <v>0.1</v>
      </c>
      <c r="F17" s="59">
        <v>615.0</v>
      </c>
      <c r="G17" s="60">
        <v>0.19</v>
      </c>
      <c r="H17" s="59">
        <v>127.0</v>
      </c>
      <c r="I17" s="60">
        <v>0.11</v>
      </c>
    </row>
    <row r="18" ht="15.0" customHeight="1">
      <c r="A18" s="40" t="s">
        <v>55</v>
      </c>
      <c r="B18" s="41">
        <v>24933.0</v>
      </c>
      <c r="C18" s="42">
        <v>0.06</v>
      </c>
      <c r="D18" s="58">
        <v>1822.0</v>
      </c>
      <c r="E18" s="44">
        <v>0.06</v>
      </c>
      <c r="F18" s="59">
        <v>605.0</v>
      </c>
      <c r="G18" s="60">
        <v>0.19</v>
      </c>
      <c r="H18" s="59">
        <v>271.0</v>
      </c>
      <c r="I18" s="60">
        <v>0.23</v>
      </c>
    </row>
    <row r="19" ht="14.25" customHeight="1">
      <c r="A19" s="40" t="s">
        <v>56</v>
      </c>
      <c r="B19" s="41">
        <v>12601.0</v>
      </c>
      <c r="C19" s="42">
        <v>0.03</v>
      </c>
      <c r="D19" s="58">
        <v>1470.0</v>
      </c>
      <c r="E19" s="44">
        <v>0.05</v>
      </c>
      <c r="F19" s="59">
        <v>423.0</v>
      </c>
      <c r="G19" s="60">
        <v>0.13</v>
      </c>
      <c r="H19" s="59">
        <v>388.0</v>
      </c>
      <c r="I19" s="60">
        <v>0.33</v>
      </c>
    </row>
    <row r="20" ht="14.25" customHeight="1">
      <c r="A20" s="40" t="s">
        <v>57</v>
      </c>
      <c r="B20" s="41">
        <v>5942.0</v>
      </c>
      <c r="C20" s="42">
        <v>0.02</v>
      </c>
      <c r="D20" s="58">
        <v>971.0</v>
      </c>
      <c r="E20" s="44">
        <v>0.03</v>
      </c>
      <c r="F20" s="59">
        <v>192.0</v>
      </c>
      <c r="G20" s="60">
        <v>0.06</v>
      </c>
      <c r="H20" s="59">
        <v>318.0</v>
      </c>
      <c r="I20" s="60">
        <v>0.27</v>
      </c>
    </row>
    <row r="21" ht="14.25" customHeight="1">
      <c r="A21" s="40" t="s">
        <v>45</v>
      </c>
      <c r="B21" s="41">
        <v>410.0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28092.0</v>
      </c>
      <c r="C23" s="42">
        <v>0.19</v>
      </c>
      <c r="D23" s="58">
        <v>10654.0</v>
      </c>
      <c r="E23" s="44">
        <v>0.43</v>
      </c>
      <c r="F23" s="45">
        <v>949.0</v>
      </c>
      <c r="G23" s="46">
        <v>0.36</v>
      </c>
      <c r="H23" s="45">
        <v>110.0</v>
      </c>
      <c r="I23" s="46">
        <v>0.11</v>
      </c>
    </row>
    <row r="24" ht="14.25" customHeight="1">
      <c r="A24" s="63" t="s">
        <v>60</v>
      </c>
      <c r="B24" s="41">
        <v>3682.0</v>
      </c>
      <c r="C24" s="42">
        <v>0.03</v>
      </c>
      <c r="D24" s="58">
        <v>93.0</v>
      </c>
      <c r="E24" s="47" t="s">
        <v>43</v>
      </c>
      <c r="F24" s="45">
        <v>5.0</v>
      </c>
      <c r="G24" s="50" t="s">
        <v>43</v>
      </c>
      <c r="H24" s="45" t="s">
        <v>44</v>
      </c>
      <c r="I24" s="50" t="s">
        <v>30</v>
      </c>
    </row>
    <row r="25" ht="14.25" customHeight="1">
      <c r="A25" s="63" t="s">
        <v>61</v>
      </c>
      <c r="B25" s="41">
        <v>3575.0</v>
      </c>
      <c r="C25" s="42">
        <v>0.02</v>
      </c>
      <c r="D25" s="58">
        <v>448.0</v>
      </c>
      <c r="E25" s="44">
        <v>0.02</v>
      </c>
      <c r="F25" s="45">
        <v>47.0</v>
      </c>
      <c r="G25" s="46">
        <v>0.02</v>
      </c>
      <c r="H25" s="45">
        <v>14.0</v>
      </c>
      <c r="I25" s="46">
        <v>0.01</v>
      </c>
    </row>
    <row r="26" ht="14.25" customHeight="1">
      <c r="A26" s="63" t="s">
        <v>62</v>
      </c>
      <c r="B26" s="41">
        <v>10776.0</v>
      </c>
      <c r="C26" s="42">
        <v>0.07</v>
      </c>
      <c r="D26" s="58">
        <v>2865.0</v>
      </c>
      <c r="E26" s="44">
        <v>0.12</v>
      </c>
      <c r="F26" s="45">
        <v>328.0</v>
      </c>
      <c r="G26" s="46">
        <v>0.12</v>
      </c>
      <c r="H26" s="45">
        <v>62.0</v>
      </c>
      <c r="I26" s="46">
        <v>0.06</v>
      </c>
    </row>
    <row r="27" ht="14.25" customHeight="1">
      <c r="A27" s="63" t="s">
        <v>63</v>
      </c>
      <c r="B27" s="41">
        <v>431.0</v>
      </c>
      <c r="C27" s="48" t="s">
        <v>43</v>
      </c>
      <c r="D27" s="58">
        <v>0.0</v>
      </c>
      <c r="E27" s="44">
        <v>0.0</v>
      </c>
      <c r="F27" s="45">
        <v>0.0</v>
      </c>
      <c r="G27" s="46">
        <v>0.0</v>
      </c>
      <c r="H27" s="45">
        <v>0.0</v>
      </c>
      <c r="I27" s="46">
        <v>0.0</v>
      </c>
    </row>
    <row r="28" ht="14.25" customHeight="1">
      <c r="A28" s="63" t="s">
        <v>64</v>
      </c>
      <c r="B28" s="41">
        <v>87100.0</v>
      </c>
      <c r="C28" s="42">
        <v>0.59</v>
      </c>
      <c r="D28" s="58">
        <v>10051.0</v>
      </c>
      <c r="E28" s="44">
        <v>0.41</v>
      </c>
      <c r="F28" s="45">
        <v>1249.0</v>
      </c>
      <c r="G28" s="46">
        <v>0.47</v>
      </c>
      <c r="H28" s="45">
        <v>784.0</v>
      </c>
      <c r="I28" s="46">
        <v>0.81</v>
      </c>
    </row>
    <row r="29" ht="14.25" customHeight="1">
      <c r="A29" s="63" t="s">
        <v>65</v>
      </c>
      <c r="B29" s="41">
        <v>12622.0</v>
      </c>
      <c r="C29" s="42">
        <v>0.09</v>
      </c>
      <c r="D29" s="58">
        <v>399.0</v>
      </c>
      <c r="E29" s="44">
        <v>0.02</v>
      </c>
      <c r="F29" s="45">
        <v>53.0</v>
      </c>
      <c r="G29" s="46">
        <v>0.02</v>
      </c>
      <c r="H29" s="45">
        <v>0.0</v>
      </c>
      <c r="I29" s="46">
        <v>0.0</v>
      </c>
    </row>
    <row r="30" ht="14.25" customHeight="1">
      <c r="A30" s="63" t="s">
        <v>66</v>
      </c>
      <c r="B30" s="41">
        <v>129.0</v>
      </c>
      <c r="C30" s="47" t="s">
        <v>43</v>
      </c>
      <c r="D30" s="58">
        <v>221.0</v>
      </c>
      <c r="E30" s="44">
        <v>0.01</v>
      </c>
      <c r="F30" s="45">
        <v>9.0</v>
      </c>
      <c r="G30" s="48" t="s">
        <v>43</v>
      </c>
      <c r="H30" s="45">
        <v>0.0</v>
      </c>
      <c r="I30" s="46">
        <v>0.0</v>
      </c>
    </row>
    <row r="31" ht="14.25" customHeight="1">
      <c r="A31" s="63" t="s">
        <v>67</v>
      </c>
      <c r="B31" s="41">
        <v>2976.0</v>
      </c>
      <c r="C31" s="47" t="s">
        <v>30</v>
      </c>
      <c r="D31" s="58">
        <v>276.0</v>
      </c>
      <c r="E31" s="47" t="s">
        <v>30</v>
      </c>
      <c r="F31" s="45">
        <v>9.0</v>
      </c>
      <c r="G31" s="48" t="s">
        <v>30</v>
      </c>
      <c r="H31" s="45">
        <v>0.0</v>
      </c>
      <c r="I31" s="50" t="s">
        <v>30</v>
      </c>
    </row>
    <row r="32" ht="14.25" customHeight="1">
      <c r="A32" s="63" t="s">
        <v>68</v>
      </c>
      <c r="B32" s="41">
        <v>237985.0</v>
      </c>
      <c r="C32" s="47" t="s">
        <v>30</v>
      </c>
      <c r="D32" s="58">
        <v>4772.0</v>
      </c>
      <c r="E32" s="47" t="s">
        <v>30</v>
      </c>
      <c r="F32" s="45">
        <v>565.0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44132.0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266.0</v>
      </c>
      <c r="L13" s="50">
        <v>154.0</v>
      </c>
      <c r="M13" s="50">
        <v>218.0</v>
      </c>
      <c r="N13" s="96">
        <v>1831.0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277.0</v>
      </c>
      <c r="L15" s="50">
        <v>201.0</v>
      </c>
      <c r="M15" s="50">
        <v>295.0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292.0</v>
      </c>
      <c r="K16" s="50">
        <v>199.0</v>
      </c>
      <c r="L16" s="50">
        <v>150.0</v>
      </c>
      <c r="M16" s="50">
        <v>218.0</v>
      </c>
      <c r="N16" s="96">
        <v>1995.0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35.0</v>
      </c>
      <c r="G23" s="50">
        <v>36.0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73.0</v>
      </c>
      <c r="H30" s="50">
        <v>123.0</v>
      </c>
      <c r="I30" s="50">
        <v>98.0</v>
      </c>
      <c r="J30" s="50">
        <v>87.0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37.0</v>
      </c>
      <c r="L31" s="50">
        <v>32.0</v>
      </c>
      <c r="M31" s="50">
        <v>28.0</v>
      </c>
      <c r="N31" s="50">
        <v>613.0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62.0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144.0</v>
      </c>
      <c r="G37" s="97">
        <v>63.0</v>
      </c>
      <c r="H37" s="97">
        <v>95.0</v>
      </c>
      <c r="I37" s="97">
        <v>74.0</v>
      </c>
      <c r="J37" s="97">
        <v>88.0</v>
      </c>
      <c r="K37" s="97">
        <v>50.0</v>
      </c>
      <c r="L37" s="97">
        <v>37.0</v>
      </c>
      <c r="M37" s="97">
        <v>49.0</v>
      </c>
      <c r="N37" s="97">
        <v>710.0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143.0</v>
      </c>
      <c r="I38" s="97">
        <v>88.0</v>
      </c>
      <c r="J38" s="97">
        <v>114.0</v>
      </c>
      <c r="K38" s="97">
        <v>66.0</v>
      </c>
      <c r="L38" s="97">
        <v>37.0</v>
      </c>
      <c r="M38" s="97">
        <v>45.0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263.0</v>
      </c>
      <c r="G39" s="97">
        <v>105.0</v>
      </c>
      <c r="H39" s="97">
        <v>166.0</v>
      </c>
      <c r="I39" s="97">
        <v>152.0</v>
      </c>
      <c r="J39" s="97">
        <v>193.0</v>
      </c>
      <c r="K39" s="97">
        <v>108.0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45.0</v>
      </c>
      <c r="E40" s="97">
        <v>90.0</v>
      </c>
      <c r="F40" s="97">
        <v>211.0</v>
      </c>
      <c r="G40" s="97">
        <v>155.0</v>
      </c>
      <c r="H40" s="97">
        <v>228.0</v>
      </c>
      <c r="I40" s="97">
        <v>203.0</v>
      </c>
      <c r="J40" s="97">
        <v>235.0</v>
      </c>
      <c r="K40" s="97">
        <v>172.0</v>
      </c>
      <c r="L40" s="97">
        <v>66.0</v>
      </c>
      <c r="M40" s="97">
        <v>51.0</v>
      </c>
      <c r="N40" s="97">
        <v>1529.0</v>
      </c>
    </row>
    <row r="41">
      <c r="A41" s="94" t="s">
        <v>112</v>
      </c>
      <c r="B41" s="97">
        <v>42.0</v>
      </c>
      <c r="C41" s="97">
        <v>58.0</v>
      </c>
      <c r="D41" s="97">
        <v>93.0</v>
      </c>
      <c r="E41" s="97">
        <v>118.0</v>
      </c>
      <c r="F41" s="97">
        <v>274.0</v>
      </c>
      <c r="G41" s="97">
        <v>271.0</v>
      </c>
      <c r="H41" s="97">
        <v>480.0</v>
      </c>
      <c r="I41" s="97">
        <v>386.0</v>
      </c>
      <c r="J41" s="97">
        <v>347.0</v>
      </c>
      <c r="K41" s="97">
        <v>239.0</v>
      </c>
      <c r="L41" s="97">
        <v>115.0</v>
      </c>
      <c r="M41" s="97">
        <v>65.0</v>
      </c>
      <c r="N41" s="97">
        <v>2488.0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113</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115</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116</v>
      </c>
      <c r="F9" s="50">
        <v>0.0</v>
      </c>
      <c r="G9" s="50">
        <v>0.0</v>
      </c>
      <c r="H9" s="50">
        <v>0.0</v>
      </c>
      <c r="I9" s="50" t="s">
        <v>116</v>
      </c>
      <c r="J9" s="50">
        <v>0.0</v>
      </c>
      <c r="K9" s="50" t="s">
        <v>116</v>
      </c>
      <c r="L9" s="50">
        <v>0.0</v>
      </c>
      <c r="M9" s="50">
        <v>0.0</v>
      </c>
      <c r="N9" s="50" t="s">
        <v>116</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116</v>
      </c>
      <c r="C10" s="50" t="s">
        <v>116</v>
      </c>
      <c r="D10" s="50">
        <v>0.0</v>
      </c>
      <c r="E10" s="50" t="s">
        <v>116</v>
      </c>
      <c r="F10" s="50">
        <v>0.0</v>
      </c>
      <c r="G10" s="50" t="s">
        <v>116</v>
      </c>
      <c r="H10" s="50" t="s">
        <v>116</v>
      </c>
      <c r="I10" s="50" t="s">
        <v>116</v>
      </c>
      <c r="J10" s="50" t="s">
        <v>116</v>
      </c>
      <c r="K10" s="50" t="s">
        <v>116</v>
      </c>
      <c r="L10" s="50" t="s">
        <v>116</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116</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116</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116</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116</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37.0</v>
      </c>
      <c r="G24" s="50">
        <v>47.0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116</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116</v>
      </c>
      <c r="C27" s="50" t="s">
        <v>116</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95.0</v>
      </c>
      <c r="H31" s="50">
        <v>91.0</v>
      </c>
      <c r="I31" s="50">
        <v>79.0</v>
      </c>
      <c r="J31" s="50">
        <v>58.0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127.0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152.0</v>
      </c>
      <c r="G38" s="97">
        <v>82.0</v>
      </c>
      <c r="H38" s="97">
        <v>70.0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106.0</v>
      </c>
      <c r="I39" s="97">
        <v>71.0</v>
      </c>
      <c r="J39" s="97">
        <v>76.0</v>
      </c>
      <c r="K39" s="97">
        <v>51.0</v>
      </c>
      <c r="L39" s="97">
        <v>49.0</v>
      </c>
      <c r="M39" s="97">
        <v>92.0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277.0</v>
      </c>
      <c r="G40" s="97">
        <v>137.0</v>
      </c>
      <c r="H40" s="97">
        <v>123.0</v>
      </c>
      <c r="I40" s="97">
        <v>122.0</v>
      </c>
      <c r="J40" s="97">
        <v>128.0</v>
      </c>
      <c r="K40" s="97">
        <v>83.0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76.0</v>
      </c>
      <c r="E41" s="97">
        <v>168.0</v>
      </c>
      <c r="F41" s="97">
        <v>222.0</v>
      </c>
      <c r="G41" s="97">
        <v>202.0</v>
      </c>
      <c r="H41" s="97">
        <v>168.0</v>
      </c>
      <c r="I41" s="97">
        <v>163.0</v>
      </c>
      <c r="J41" s="97">
        <v>156.0</v>
      </c>
      <c r="K41" s="97">
        <v>132.0</v>
      </c>
      <c r="L41" s="97">
        <v>88.0</v>
      </c>
      <c r="M41" s="97">
        <v>105.0</v>
      </c>
      <c r="N41" s="97">
        <v>145.0</v>
      </c>
    </row>
    <row r="42">
      <c r="A42" s="94" t="s">
        <v>112</v>
      </c>
      <c r="B42" s="97">
        <v>77.0</v>
      </c>
      <c r="C42" s="97">
        <v>105.0</v>
      </c>
      <c r="D42" s="97">
        <v>158.0</v>
      </c>
      <c r="E42" s="97">
        <v>221.0</v>
      </c>
      <c r="F42" s="97">
        <v>289.0</v>
      </c>
      <c r="G42" s="97">
        <v>354.0</v>
      </c>
      <c r="H42" s="97">
        <v>355.0</v>
      </c>
      <c r="I42" s="97">
        <v>309.0</v>
      </c>
      <c r="J42" s="97">
        <v>231.0</v>
      </c>
      <c r="K42" s="97">
        <v>184.0</v>
      </c>
      <c r="L42" s="97">
        <v>153.0</v>
      </c>
      <c r="M42" s="97">
        <v>133.0</v>
      </c>
      <c r="N42" s="97">
        <v>235.0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117</v>
      </c>
      <c r="H1" s="76"/>
      <c r="I1" s="76"/>
      <c r="J1" s="76"/>
      <c r="K1" s="76"/>
      <c r="L1" s="77"/>
    </row>
    <row r="2">
      <c r="A2" s="81" t="s">
        <v>74</v>
      </c>
      <c r="F2" s="78"/>
      <c r="G2" s="78"/>
      <c r="H2" s="78"/>
      <c r="I2" s="78"/>
      <c r="J2" s="78"/>
      <c r="K2" s="78"/>
      <c r="L2" s="82"/>
    </row>
    <row r="3">
      <c r="A3" s="81" t="s">
        <v>0</v>
      </c>
      <c r="B3" s="83">
        <v>44132.0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118</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119</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765.0</v>
      </c>
      <c r="H13" s="50">
        <v>10.0</v>
      </c>
      <c r="I13" s="50">
        <v>5.0</v>
      </c>
      <c r="J13" s="50">
        <v>12.0</v>
      </c>
      <c r="K13" s="50">
        <v>335.0</v>
      </c>
      <c r="L13" s="96">
        <v>1831.0</v>
      </c>
    </row>
    <row r="14">
      <c r="A14" s="94" t="s">
        <v>85</v>
      </c>
      <c r="B14" s="50">
        <v>742.0</v>
      </c>
      <c r="C14" s="50">
        <v>11.0</v>
      </c>
      <c r="D14" s="50">
        <v>24.0</v>
      </c>
      <c r="E14" s="50">
        <v>219.0</v>
      </c>
      <c r="F14" s="50">
        <v>0.0</v>
      </c>
      <c r="G14" s="50">
        <v>603.0</v>
      </c>
      <c r="H14" s="50">
        <v>10.0</v>
      </c>
      <c r="I14" s="50">
        <v>10.0</v>
      </c>
      <c r="J14" s="50">
        <v>23.0</v>
      </c>
      <c r="K14" s="50">
        <v>293.0</v>
      </c>
      <c r="L14" s="96">
        <v>1935.0</v>
      </c>
    </row>
    <row r="15">
      <c r="A15" s="94" t="s">
        <v>86</v>
      </c>
      <c r="B15" s="50">
        <v>948.0</v>
      </c>
      <c r="C15" s="50">
        <v>10.0</v>
      </c>
      <c r="D15" s="50">
        <v>23.0</v>
      </c>
      <c r="E15" s="50">
        <v>278.0</v>
      </c>
      <c r="F15" s="50">
        <v>0.0</v>
      </c>
      <c r="G15" s="50">
        <v>722.0</v>
      </c>
      <c r="H15" s="50">
        <v>21.0</v>
      </c>
      <c r="I15" s="50">
        <v>14.0</v>
      </c>
      <c r="J15" s="50">
        <v>36.0</v>
      </c>
      <c r="K15" s="50">
        <v>477.0</v>
      </c>
      <c r="L15" s="96">
        <v>2529.0</v>
      </c>
    </row>
    <row r="16">
      <c r="A16" s="94" t="s">
        <v>87</v>
      </c>
      <c r="B16" s="50">
        <v>749.0</v>
      </c>
      <c r="C16" s="50">
        <v>6.0</v>
      </c>
      <c r="D16" s="50">
        <v>42.0</v>
      </c>
      <c r="E16" s="50">
        <v>231.0</v>
      </c>
      <c r="F16" s="50">
        <v>0.0</v>
      </c>
      <c r="G16" s="50">
        <v>481.0</v>
      </c>
      <c r="H16" s="50">
        <v>18.0</v>
      </c>
      <c r="I16" s="50">
        <v>7.0</v>
      </c>
      <c r="J16" s="50">
        <v>26.0</v>
      </c>
      <c r="K16" s="50">
        <v>435.0</v>
      </c>
      <c r="L16" s="96">
        <v>1995.0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158.0</v>
      </c>
      <c r="C23" s="50" t="s">
        <v>44</v>
      </c>
      <c r="D23" s="50" t="s">
        <v>44</v>
      </c>
      <c r="E23" s="50">
        <v>33.0</v>
      </c>
      <c r="F23" s="50">
        <v>0.0</v>
      </c>
      <c r="G23" s="50">
        <v>107.0</v>
      </c>
      <c r="H23" s="50" t="s">
        <v>44</v>
      </c>
      <c r="I23" s="50">
        <v>0.0</v>
      </c>
      <c r="J23" s="50" t="s">
        <v>44</v>
      </c>
      <c r="K23" s="50">
        <v>48.0</v>
      </c>
      <c r="L23" s="50">
        <v>354.0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323.0</v>
      </c>
      <c r="C30" s="50" t="s">
        <v>44</v>
      </c>
      <c r="D30" s="50">
        <v>15.0</v>
      </c>
      <c r="E30" s="50">
        <v>82.0</v>
      </c>
      <c r="F30" s="50">
        <v>0.0</v>
      </c>
      <c r="G30" s="50">
        <v>204.0</v>
      </c>
      <c r="H30" s="50">
        <v>6.0</v>
      </c>
      <c r="I30" s="50">
        <v>8.0</v>
      </c>
      <c r="J30" s="50" t="s">
        <v>44</v>
      </c>
      <c r="K30" s="50">
        <v>53.0</v>
      </c>
      <c r="L30" s="50">
        <v>697.0</v>
      </c>
    </row>
    <row r="31">
      <c r="A31" s="94" t="s">
        <v>102</v>
      </c>
      <c r="B31" s="50">
        <v>305.0</v>
      </c>
      <c r="C31" s="50">
        <v>0.0</v>
      </c>
      <c r="D31" s="50">
        <v>8.0</v>
      </c>
      <c r="E31" s="50">
        <v>41.0</v>
      </c>
      <c r="F31" s="50">
        <v>0.0</v>
      </c>
      <c r="G31" s="50">
        <v>190.0</v>
      </c>
      <c r="H31" s="50">
        <v>9.0</v>
      </c>
      <c r="I31" s="50">
        <v>7.0</v>
      </c>
      <c r="J31" s="50" t="s">
        <v>44</v>
      </c>
      <c r="K31" s="50">
        <v>50.0</v>
      </c>
      <c r="L31" s="50">
        <v>613.0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v>5.0</v>
      </c>
      <c r="E35" s="97">
        <v>64.0</v>
      </c>
      <c r="F35" s="97">
        <v>0.0</v>
      </c>
      <c r="G35" s="97">
        <v>225.0</v>
      </c>
      <c r="H35" s="97">
        <v>10.0</v>
      </c>
      <c r="I35" s="97" t="s">
        <v>44</v>
      </c>
      <c r="J35" s="97" t="s">
        <v>44</v>
      </c>
      <c r="K35" s="97">
        <v>58.0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225.0</v>
      </c>
      <c r="C37" s="105" t="s">
        <v>44</v>
      </c>
      <c r="D37" s="105">
        <v>8.0</v>
      </c>
      <c r="E37" s="105">
        <v>68.0</v>
      </c>
      <c r="F37" s="105">
        <v>0.0</v>
      </c>
      <c r="G37" s="105">
        <v>320.0</v>
      </c>
      <c r="H37" s="105">
        <v>13.0</v>
      </c>
      <c r="I37" s="105">
        <v>10.0</v>
      </c>
      <c r="J37" s="105">
        <v>7.0</v>
      </c>
      <c r="K37" s="105">
        <v>58.0</v>
      </c>
      <c r="L37" s="105">
        <v>710.0</v>
      </c>
    </row>
    <row r="38">
      <c r="A38" s="94" t="s">
        <v>109</v>
      </c>
      <c r="B38" s="105">
        <v>272.0</v>
      </c>
      <c r="C38" s="105" t="s">
        <v>44</v>
      </c>
      <c r="D38" s="105">
        <v>8.0</v>
      </c>
      <c r="E38" s="105">
        <v>90.0</v>
      </c>
      <c r="F38" s="105">
        <v>0.0</v>
      </c>
      <c r="G38" s="105">
        <v>452.0</v>
      </c>
      <c r="H38" s="105">
        <v>22.0</v>
      </c>
      <c r="I38" s="105">
        <v>13.0</v>
      </c>
      <c r="J38" s="105">
        <v>7.0</v>
      </c>
      <c r="K38" s="105">
        <v>94.0</v>
      </c>
      <c r="L38" s="105">
        <v>959.0</v>
      </c>
    </row>
    <row r="39">
      <c r="A39" s="94" t="s">
        <v>110</v>
      </c>
      <c r="B39" s="105">
        <v>336.0</v>
      </c>
      <c r="C39" s="105">
        <v>6.0</v>
      </c>
      <c r="D39" s="105">
        <v>8.0</v>
      </c>
      <c r="E39" s="105">
        <v>102.0</v>
      </c>
      <c r="F39" s="105">
        <v>0.0</v>
      </c>
      <c r="G39" s="105">
        <v>597.0</v>
      </c>
      <c r="H39" s="105">
        <v>20.0</v>
      </c>
      <c r="I39" s="105">
        <v>11.0</v>
      </c>
      <c r="J39" s="105">
        <v>16.0</v>
      </c>
      <c r="K39" s="105">
        <v>128.0</v>
      </c>
      <c r="L39" s="105">
        <v>1224.0</v>
      </c>
    </row>
    <row r="40">
      <c r="A40" s="94" t="s">
        <v>111</v>
      </c>
      <c r="B40" s="105">
        <v>407.0</v>
      </c>
      <c r="C40" s="105">
        <v>5.0</v>
      </c>
      <c r="D40" s="105">
        <v>13.0</v>
      </c>
      <c r="E40" s="105">
        <v>86.0</v>
      </c>
      <c r="F40" s="105">
        <v>0.0</v>
      </c>
      <c r="G40" s="105">
        <v>627.0</v>
      </c>
      <c r="H40" s="105">
        <v>23.0</v>
      </c>
      <c r="I40" s="105">
        <v>10.0</v>
      </c>
      <c r="J40" s="105">
        <v>16.0</v>
      </c>
      <c r="K40" s="105">
        <v>342.0</v>
      </c>
      <c r="L40" s="105">
        <v>1529.0</v>
      </c>
    </row>
    <row r="41">
      <c r="A41" s="94" t="s">
        <v>112</v>
      </c>
      <c r="B41" s="105">
        <v>616.0</v>
      </c>
      <c r="C41" s="105">
        <v>6.0</v>
      </c>
      <c r="D41" s="105">
        <v>28.0</v>
      </c>
      <c r="E41" s="105">
        <v>119.0</v>
      </c>
      <c r="F41" s="105">
        <v>0.0</v>
      </c>
      <c r="G41" s="105">
        <v>784.0</v>
      </c>
      <c r="H41" s="105">
        <v>35.0</v>
      </c>
      <c r="I41" s="105">
        <v>18.0</v>
      </c>
      <c r="J41" s="105">
        <v>27.0</v>
      </c>
      <c r="K41" s="105">
        <v>855.0</v>
      </c>
      <c r="L41" s="105">
        <v>2488.0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120</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121</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44132.0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122</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119</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115</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116</v>
      </c>
      <c r="H9" s="50" t="s">
        <v>116</v>
      </c>
      <c r="I9" s="50">
        <v>0.0</v>
      </c>
      <c r="J9" s="50" t="s">
        <v>116</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116</v>
      </c>
      <c r="C10" s="50">
        <v>0.0</v>
      </c>
      <c r="D10" s="50" t="s">
        <v>116</v>
      </c>
      <c r="E10" s="50">
        <v>0.0</v>
      </c>
      <c r="F10" s="50">
        <v>0.0</v>
      </c>
      <c r="G10" s="50">
        <v>1.0</v>
      </c>
      <c r="H10" s="50" t="s">
        <v>116</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116</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116</v>
      </c>
      <c r="D12" s="50" t="s">
        <v>116</v>
      </c>
      <c r="E12" s="50">
        <v>29.0</v>
      </c>
      <c r="F12" s="50">
        <v>0.0</v>
      </c>
      <c r="G12" s="50">
        <v>11.0</v>
      </c>
      <c r="H12" s="50" t="s">
        <v>116</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116</v>
      </c>
      <c r="D13" s="50" t="s">
        <v>116</v>
      </c>
      <c r="E13" s="50">
        <v>95.0</v>
      </c>
      <c r="F13" s="50">
        <v>0.0</v>
      </c>
      <c r="G13" s="50">
        <v>33.0</v>
      </c>
      <c r="H13" s="50">
        <v>71.0</v>
      </c>
      <c r="I13" s="50" t="s">
        <v>116</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597.0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116</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116</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116</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116</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116</v>
      </c>
      <c r="I22" s="50" t="s">
        <v>116</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116</v>
      </c>
      <c r="D23" s="50">
        <v>37.0</v>
      </c>
      <c r="E23" s="50">
        <v>80.0</v>
      </c>
      <c r="F23" s="50">
        <v>0.0</v>
      </c>
      <c r="G23" s="50">
        <v>18.0</v>
      </c>
      <c r="H23" s="50">
        <v>113.0</v>
      </c>
      <c r="I23" s="50" t="s">
        <v>116</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116</v>
      </c>
      <c r="D24" s="50" t="s">
        <v>116</v>
      </c>
      <c r="E24" s="50">
        <v>56.0</v>
      </c>
      <c r="F24" s="50">
        <v>0.0</v>
      </c>
      <c r="G24" s="50">
        <v>14.0</v>
      </c>
      <c r="H24" s="50" t="s">
        <v>116</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116</v>
      </c>
      <c r="D25" s="50" t="s">
        <v>116</v>
      </c>
      <c r="E25" s="50">
        <v>81.0</v>
      </c>
      <c r="F25" s="50">
        <v>0.0</v>
      </c>
      <c r="G25" s="50">
        <v>16.0</v>
      </c>
      <c r="H25" s="50" t="s">
        <v>116</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116</v>
      </c>
      <c r="D26" s="50">
        <v>31.0</v>
      </c>
      <c r="E26" s="50">
        <v>46.0</v>
      </c>
      <c r="F26" s="50">
        <v>0.0</v>
      </c>
      <c r="G26" s="50">
        <v>13.0</v>
      </c>
      <c r="H26" s="50" t="s">
        <v>116</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116</v>
      </c>
      <c r="D27" s="50">
        <v>26.0</v>
      </c>
      <c r="E27" s="50">
        <v>49.0</v>
      </c>
      <c r="F27" s="50">
        <v>0.0</v>
      </c>
      <c r="G27" s="50">
        <v>20.0</v>
      </c>
      <c r="H27" s="50">
        <v>85.0</v>
      </c>
      <c r="I27" s="50" t="s">
        <v>116</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116</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116</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116</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203.0</v>
      </c>
      <c r="C31" s="50" t="s">
        <v>116</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116</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116</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116</v>
      </c>
      <c r="D35" s="97">
        <v>46.0</v>
      </c>
      <c r="E35" s="97">
        <v>88.0</v>
      </c>
      <c r="F35" s="97">
        <v>0.0</v>
      </c>
      <c r="G35" s="97">
        <v>19.0</v>
      </c>
      <c r="H35" s="97">
        <v>113.0</v>
      </c>
      <c r="I35" s="97" t="s">
        <v>116</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116</v>
      </c>
      <c r="D36" s="97">
        <v>14.0</v>
      </c>
      <c r="E36" s="97">
        <v>108.0</v>
      </c>
      <c r="F36" s="97">
        <v>0.0</v>
      </c>
      <c r="G36" s="97">
        <v>29.0</v>
      </c>
      <c r="H36" s="97">
        <v>141.0</v>
      </c>
      <c r="I36" s="97" t="s">
        <v>116</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116</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116</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171.0</v>
      </c>
      <c r="C39" s="105" t="s">
        <v>116</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162.0</v>
      </c>
      <c r="D40" s="105">
        <v>23.0</v>
      </c>
      <c r="E40" s="105">
        <v>173.0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256.0</v>
      </c>
      <c r="C41" s="105">
        <v>135.0</v>
      </c>
      <c r="D41" s="105">
        <v>37.0</v>
      </c>
      <c r="E41" s="105">
        <v>146.0</v>
      </c>
      <c r="F41" s="105">
        <v>0.0</v>
      </c>
      <c r="G41" s="105">
        <v>82.0</v>
      </c>
      <c r="H41" s="105">
        <v>324.0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388.0</v>
      </c>
      <c r="C42" s="105">
        <v>162.0</v>
      </c>
      <c r="D42" s="105">
        <v>80.0</v>
      </c>
      <c r="E42" s="105">
        <v>202.0</v>
      </c>
      <c r="F42" s="105">
        <v>0.0</v>
      </c>
      <c r="G42" s="105">
        <v>102.0</v>
      </c>
      <c r="H42" s="105">
        <v>494.0</v>
      </c>
      <c r="I42" s="105">
        <v>74.0</v>
      </c>
      <c r="J42" s="105">
        <v>235.0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123</v>
      </c>
      <c r="B1" s="115" t="s">
        <v>124</v>
      </c>
      <c r="C1" s="115" t="s">
        <v>125</v>
      </c>
      <c r="D1" s="115" t="s">
        <v>126</v>
      </c>
      <c r="E1" s="115" t="s">
        <v>127</v>
      </c>
      <c r="F1" s="115" t="s">
        <v>25</v>
      </c>
      <c r="G1" s="115" t="s">
        <v>128</v>
      </c>
    </row>
    <row r="2" ht="14.25" customHeight="1">
      <c r="A2" s="116" t="s">
        <v>129</v>
      </c>
      <c r="B2" s="117">
        <v>121.0</v>
      </c>
      <c r="C2" s="118">
        <v>748.0</v>
      </c>
      <c r="D2" s="119">
        <v>11.0</v>
      </c>
      <c r="E2" s="118">
        <v>68.0</v>
      </c>
      <c r="F2" s="118">
        <v>0.0</v>
      </c>
      <c r="G2" s="118">
        <v>0.0</v>
      </c>
    </row>
    <row r="3" ht="14.25" customHeight="1">
      <c r="A3" s="116" t="s">
        <v>130</v>
      </c>
      <c r="B3" s="117">
        <v>289.0</v>
      </c>
      <c r="C3" s="118">
        <v>1300.0</v>
      </c>
      <c r="D3" s="119">
        <v>18.0</v>
      </c>
      <c r="E3" s="118">
        <v>81.0</v>
      </c>
      <c r="F3" s="118">
        <v>9.0</v>
      </c>
      <c r="G3" s="118">
        <v>40.0</v>
      </c>
    </row>
    <row r="4" ht="14.25" customHeight="1">
      <c r="A4" s="116" t="s">
        <v>131</v>
      </c>
      <c r="B4" s="117">
        <v>214.0</v>
      </c>
      <c r="C4" s="118">
        <v>1301.0</v>
      </c>
      <c r="D4" s="119">
        <v>22.0</v>
      </c>
      <c r="E4" s="118">
        <v>134.0</v>
      </c>
      <c r="F4" s="118">
        <v>22.0</v>
      </c>
      <c r="G4" s="118">
        <v>134.0</v>
      </c>
    </row>
    <row r="5" ht="14.25" customHeight="1">
      <c r="A5" s="116" t="s">
        <v>132</v>
      </c>
      <c r="B5" s="117">
        <v>1641.0</v>
      </c>
      <c r="C5" s="118">
        <v>8467.0</v>
      </c>
      <c r="D5" s="119">
        <v>112.0</v>
      </c>
      <c r="E5" s="118">
        <v>578.0</v>
      </c>
      <c r="F5" s="118">
        <v>12.0</v>
      </c>
      <c r="G5" s="118">
        <v>62.0</v>
      </c>
    </row>
    <row r="6" ht="14.25" customHeight="1">
      <c r="A6" s="116" t="s">
        <v>133</v>
      </c>
      <c r="B6" s="117">
        <v>51.0</v>
      </c>
      <c r="C6" s="118">
        <v>656.0</v>
      </c>
      <c r="D6" s="119">
        <v>5.0</v>
      </c>
      <c r="E6" s="118">
        <v>64.0</v>
      </c>
      <c r="F6" s="118" t="s">
        <v>44</v>
      </c>
      <c r="G6" s="118" t="s">
        <v>30</v>
      </c>
    </row>
    <row r="7" ht="14.25" customHeight="1">
      <c r="A7" s="116" t="s">
        <v>134</v>
      </c>
      <c r="B7" s="117">
        <v>482.0</v>
      </c>
      <c r="C7" s="118">
        <v>1394.0</v>
      </c>
      <c r="D7" s="119">
        <v>48.0</v>
      </c>
      <c r="E7" s="118">
        <v>139.0</v>
      </c>
      <c r="F7" s="118">
        <v>20.0</v>
      </c>
      <c r="G7" s="118">
        <v>58.0</v>
      </c>
    </row>
    <row r="8" ht="14.25" customHeight="1">
      <c r="A8" s="116" t="s">
        <v>135</v>
      </c>
      <c r="B8" s="117">
        <v>2130.0</v>
      </c>
      <c r="C8" s="118">
        <v>2623.0</v>
      </c>
      <c r="D8" s="119">
        <v>197.0</v>
      </c>
      <c r="E8" s="118">
        <v>243.0</v>
      </c>
      <c r="F8" s="118">
        <v>33.0</v>
      </c>
      <c r="G8" s="118">
        <v>41.0</v>
      </c>
    </row>
    <row r="9" ht="14.25" customHeight="1">
      <c r="A9" s="116" t="s">
        <v>136</v>
      </c>
      <c r="B9" s="117">
        <v>672.0</v>
      </c>
      <c r="C9" s="118">
        <v>1939.0</v>
      </c>
      <c r="D9" s="119">
        <v>74.0</v>
      </c>
      <c r="E9" s="118">
        <v>214.0</v>
      </c>
      <c r="F9" s="118">
        <v>38.0</v>
      </c>
      <c r="G9" s="118">
        <v>110.0</v>
      </c>
    </row>
    <row r="10" ht="14.25" customHeight="1">
      <c r="A10" s="116" t="s">
        <v>137</v>
      </c>
      <c r="B10" s="117">
        <v>208.0</v>
      </c>
      <c r="C10" s="118">
        <v>1591.0</v>
      </c>
      <c r="D10" s="119">
        <v>13.0</v>
      </c>
      <c r="E10" s="118">
        <v>99.0</v>
      </c>
      <c r="F10" s="118" t="s">
        <v>44</v>
      </c>
      <c r="G10" s="118" t="s">
        <v>30</v>
      </c>
    </row>
    <row r="11" ht="14.25" customHeight="1">
      <c r="A11" s="116" t="s">
        <v>138</v>
      </c>
      <c r="B11" s="117">
        <v>1090.0</v>
      </c>
      <c r="C11" s="118">
        <v>2297.0</v>
      </c>
      <c r="D11" s="119">
        <v>105.0</v>
      </c>
      <c r="E11" s="118">
        <v>221.0</v>
      </c>
      <c r="F11" s="118">
        <v>113.0</v>
      </c>
      <c r="G11" s="118">
        <v>238.0</v>
      </c>
    </row>
    <row r="12" ht="14.25" customHeight="1">
      <c r="A12" s="116" t="s">
        <v>139</v>
      </c>
      <c r="B12" s="117">
        <v>63.0</v>
      </c>
      <c r="C12" s="118">
        <v>929.0</v>
      </c>
      <c r="D12" s="119">
        <v>8.0</v>
      </c>
      <c r="E12" s="118">
        <v>118.0</v>
      </c>
      <c r="F12" s="118" t="s">
        <v>44</v>
      </c>
      <c r="G12" s="118" t="s">
        <v>30</v>
      </c>
    </row>
    <row r="13" ht="14.25" customHeight="1">
      <c r="A13" s="116" t="s">
        <v>140</v>
      </c>
      <c r="B13" s="117">
        <v>48.0</v>
      </c>
      <c r="C13" s="118">
        <v>1024.0</v>
      </c>
      <c r="D13" s="119" t="s">
        <v>44</v>
      </c>
      <c r="E13" s="118" t="s">
        <v>30</v>
      </c>
      <c r="F13" s="118">
        <v>0.0</v>
      </c>
      <c r="G13" s="118">
        <v>0.0</v>
      </c>
    </row>
    <row r="14" ht="14.25" customHeight="1">
      <c r="A14" s="116" t="s">
        <v>141</v>
      </c>
      <c r="B14" s="117">
        <v>92.0</v>
      </c>
      <c r="C14" s="118">
        <v>914.0</v>
      </c>
      <c r="D14" s="119">
        <v>7.0</v>
      </c>
      <c r="E14" s="118">
        <v>70.0</v>
      </c>
      <c r="F14" s="118">
        <v>0.0</v>
      </c>
      <c r="G14" s="118">
        <v>0.0</v>
      </c>
    </row>
    <row r="15" ht="14.25" customHeight="1">
      <c r="A15" s="116" t="s">
        <v>142</v>
      </c>
      <c r="B15" s="117">
        <v>24.0</v>
      </c>
      <c r="C15" s="118">
        <v>296.0</v>
      </c>
      <c r="D15" s="119" t="s">
        <v>44</v>
      </c>
      <c r="E15" s="118" t="s">
        <v>30</v>
      </c>
      <c r="F15" s="118" t="s">
        <v>44</v>
      </c>
      <c r="G15" s="118" t="s">
        <v>30</v>
      </c>
    </row>
    <row r="16" ht="14.25" customHeight="1">
      <c r="A16" s="116" t="s">
        <v>143</v>
      </c>
      <c r="B16" s="117">
        <v>42.0</v>
      </c>
      <c r="C16" s="118">
        <v>764.0</v>
      </c>
      <c r="D16" s="119" t="s">
        <v>44</v>
      </c>
      <c r="E16" s="118" t="s">
        <v>30</v>
      </c>
      <c r="F16" s="118">
        <v>0.0</v>
      </c>
      <c r="G16" s="118">
        <v>0.0</v>
      </c>
    </row>
    <row r="17" ht="14.25" customHeight="1">
      <c r="A17" s="116" t="s">
        <v>144</v>
      </c>
      <c r="B17" s="117">
        <v>902.0</v>
      </c>
      <c r="C17" s="118">
        <v>3085.0</v>
      </c>
      <c r="D17" s="119">
        <v>88.0</v>
      </c>
      <c r="E17" s="118">
        <v>301.0</v>
      </c>
      <c r="F17" s="118">
        <v>90.0</v>
      </c>
      <c r="G17" s="118">
        <v>308.0</v>
      </c>
    </row>
    <row r="18" ht="14.25" customHeight="1">
      <c r="A18" s="116" t="s">
        <v>145</v>
      </c>
      <c r="B18" s="117">
        <v>472.0</v>
      </c>
      <c r="C18" s="118">
        <v>2181.0</v>
      </c>
      <c r="D18" s="119">
        <v>43.0</v>
      </c>
      <c r="E18" s="118">
        <v>199.0</v>
      </c>
      <c r="F18" s="118">
        <v>37.0</v>
      </c>
      <c r="G18" s="118">
        <v>171.0</v>
      </c>
    </row>
    <row r="19" ht="14.25" customHeight="1">
      <c r="A19" s="116" t="s">
        <v>146</v>
      </c>
      <c r="B19" s="117">
        <v>22.0</v>
      </c>
      <c r="C19" s="118">
        <v>628.0</v>
      </c>
      <c r="D19" s="119">
        <v>0.0</v>
      </c>
      <c r="E19" s="118">
        <v>0.0</v>
      </c>
      <c r="F19" s="118" t="s">
        <v>44</v>
      </c>
      <c r="G19" s="118" t="s">
        <v>30</v>
      </c>
    </row>
    <row r="20" ht="14.25" customHeight="1">
      <c r="A20" s="116" t="s">
        <v>147</v>
      </c>
      <c r="B20" s="117">
        <v>101.0</v>
      </c>
      <c r="C20" s="118">
        <v>628.0</v>
      </c>
      <c r="D20" s="119">
        <v>8.0</v>
      </c>
      <c r="E20" s="118">
        <v>50.0</v>
      </c>
      <c r="F20" s="118" t="s">
        <v>44</v>
      </c>
      <c r="G20" s="118" t="s">
        <v>30</v>
      </c>
    </row>
    <row r="21" ht="14.25" customHeight="1">
      <c r="A21" s="116" t="s">
        <v>148</v>
      </c>
      <c r="B21" s="117">
        <v>362.0</v>
      </c>
      <c r="C21" s="118">
        <v>2328.0</v>
      </c>
      <c r="D21" s="119">
        <v>9.0</v>
      </c>
      <c r="E21" s="118">
        <v>58.0</v>
      </c>
      <c r="F21" s="118">
        <v>0.0</v>
      </c>
      <c r="G21" s="118">
        <v>0.0</v>
      </c>
    </row>
    <row r="22" ht="14.25" customHeight="1">
      <c r="A22" s="116" t="s">
        <v>149</v>
      </c>
      <c r="B22" s="117">
        <v>7.0</v>
      </c>
      <c r="C22" s="118">
        <v>846.0</v>
      </c>
      <c r="D22" s="119">
        <v>0.0</v>
      </c>
      <c r="E22" s="118">
        <v>0.0</v>
      </c>
      <c r="F22" s="118">
        <v>0.0</v>
      </c>
      <c r="G22" s="118">
        <v>0.0</v>
      </c>
    </row>
    <row r="23" ht="14.25" customHeight="1">
      <c r="A23" s="116" t="s">
        <v>150</v>
      </c>
      <c r="B23" s="117">
        <v>222.0</v>
      </c>
      <c r="C23" s="118">
        <v>897.0</v>
      </c>
      <c r="D23" s="119">
        <v>18.0</v>
      </c>
      <c r="E23" s="118">
        <v>73.0</v>
      </c>
      <c r="F23" s="118" t="s">
        <v>44</v>
      </c>
      <c r="G23" s="118" t="s">
        <v>30</v>
      </c>
    </row>
    <row r="24" ht="14.25" customHeight="1">
      <c r="A24" s="116" t="s">
        <v>151</v>
      </c>
      <c r="B24" s="117">
        <v>394.0</v>
      </c>
      <c r="C24" s="118">
        <v>1503.0</v>
      </c>
      <c r="D24" s="119">
        <v>38.0</v>
      </c>
      <c r="E24" s="118">
        <v>145.0</v>
      </c>
      <c r="F24" s="118">
        <v>53.0</v>
      </c>
      <c r="G24" s="118">
        <v>202.0</v>
      </c>
    </row>
    <row r="25" ht="15.75" customHeight="1">
      <c r="A25" s="116" t="s">
        <v>152</v>
      </c>
      <c r="B25" s="117">
        <v>1246.0</v>
      </c>
      <c r="C25" s="118">
        <v>3839.0</v>
      </c>
      <c r="D25" s="119">
        <v>137.0</v>
      </c>
      <c r="E25" s="118">
        <v>422.0</v>
      </c>
      <c r="F25" s="118">
        <v>81.0</v>
      </c>
      <c r="G25" s="118">
        <v>250.0</v>
      </c>
    </row>
    <row r="26" ht="14.25" customHeight="1">
      <c r="A26" s="116" t="s">
        <v>153</v>
      </c>
      <c r="B26" s="117">
        <v>226.0</v>
      </c>
      <c r="C26" s="118">
        <v>1830.0</v>
      </c>
      <c r="D26" s="119">
        <v>22.0</v>
      </c>
      <c r="E26" s="118">
        <v>178.0</v>
      </c>
      <c r="F26" s="118">
        <v>28.0</v>
      </c>
      <c r="G26" s="118">
        <v>227.0</v>
      </c>
    </row>
    <row r="27" ht="14.25" customHeight="1">
      <c r="A27" s="116" t="s">
        <v>154</v>
      </c>
      <c r="B27" s="117">
        <v>3060.0</v>
      </c>
      <c r="C27" s="118">
        <v>4264.0</v>
      </c>
      <c r="D27" s="119">
        <v>243.0</v>
      </c>
      <c r="E27" s="118">
        <v>339.0</v>
      </c>
      <c r="F27" s="118">
        <v>54.0</v>
      </c>
      <c r="G27" s="118">
        <v>75.0</v>
      </c>
    </row>
    <row r="28" ht="14.25" customHeight="1">
      <c r="A28" s="116" t="s">
        <v>155</v>
      </c>
      <c r="B28" s="117">
        <v>109.0</v>
      </c>
      <c r="C28" s="118">
        <v>626.0</v>
      </c>
      <c r="D28" s="119" t="s">
        <v>44</v>
      </c>
      <c r="E28" s="118" t="s">
        <v>30</v>
      </c>
      <c r="F28" s="118">
        <v>0.0</v>
      </c>
      <c r="G28" s="118">
        <v>0.0</v>
      </c>
    </row>
    <row r="29" ht="14.25" customHeight="1">
      <c r="A29" s="116" t="s">
        <v>156</v>
      </c>
      <c r="B29" s="117">
        <v>9901.0</v>
      </c>
      <c r="C29" s="118">
        <v>5518.0</v>
      </c>
      <c r="D29" s="119">
        <v>982.0</v>
      </c>
      <c r="E29" s="118">
        <v>547.0</v>
      </c>
      <c r="F29" s="118">
        <v>301.0</v>
      </c>
      <c r="G29" s="118">
        <v>168.0</v>
      </c>
    </row>
    <row r="30" ht="14.25" customHeight="1">
      <c r="A30" s="116" t="s">
        <v>157</v>
      </c>
      <c r="B30" s="117">
        <v>42.0</v>
      </c>
      <c r="C30" s="118">
        <v>551.0</v>
      </c>
      <c r="D30" s="119">
        <v>6.0</v>
      </c>
      <c r="E30" s="118">
        <v>79.0</v>
      </c>
      <c r="F30" s="118">
        <v>0.0</v>
      </c>
      <c r="G30" s="118">
        <v>0.0</v>
      </c>
    </row>
    <row r="31" ht="14.25" customHeight="1">
      <c r="A31" s="116" t="s">
        <v>158</v>
      </c>
      <c r="B31" s="117">
        <v>97.0</v>
      </c>
      <c r="C31" s="118">
        <v>915.0</v>
      </c>
      <c r="D31" s="119" t="s">
        <v>44</v>
      </c>
      <c r="E31" s="118" t="s">
        <v>30</v>
      </c>
      <c r="F31" s="118" t="s">
        <v>44</v>
      </c>
      <c r="G31" s="118" t="s">
        <v>30</v>
      </c>
    </row>
    <row r="32" ht="14.25" customHeight="1">
      <c r="A32" s="116" t="s">
        <v>159</v>
      </c>
      <c r="B32" s="117">
        <v>482.0</v>
      </c>
      <c r="C32" s="118">
        <v>2228.0</v>
      </c>
      <c r="D32" s="119">
        <v>77.0</v>
      </c>
      <c r="E32" s="118">
        <v>356.0</v>
      </c>
      <c r="F32" s="118">
        <v>56.0</v>
      </c>
      <c r="G32" s="118">
        <v>259.0</v>
      </c>
    </row>
    <row r="33" ht="14.25" customHeight="1">
      <c r="A33" s="116" t="s">
        <v>160</v>
      </c>
      <c r="B33" s="117">
        <v>207.0</v>
      </c>
      <c r="C33" s="118">
        <v>673.0</v>
      </c>
      <c r="D33" s="119">
        <v>17.0</v>
      </c>
      <c r="E33" s="118">
        <v>55.0</v>
      </c>
      <c r="F33" s="118">
        <v>19.0</v>
      </c>
      <c r="G33" s="118">
        <v>62.0</v>
      </c>
    </row>
    <row r="34" ht="14.25" customHeight="1">
      <c r="A34" s="116" t="s">
        <v>161</v>
      </c>
      <c r="B34" s="117">
        <v>182.0</v>
      </c>
      <c r="C34" s="118">
        <v>1151.0</v>
      </c>
      <c r="D34" s="119" t="s">
        <v>44</v>
      </c>
      <c r="E34" s="118" t="s">
        <v>30</v>
      </c>
      <c r="F34" s="118">
        <v>5.0</v>
      </c>
      <c r="G34" s="118">
        <v>32.0</v>
      </c>
    </row>
    <row r="35" ht="14.25" customHeight="1">
      <c r="A35" s="116" t="s">
        <v>162</v>
      </c>
      <c r="B35" s="117">
        <v>148.0</v>
      </c>
      <c r="C35" s="118">
        <v>1411.0</v>
      </c>
      <c r="D35" s="119">
        <v>12.0</v>
      </c>
      <c r="E35" s="118">
        <v>114.0</v>
      </c>
      <c r="F35" s="118">
        <v>10.0</v>
      </c>
      <c r="G35" s="118">
        <v>95.0</v>
      </c>
    </row>
    <row r="36" ht="14.25" customHeight="1">
      <c r="A36" s="116" t="s">
        <v>163</v>
      </c>
      <c r="B36" s="117">
        <v>1257.0</v>
      </c>
      <c r="C36" s="118">
        <v>1550.0</v>
      </c>
      <c r="D36" s="119">
        <v>103.0</v>
      </c>
      <c r="E36" s="118">
        <v>127.0</v>
      </c>
      <c r="F36" s="118">
        <v>78.0</v>
      </c>
      <c r="G36" s="118">
        <v>96.0</v>
      </c>
    </row>
    <row r="37" ht="14.25" customHeight="1">
      <c r="A37" s="116" t="s">
        <v>164</v>
      </c>
      <c r="B37" s="117">
        <v>69.0</v>
      </c>
      <c r="C37" s="118">
        <v>1117.0</v>
      </c>
      <c r="D37" s="119" t="s">
        <v>44</v>
      </c>
      <c r="E37" s="118" t="s">
        <v>30</v>
      </c>
      <c r="F37" s="118">
        <v>0.0</v>
      </c>
      <c r="G37" s="118">
        <v>0.0</v>
      </c>
    </row>
    <row r="38" ht="14.25" customHeight="1">
      <c r="A38" s="116" t="s">
        <v>165</v>
      </c>
      <c r="B38" s="117">
        <v>550.0</v>
      </c>
      <c r="C38" s="118">
        <v>1899.0</v>
      </c>
      <c r="D38" s="119">
        <v>51.0</v>
      </c>
      <c r="E38" s="118">
        <v>176.0</v>
      </c>
      <c r="F38" s="118">
        <v>22.0</v>
      </c>
      <c r="G38" s="118">
        <v>76.0</v>
      </c>
    </row>
    <row r="39" ht="14.25" customHeight="1">
      <c r="A39" s="116" t="s">
        <v>166</v>
      </c>
      <c r="B39" s="117">
        <v>185.0</v>
      </c>
      <c r="C39" s="118">
        <v>818.0</v>
      </c>
      <c r="D39" s="119">
        <v>11.0</v>
      </c>
      <c r="E39" s="118">
        <v>49.0</v>
      </c>
      <c r="F39" s="118" t="s">
        <v>44</v>
      </c>
      <c r="G39" s="118" t="s">
        <v>30</v>
      </c>
    </row>
    <row r="40" ht="14.25" customHeight="1">
      <c r="A40" s="116" t="s">
        <v>167</v>
      </c>
      <c r="B40" s="117">
        <v>1047.0</v>
      </c>
      <c r="C40" s="118">
        <v>2521.0</v>
      </c>
      <c r="D40" s="119">
        <v>124.0</v>
      </c>
      <c r="E40" s="118">
        <v>299.0</v>
      </c>
      <c r="F40" s="118">
        <v>85.0</v>
      </c>
      <c r="G40" s="118">
        <v>205.0</v>
      </c>
    </row>
    <row r="41" ht="14.25" customHeight="1">
      <c r="A41" s="116" t="s">
        <v>45</v>
      </c>
      <c r="B41" s="117">
        <v>1322.0</v>
      </c>
      <c r="C41" s="118" t="s">
        <v>30</v>
      </c>
      <c r="D41" s="119">
        <v>128.0</v>
      </c>
      <c r="E41" s="118" t="s">
        <v>30</v>
      </c>
      <c r="F41" s="118" t="s">
        <v>44</v>
      </c>
      <c r="G41" s="118" t="s">
        <v>30</v>
      </c>
    </row>
    <row r="42" ht="14.25" customHeight="1">
      <c r="A42" s="120" t="s">
        <v>168</v>
      </c>
      <c r="B42" s="118">
        <v>29779.0</v>
      </c>
      <c r="C42" s="118">
        <v>2818.0</v>
      </c>
      <c r="D42" s="118">
        <v>2737.0</v>
      </c>
      <c r="E42" s="118">
        <v>259.0</v>
      </c>
      <c r="F42" s="118">
        <v>1183.0</v>
      </c>
      <c r="G42" s="118">
        <v>112.0</v>
      </c>
    </row>
    <row r="43" ht="14.25" customHeight="1">
      <c r="A43" s="121" t="s">
        <v>169</v>
      </c>
      <c r="D43" s="122"/>
      <c r="E43" s="122"/>
      <c r="F43" s="122"/>
      <c r="G43" s="122"/>
    </row>
    <row r="44" ht="15.0" customHeight="1">
      <c r="A44" s="123" t="s">
        <v>170</v>
      </c>
    </row>
    <row r="45" ht="14.25" customHeight="1"/>
    <row r="46" ht="14.25" customHeight="1"/>
    <row r="47" ht="14.25" customHeight="1">
      <c r="A47" s="71" t="s">
        <v>0</v>
      </c>
      <c r="B47" s="72">
        <v>44132.0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172</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44132.0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173</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174</v>
      </c>
      <c r="C8" s="130" t="s">
        <v>175</v>
      </c>
      <c r="D8" s="130" t="s">
        <v>176</v>
      </c>
      <c r="E8" s="130" t="s">
        <v>177</v>
      </c>
      <c r="F8" s="130" t="s">
        <v>178</v>
      </c>
      <c r="G8" s="130" t="s">
        <v>179</v>
      </c>
      <c r="H8" s="130" t="s">
        <v>180</v>
      </c>
      <c r="I8" s="130" t="s">
        <v>181</v>
      </c>
      <c r="J8" s="130" t="s">
        <v>182</v>
      </c>
      <c r="K8" s="130" t="s">
        <v>183</v>
      </c>
      <c r="L8" s="130" t="s">
        <v>184</v>
      </c>
      <c r="M8" s="130" t="s">
        <v>185</v>
      </c>
      <c r="N8" s="130" t="s">
        <v>186</v>
      </c>
      <c r="O8" s="130" t="s">
        <v>187</v>
      </c>
      <c r="P8" s="130" t="s">
        <v>188</v>
      </c>
      <c r="Q8" s="130" t="s">
        <v>189</v>
      </c>
      <c r="R8" s="130" t="s">
        <v>190</v>
      </c>
      <c r="S8" s="130" t="s">
        <v>191</v>
      </c>
      <c r="T8" s="130" t="s">
        <v>192</v>
      </c>
      <c r="U8" s="130" t="s">
        <v>193</v>
      </c>
      <c r="V8" s="130" t="s">
        <v>194</v>
      </c>
      <c r="W8" s="130" t="s">
        <v>195</v>
      </c>
      <c r="X8" s="130" t="s">
        <v>196</v>
      </c>
      <c r="Y8" s="130" t="s">
        <v>197</v>
      </c>
      <c r="Z8" s="130" t="s">
        <v>198</v>
      </c>
      <c r="AA8" s="130" t="s">
        <v>199</v>
      </c>
      <c r="AB8" s="130" t="s">
        <v>200</v>
      </c>
      <c r="AC8" s="130" t="s">
        <v>201</v>
      </c>
      <c r="AD8" s="130" t="s">
        <v>202</v>
      </c>
      <c r="AE8" s="130" t="s">
        <v>203</v>
      </c>
      <c r="AF8" s="130" t="s">
        <v>204</v>
      </c>
      <c r="AG8" s="130" t="s">
        <v>205</v>
      </c>
      <c r="AH8" s="130" t="s">
        <v>206</v>
      </c>
      <c r="AI8" s="130" t="s">
        <v>207</v>
      </c>
      <c r="AJ8" s="130" t="s">
        <v>208</v>
      </c>
      <c r="AK8" s="130" t="s">
        <v>209</v>
      </c>
      <c r="AL8" s="130" t="s">
        <v>210</v>
      </c>
      <c r="AM8" s="130" t="s">
        <v>211</v>
      </c>
      <c r="AN8" s="130" t="s">
        <v>212</v>
      </c>
      <c r="AO8" s="130" t="s">
        <v>213</v>
      </c>
      <c r="AP8" s="130" t="s">
        <v>168</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1446.0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34.0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817.0</v>
      </c>
      <c r="AD16" s="48">
        <v>5.0</v>
      </c>
      <c r="AE16" s="48">
        <v>6.0</v>
      </c>
      <c r="AF16" s="48">
        <v>18.0</v>
      </c>
      <c r="AG16" s="48">
        <v>7.0</v>
      </c>
      <c r="AH16" s="48">
        <v>12.0</v>
      </c>
      <c r="AI16" s="48">
        <v>14.0</v>
      </c>
      <c r="AJ16" s="48">
        <v>59.0</v>
      </c>
      <c r="AK16" s="48" t="s">
        <v>44</v>
      </c>
      <c r="AL16" s="48">
        <v>34.0</v>
      </c>
      <c r="AM16" s="48">
        <v>15.0</v>
      </c>
      <c r="AN16" s="48">
        <v>50.0</v>
      </c>
      <c r="AO16" s="48">
        <v>44.0</v>
      </c>
      <c r="AP16" s="96">
        <v>2007.0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1641.0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723.0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23.0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296.0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57.0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8.0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670.0</v>
      </c>
    </row>
    <row r="31">
      <c r="A31" s="133" t="s">
        <v>101</v>
      </c>
      <c r="B31" s="48" t="s">
        <v>44</v>
      </c>
      <c r="C31" s="48">
        <v>6.0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221.0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35.0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570.0</v>
      </c>
    </row>
    <row r="33">
      <c r="A33" s="133" t="s">
        <v>103</v>
      </c>
      <c r="B33" s="134">
        <v>0.0</v>
      </c>
      <c r="C33" s="134">
        <v>15.0</v>
      </c>
      <c r="D33" s="134" t="s">
        <v>44</v>
      </c>
      <c r="E33" s="135">
        <v>35.0</v>
      </c>
      <c r="F33" s="134">
        <v>0.0</v>
      </c>
      <c r="G33" s="134">
        <v>9.0</v>
      </c>
      <c r="H33" s="135">
        <v>50.0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15.0</v>
      </c>
      <c r="Y33" s="134">
        <v>19.0</v>
      </c>
      <c r="Z33" s="134" t="s">
        <v>44</v>
      </c>
      <c r="AA33" s="135">
        <v>54.0</v>
      </c>
      <c r="AB33" s="134" t="s">
        <v>44</v>
      </c>
      <c r="AC33" s="135">
        <v>218.0</v>
      </c>
      <c r="AD33" s="134">
        <v>0.0</v>
      </c>
      <c r="AE33" s="134" t="s">
        <v>44</v>
      </c>
      <c r="AF33" s="134">
        <v>8.0</v>
      </c>
      <c r="AG33" s="134">
        <v>5.0</v>
      </c>
      <c r="AH33" s="134">
        <v>7.0</v>
      </c>
      <c r="AI33" s="134" t="s">
        <v>44</v>
      </c>
      <c r="AJ33" s="134">
        <v>36.0</v>
      </c>
      <c r="AK33" s="134" t="s">
        <v>44</v>
      </c>
      <c r="AL33" s="134" t="s">
        <v>44</v>
      </c>
      <c r="AM33" s="134" t="s">
        <v>44</v>
      </c>
      <c r="AN33" s="134">
        <v>16.0</v>
      </c>
      <c r="AO33" s="134">
        <v>27.0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55.0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460.0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78.0</v>
      </c>
      <c r="AB38" s="134">
        <v>0.0</v>
      </c>
      <c r="AC38" s="135">
        <v>240.0</v>
      </c>
      <c r="AD38" s="134" t="s">
        <v>44</v>
      </c>
      <c r="AE38" s="134" t="s">
        <v>44</v>
      </c>
      <c r="AF38" s="134">
        <v>11.0</v>
      </c>
      <c r="AG38" s="134" t="s">
        <v>44</v>
      </c>
      <c r="AH38" s="134" t="s">
        <v>44</v>
      </c>
      <c r="AI38" s="134">
        <v>7.0</v>
      </c>
      <c r="AJ38" s="134">
        <v>23.0</v>
      </c>
      <c r="AK38" s="134" t="s">
        <v>44</v>
      </c>
      <c r="AL38" s="134">
        <v>9.0</v>
      </c>
      <c r="AM38" s="134">
        <v>10.0</v>
      </c>
      <c r="AN38" s="134">
        <v>11.0</v>
      </c>
      <c r="AO38" s="134">
        <v>17.0</v>
      </c>
      <c r="AP38" s="136">
        <v>653.0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10.0</v>
      </c>
      <c r="AH39" s="134" t="s">
        <v>44</v>
      </c>
      <c r="AI39" s="134">
        <v>0.0</v>
      </c>
      <c r="AJ39" s="134">
        <v>39.0</v>
      </c>
      <c r="AK39" s="134" t="s">
        <v>44</v>
      </c>
      <c r="AL39" s="134">
        <v>14.0</v>
      </c>
      <c r="AM39" s="134">
        <v>12.0</v>
      </c>
      <c r="AN39" s="134">
        <v>25.0</v>
      </c>
      <c r="AO39" s="134">
        <v>29.0</v>
      </c>
      <c r="AP39" s="136">
        <v>895.0</v>
      </c>
    </row>
    <row r="40">
      <c r="A40" s="133" t="s">
        <v>110</v>
      </c>
      <c r="B40" s="134">
        <v>7.0</v>
      </c>
      <c r="C40" s="134">
        <v>12.0</v>
      </c>
      <c r="D40" s="134">
        <v>8.0</v>
      </c>
      <c r="E40" s="135">
        <v>46.0</v>
      </c>
      <c r="F40" s="134" t="s">
        <v>44</v>
      </c>
      <c r="G40" s="134">
        <v>19.0</v>
      </c>
      <c r="H40" s="135">
        <v>92.0</v>
      </c>
      <c r="I40" s="134">
        <v>32.0</v>
      </c>
      <c r="J40" s="134">
        <v>8.0</v>
      </c>
      <c r="K40" s="134">
        <v>31.0</v>
      </c>
      <c r="L40" s="134">
        <v>5.0</v>
      </c>
      <c r="M40" s="134">
        <v>6.0</v>
      </c>
      <c r="N40" s="134" t="s">
        <v>44</v>
      </c>
      <c r="O40" s="134">
        <v>0.0</v>
      </c>
      <c r="P40" s="134">
        <v>6.0</v>
      </c>
      <c r="Q40" s="134">
        <v>22.0</v>
      </c>
      <c r="R40" s="134">
        <v>17.0</v>
      </c>
      <c r="S40" s="134" t="s">
        <v>44</v>
      </c>
      <c r="T40" s="134" t="s">
        <v>44</v>
      </c>
      <c r="U40" s="134">
        <v>94.0</v>
      </c>
      <c r="V40" s="134">
        <v>0.0</v>
      </c>
      <c r="W40" s="134">
        <v>8.0</v>
      </c>
      <c r="X40" s="134">
        <v>19.0</v>
      </c>
      <c r="Y40" s="134">
        <v>43.0</v>
      </c>
      <c r="Z40" s="134">
        <v>9.0</v>
      </c>
      <c r="AA40" s="135">
        <v>116.0</v>
      </c>
      <c r="AB40" s="134">
        <v>5.0</v>
      </c>
      <c r="AC40" s="135">
        <v>287.0</v>
      </c>
      <c r="AD40" s="134" t="s">
        <v>44</v>
      </c>
      <c r="AE40" s="134" t="s">
        <v>44</v>
      </c>
      <c r="AF40" s="134">
        <v>12.0</v>
      </c>
      <c r="AG40" s="134">
        <v>24.0</v>
      </c>
      <c r="AH40" s="134">
        <v>16.0</v>
      </c>
      <c r="AI40" s="134">
        <v>6.0</v>
      </c>
      <c r="AJ40" s="134">
        <v>62.0</v>
      </c>
      <c r="AK40" s="134">
        <v>5.0</v>
      </c>
      <c r="AL40" s="134">
        <v>26.0</v>
      </c>
      <c r="AM40" s="134">
        <v>21.0</v>
      </c>
      <c r="AN40" s="134">
        <v>38.0</v>
      </c>
      <c r="AO40" s="134">
        <v>83.0</v>
      </c>
      <c r="AP40" s="136">
        <v>1195.0</v>
      </c>
    </row>
    <row r="41">
      <c r="A41" s="133" t="s">
        <v>111</v>
      </c>
      <c r="B41" s="134">
        <v>7.0</v>
      </c>
      <c r="C41" s="134">
        <v>24.0</v>
      </c>
      <c r="D41" s="134">
        <v>17.0</v>
      </c>
      <c r="E41" s="135">
        <v>65.0</v>
      </c>
      <c r="F41" s="134" t="s">
        <v>44</v>
      </c>
      <c r="G41" s="134">
        <v>32.0</v>
      </c>
      <c r="H41" s="135">
        <v>134.0</v>
      </c>
      <c r="I41" s="134">
        <v>41.0</v>
      </c>
      <c r="J41" s="134">
        <v>12.0</v>
      </c>
      <c r="K41" s="134">
        <v>40.0</v>
      </c>
      <c r="L41" s="134" t="s">
        <v>44</v>
      </c>
      <c r="M41" s="134" t="s">
        <v>44</v>
      </c>
      <c r="N41" s="134">
        <v>0.0</v>
      </c>
      <c r="O41" s="134">
        <v>0.0</v>
      </c>
      <c r="P41" s="134" t="s">
        <v>44</v>
      </c>
      <c r="Q41" s="134">
        <v>49.0</v>
      </c>
      <c r="R41" s="134">
        <v>21.0</v>
      </c>
      <c r="S41" s="134" t="s">
        <v>44</v>
      </c>
      <c r="T41" s="134" t="s">
        <v>44</v>
      </c>
      <c r="U41" s="134">
        <v>37.0</v>
      </c>
      <c r="V41" s="134" t="s">
        <v>44</v>
      </c>
      <c r="W41" s="134">
        <v>13.0</v>
      </c>
      <c r="X41" s="134">
        <v>15.0</v>
      </c>
      <c r="Y41" s="134">
        <v>56.0</v>
      </c>
      <c r="Z41" s="134">
        <v>18.0</v>
      </c>
      <c r="AA41" s="135">
        <v>158.0</v>
      </c>
      <c r="AB41" s="134">
        <v>10.0</v>
      </c>
      <c r="AC41" s="135">
        <v>349.0</v>
      </c>
      <c r="AD41" s="134" t="s">
        <v>44</v>
      </c>
      <c r="AE41" s="134" t="s">
        <v>44</v>
      </c>
      <c r="AF41" s="134">
        <v>23.0</v>
      </c>
      <c r="AG41" s="134">
        <v>12.0</v>
      </c>
      <c r="AH41" s="134">
        <v>15.0</v>
      </c>
      <c r="AI41" s="134" t="s">
        <v>44</v>
      </c>
      <c r="AJ41" s="134">
        <v>54.0</v>
      </c>
      <c r="AK41" s="134">
        <v>12.0</v>
      </c>
      <c r="AL41" s="134">
        <v>26.0</v>
      </c>
      <c r="AM41" s="134">
        <v>14.0</v>
      </c>
      <c r="AN41" s="134">
        <v>46.0</v>
      </c>
      <c r="AO41" s="134">
        <v>115.0</v>
      </c>
      <c r="AP41" s="136">
        <v>1441.0</v>
      </c>
    </row>
    <row r="42">
      <c r="A42" s="133" t="s">
        <v>112</v>
      </c>
      <c r="B42" s="134">
        <v>21.0</v>
      </c>
      <c r="C42" s="134">
        <v>24.0</v>
      </c>
      <c r="D42" s="134">
        <v>19.0</v>
      </c>
      <c r="E42" s="135">
        <v>92.0</v>
      </c>
      <c r="F42" s="134" t="s">
        <v>44</v>
      </c>
      <c r="G42" s="134">
        <v>48.0</v>
      </c>
      <c r="H42" s="135">
        <v>205.0</v>
      </c>
      <c r="I42" s="134">
        <v>54.0</v>
      </c>
      <c r="J42" s="134">
        <v>34.0</v>
      </c>
      <c r="K42" s="134">
        <v>70.0</v>
      </c>
      <c r="L42" s="134" t="s">
        <v>44</v>
      </c>
      <c r="M42" s="134" t="s">
        <v>44</v>
      </c>
      <c r="N42" s="134">
        <v>20.0</v>
      </c>
      <c r="O42" s="134" t="s">
        <v>44</v>
      </c>
      <c r="P42" s="134">
        <v>0.0</v>
      </c>
      <c r="Q42" s="134">
        <v>80.0</v>
      </c>
      <c r="R42" s="134">
        <v>37.0</v>
      </c>
      <c r="S42" s="134" t="s">
        <v>44</v>
      </c>
      <c r="T42" s="134">
        <v>7.0</v>
      </c>
      <c r="U42" s="134">
        <v>30.0</v>
      </c>
      <c r="V42" s="134">
        <v>0.0</v>
      </c>
      <c r="W42" s="134">
        <v>17.0</v>
      </c>
      <c r="X42" s="134">
        <v>25.0</v>
      </c>
      <c r="Y42" s="134">
        <v>79.0</v>
      </c>
      <c r="Z42" s="134">
        <v>21.0</v>
      </c>
      <c r="AA42" s="135">
        <v>243.0</v>
      </c>
      <c r="AB42" s="134">
        <v>6.0</v>
      </c>
      <c r="AC42" s="135">
        <v>594.0</v>
      </c>
      <c r="AD42" s="134" t="s">
        <v>44</v>
      </c>
      <c r="AE42" s="134">
        <v>12.0</v>
      </c>
      <c r="AF42" s="134">
        <v>37.0</v>
      </c>
      <c r="AG42" s="134">
        <v>12.0</v>
      </c>
      <c r="AH42" s="134">
        <v>14.0</v>
      </c>
      <c r="AI42" s="134">
        <v>11.0</v>
      </c>
      <c r="AJ42" s="134">
        <v>118.0</v>
      </c>
      <c r="AK42" s="134">
        <v>16.0</v>
      </c>
      <c r="AL42" s="134">
        <v>50.0</v>
      </c>
      <c r="AM42" s="134">
        <v>11.0</v>
      </c>
      <c r="AN42" s="134">
        <v>59.0</v>
      </c>
      <c r="AO42" s="134">
        <v>284.0</v>
      </c>
      <c r="AP42" s="136">
        <v>2369.0</v>
      </c>
    </row>
  </sheetData>
  <mergeCells count="4">
    <mergeCell ref="A1:J1"/>
    <mergeCell ref="A2:E2"/>
    <mergeCell ref="A3:J3"/>
    <mergeCell ref="A6:K6"/>
  </mergeCells>
  <drawing r:id="rId1"/>
</worksheet>
</file>