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<sst xmlns="http://schemas.openxmlformats.org/spreadsheetml/2006/main" count="4800" uniqueCount="777">
  <si>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</si>
  <si>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</si>
  <si>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</si>
  <si>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</si>
  <si>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</si>
  <si>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</si>
  <si>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</si>
  <si>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</si>
  <si>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</si>
  <si>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</si>
  <si>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</si>
  <si>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</si>
  <si>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</si>
  <si>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</si>
  <si>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</si>
  <si>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</si>
  <si>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</si>
  <si>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</si>
  <si>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</si>
  <si>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</si>
  <si>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</si>
  <si>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</si>
  <si>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</si>
  <si>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</si>
  <si>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</si>
  <si>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</si>
  <si>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</si>
  <si>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</si>
  <si>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</si>
  <si>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</si>
  <si>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</si>
  <si>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</si>
  <si>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</si>
  <si>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</si>
  <si>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</si>
  <si>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</si>
  <si>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N=406,867</t>
  </si>
  <si>
    <t>N=32,657</t>
  </si>
  <si>
    <t>N=3,389</t>
  </si>
  <si>
    <t>N=1,207</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</si>
  <si>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</si>
  <si>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</si>
  <si>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</si>
  <si>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</si>
  <si>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</si>
  <si>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</si>
  <si>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</si>
  <si>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</si>
  <si>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</si>
  <si>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</si>
  <si>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</si>
  <si>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</si>
  <si>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</si>
  <si>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</si>
  <si>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</si>
  <si>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</si>
  <si>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</si>
  <si>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</si>
  <si>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</si>
  <si>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</si>
  <si>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</si>
  <si>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</si>
  <si>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</si>
  <si>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</si>
  <si>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</si>
  <si>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</si>
  <si>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</si>
  <si>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</si>
  <si>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</si>
  <si>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</si>
  <si>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</si>
  <si>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</si>
  <si>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</si>
  <si>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</si>
  <si>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</si>
  <si>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</si>
  <si>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</si>
  <si>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</si>
  <si>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</si>
  <si>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</si>
  <si>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</si>
  <si>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</si>
  <si>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</si>
  <si>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</si>
  <si>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</si>
  <si>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</si>
  <si>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</si>
  <si>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</si>
  <si>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</si>
  <si>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</si>
  <si>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</si>
  <si>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</si>
  <si>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</si>
  <si>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</si>
  <si>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</si>
  <si>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</si>
  <si>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</si>
  <si>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</si>
  <si>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</si>
  <si>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</si>
  <si>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</si>
  <si>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</si>
  <si>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</si>
  <si>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</si>
  <si>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</si>
  <si>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</si>
  <si>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</si>
  <si>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</si>
  <si>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</si>
  <si>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</si>
  <si>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</si>
  <si>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</si>
  <si>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</si>
  <si>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</si>
  <si>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</si>
  <si>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</si>
  <si>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</si>
  <si>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</si>
  <si>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</si>
  <si>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</si>
  <si>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</si>
  <si>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</si>
  <si>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</si>
  <si>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</si>
  <si>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</si>
  <si>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</si>
  <si>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</si>
  <si>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</si>
  <si>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</si>
  <si>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</si>
  <si>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</si>
  <si>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</si>
  <si>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</si>
  <si>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</si>
  <si>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</si>
  <si>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</si>
  <si>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</si>
  <si>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</si>
  <si>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</si>
  <si>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</si>
  <si>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</si>
  <si>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</si>
  <si>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</si>
  <si>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</si>
  <si>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</si>
  <si>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</si>
  <si>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</si>
  <si>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</si>
  <si>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</si>
  <si>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</si>
  <si>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</si>
  <si>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</si>
  <si>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</si>
  <si>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</si>
  <si>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</si>
  <si>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</si>
  <si>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</si>
  <si>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</si>
  <si>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</si>
  <si>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</si>
  <si>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</si>
  <si>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</si>
  <si>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</si>
  <si>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</si>
  <si>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</si>
  <si>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</si>
  <si>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</si>
  <si>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</si>
  <si>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</si>
  <si>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</si>
  <si>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</si>
  <si>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</si>
  <si>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</si>
  <si>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</si>
  <si>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</si>
  <si>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</si>
  <si>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</si>
  <si>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</si>
  <si>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</si>
  <si>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</si>
  <si>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</si>
  <si>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</si>
  <si>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</si>
  <si>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</si>
  <si>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</si>
  <si>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</si>
  <si>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</si>
  <si>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</si>
  <si>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</si>
  <si>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</si>
  <si>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</si>
  <si>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</si>
  <si>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</si>
  <si>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</si>
  <si>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</si>
  <si>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</si>
  <si>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</si>
  <si>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</si>
  <si>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</si>
  <si>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</si>
  <si>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</si>
  <si>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</si>
  <si>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</si>
  <si>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</si>
  <si>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</si>
  <si>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</si>
  <si>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</si>
  <si>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</si>
  <si>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</si>
  <si>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</si>
  <si>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</si>
  <si>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</si>
  <si>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</si>
  <si>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</si>
  <si>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</si>
  <si>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</si>
  <si>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</si>
  <si>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</si>
  <si>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</si>
  <si>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</si>
  <si>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</si>
  <si>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</si>
  <si>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</si>
  <si>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</si>
  <si>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</si>
  <si>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</si>
  <si>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</si>
  <si>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</si>
  <si>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</si>
  <si>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</si>
  <si>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</si>
  <si>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</si>
  <si>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</si>
  <si>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</si>
  <si>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</si>
  <si>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</si>
  <si>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</si>
  <si>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</si>
  <si>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</si>
  <si>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</si>
  <si>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</si>
  <si>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</si>
  <si>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</si>
  <si>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</si>
  <si>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</si>
  <si>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</si>
  <si>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</si>
  <si>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</si>
  <si>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</si>
  <si>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</si>
  <si>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</si>
  <si>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</si>
  <si>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</si>
  <si>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</si>
  <si>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</si>
  <si>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</si>
  <si>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</si>
  <si>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</si>
  <si>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</si>
  <si>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</si>
  <si>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</si>
  <si>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</si>
  <si>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</si>
  <si>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</si>
  <si>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</si>
  <si>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</si>
  <si>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</si>
  <si>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</si>
  <si>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</si>
  <si>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</si>
  <si>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</si>
  <si>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</si>
  <si>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</si>
  <si>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</si>
  <si>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</si>
  <si>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</si>
  <si>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</si>
  <si>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</si>
  <si>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</si>
  <si>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</si>
  <si>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</si>
  <si>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</si>
  <si>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</si>
  <si>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</si>
  <si>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</si>
  <si>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</si>
  <si>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</si>
  <si>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</si>
  <si>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</si>
  <si>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</si>
  <si>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</si>
  <si>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</si>
  <si>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</si>
  <si>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</si>
  <si>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</si>
  <si>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</si>
  <si>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</si>
  <si>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</si>
  <si>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</si>
  <si>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</si>
  <si>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</si>
  <si>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</si>
  <si>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</si>
  <si>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</si>
  <si>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</si>
  <si>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</si>
  <si>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</si>
  <si>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</si>
  <si>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</si>
  <si>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</si>
  <si>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</si>
  <si>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</si>
  <si>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</si>
  <si>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</si>
  <si>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</si>
  <si>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</si>
  <si>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</si>
  <si>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</si>
  <si>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</si>
  <si>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</si>
  <si>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</si>
  <si>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</si>
  <si>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</si>
  <si>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</si>
  <si>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</si>
  <si>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</si>
  <si>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</si>
  <si>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</si>
  <si>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</si>
  <si>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</si>
  <si>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</si>
  <si>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</si>
  <si>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</si>
  <si>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</si>
  <si>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</si>
  <si>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</si>
  <si>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</si>
  <si>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</si>
  <si>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120 to 124</t>
  </si>
  <si>
    <t>40 to 44</t>
  </si>
  <si>
    <t>Crestwood Nursing &amp; Rehab (Warren)</t>
  </si>
  <si>
    <t>Crystal Lake Rehabilitation &amp; Care Center (Burrillville)</t>
  </si>
  <si>
    <t>Eastgate Nursing &amp; Rehab (East Providence)</t>
  </si>
  <si>
    <t>Elmhurst Healthcare Center (Providence)</t>
  </si>
  <si>
    <t>100 to 104</t>
  </si>
  <si>
    <t>30 to 34</t>
  </si>
  <si>
    <t>Elmwood Nursing and Rehab Center (Providence)</t>
  </si>
  <si>
    <t>45 to 49</t>
  </si>
  <si>
    <t>Evergreen House Health Center (East Providence)</t>
  </si>
  <si>
    <t>115 to 119</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</si>
  <si>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</si>
  <si>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</si>
  <si>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</si>
  <si>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</si>
  <si>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</si>
  <si>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</si>
  <si>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</si>
  <si>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</si>
  <si>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</si>
  <si>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</si>
  <si>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</si>
  <si>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</si>
  <si>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</si>
  <si>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</si>
  <si>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</si>
  <si>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</si>
  <si>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</si>
  <si>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</si>
  <si>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</si>
  <si>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</si>
  <si>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</si>
  <si>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</si>
  <si>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</si>
  <si>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</si>
  <si>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</si>
  <si>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</si>
  <si>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</si>
  <si>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</si>
  <si>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</si>
  <si>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</si>
  <si>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</si>
  <si>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</si>
  <si>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</si>
  <si>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</si>
  <si>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</si>
  <si>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</si>
  <si>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</si>
  <si>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</si>
  <si>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</si>
  <si>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</si>
  <si>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</si>
  <si>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</si>
  <si>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</si>
  <si>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</si>
  <si>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</si>
  <si>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</si>
  <si>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</si>
  <si>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</si>
  <si>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</si>
  <si>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</si>
  <si>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</si>
  <si>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</si>
  <si>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</si>
  <si>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</si>
  <si>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</si>
  <si>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</si>
  <si>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3200 to 3204</t>
  </si>
  <si>
    <t>855 to 859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</si>
  <si>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</si>
  <si>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</si>
  <si>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</si>
  <si>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</si>
  <si>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</si>
  <si>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</si>
  <si>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</si>
  <si>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</si>
  <si>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</si>
  <si>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</si>
  <si>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</si>
  <si>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</si>
  <si>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</si>
  <si>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</si>
  <si>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</si>
  <si>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</si>
  <si>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</si>
  <si>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</si>
  <si>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305 to 309</t>
  </si>
  <si>
    <t>Note: These data are updated weekly and represent cumulative number of cases and deaths, and number of new resident cases in the past 14 days at each facility. Because these data will change throughout the week, number ranges are being presented. Data last updated 11/04/2020.</t>
  </si>
  <si>
    <t>Number of COVID-19 Cases by School and Learning Style</t>
  </si>
  <si>
    <t>Data last updated 11/4/2020 and include positive cases as of 10/31/2020</t>
  </si>
  <si>
    <t>School</t>
  </si>
  <si>
    <t>LEA</t>
  </si>
  <si>
    <r>
      <t>New Cases in Past 7 Days</t>
    </r>
    <r>
      <rPr>
        <sz val="8.0"/>
      </rPr>
      <t>†</t>
    </r>
  </si>
  <si>
    <t>Cumulative Cases since 9/14/2020</t>
  </si>
  <si>
    <t>In-Person and Hybrid Learning</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</si>
  <si>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</si>
  <si>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</si>
  <si>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</si>
  <si>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</si>
  <si>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</si>
  <si>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</si>
  <si>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</si>
  <si>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</si>
  <si>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</si>
  <si>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</si>
  <si>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</si>
  <si>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</si>
  <si>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</si>
  <si>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</si>
  <si>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</si>
  <si>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</si>
  <si>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</si>
  <si>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</si>
  <si>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</si>
  <si>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</si>
  <si>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</si>
  <si>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</si>
  <si>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</si>
  <si>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</si>
  <si>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</si>
  <si>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</si>
  <si>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</si>
  <si>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</si>
  <si>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</si>
  <si>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</si>
  <si>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</si>
  <si>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</si>
  <si>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</si>
  <si>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</si>
  <si>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</si>
  <si>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</si>
  <si>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</si>
  <si>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</si>
  <si>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Joseph School</t>
  </si>
  <si>
    <t>St. Kevin School</t>
  </si>
  <si>
    <t>St. Luke School</t>
  </si>
  <si>
    <t>St. Mary Academy-Bay View</t>
  </si>
  <si>
    <t>St. Paul School</t>
  </si>
  <si>
    <t>St. Philomena School</t>
  </si>
  <si>
    <t>St. Raphael Academy</t>
  </si>
  <si>
    <t>St. Rose of Lima School</t>
  </si>
  <si>
    <t>St. Teresa School</t>
  </si>
  <si>
    <t>St. Thomas Regional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</si>
  <si>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</si>
  <si>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</si>
  <si>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</si>
  <si>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</si>
  <si>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</si>
  <si>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</si>
  <si>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</si>
  <si>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</si>
  <si>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</si>
  <si>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</si>
  <si>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</si>
  <si>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</si>
  <si>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</si>
  <si>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</si>
  <si>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</si>
  <si>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</si>
  <si>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</si>
  <si>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</si>
  <si>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</si>
  <si>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</si>
  <si>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</si>
  <si>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</si>
  <si>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</si>
  <si>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Daniel D. Waterman School</t>
  </si>
  <si>
    <t>Eden Park School</t>
  </si>
  <si>
    <t>Edgewood Highland School</t>
  </si>
  <si>
    <t>Garden City School</t>
  </si>
  <si>
    <t>Gladstone Street School</t>
  </si>
  <si>
    <t>Hope Highlands Middle School</t>
  </si>
  <si>
    <t>Hugh B. Bain Middle School</t>
  </si>
  <si>
    <t>NEL/CPS Construction Career Academy</t>
  </si>
  <si>
    <t>Park View Middle School</t>
  </si>
  <si>
    <t>Stadium Elementary School</t>
  </si>
  <si>
    <t>Stone Hill School</t>
  </si>
  <si>
    <t>Western Hills Middle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</si>
  <si>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</si>
  <si>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</si>
  <si>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</si>
  <si>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</si>
  <si>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</si>
  <si>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</si>
  <si>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</si>
  <si>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</si>
  <si>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</si>
  <si>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</si>
  <si>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George Hanaford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</si>
  <si>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</si>
  <si>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</si>
  <si>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</si>
  <si>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</si>
  <si>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</si>
  <si>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</si>
  <si>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</si>
  <si>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</si>
  <si>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</si>
  <si>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</si>
  <si>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</si>
  <si>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</si>
  <si>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</si>
  <si>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</si>
  <si>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</si>
  <si>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</si>
  <si>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</si>
  <si>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</si>
  <si>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</si>
  <si>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</si>
  <si>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</si>
  <si>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</si>
  <si>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</si>
  <si>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</si>
  <si>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</si>
  <si>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</si>
  <si>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</si>
  <si>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</si>
  <si>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</si>
  <si>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</si>
  <si>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</si>
  <si>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</si>
  <si>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</si>
  <si>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</si>
  <si>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</si>
  <si>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</si>
  <si>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</si>
  <si>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</si>
  <si>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</si>
  <si>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</si>
  <si>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</si>
  <si>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</si>
  <si>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High School</t>
  </si>
  <si>
    <t>Narragansett Pier School</t>
  </si>
  <si>
    <t>Rogers High School</t>
  </si>
  <si>
    <t>Davisville Middle School</t>
  </si>
  <si>
    <t>Fishing Cove Elementary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</si>
  <si>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</si>
  <si>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</si>
  <si>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</si>
  <si>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</si>
  <si>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</si>
  <si>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</si>
  <si>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</si>
  <si>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</si>
  <si>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</si>
  <si>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</si>
  <si>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</si>
  <si>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</si>
  <si>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</si>
  <si>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</si>
  <si>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</si>
  <si>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</si>
  <si>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</si>
  <si>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</si>
  <si>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</si>
  <si>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</si>
  <si>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</si>
  <si>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</si>
  <si>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</si>
  <si>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</si>
  <si>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</si>
  <si>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</si>
  <si>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</si>
  <si>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</si>
  <si>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</si>
  <si>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</si>
  <si>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</si>
  <si>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</si>
  <si>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</si>
  <si>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</si>
  <si>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</si>
  <si>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</si>
  <si>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</si>
  <si>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</si>
  <si>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</si>
  <si>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</si>
  <si>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</si>
  <si>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</si>
  <si>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</si>
  <si>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</si>
  <si>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</si>
  <si>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</si>
  <si>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</si>
  <si>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</si>
  <si>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</si>
  <si>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</si>
  <si>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</si>
  <si>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</si>
  <si>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</si>
  <si>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</si>
  <si>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</si>
  <si>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</si>
  <si>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</si>
  <si>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</si>
  <si>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</si>
  <si>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</si>
  <si>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</si>
  <si>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</si>
  <si>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</si>
  <si>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</si>
  <si>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</si>
  <si>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</si>
  <si>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</si>
  <si>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</si>
  <si>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</si>
  <si>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</si>
  <si>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</si>
  <si>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</si>
  <si>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</si>
  <si>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</si>
  <si>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</si>
  <si>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</si>
  <si>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</si>
  <si>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</si>
  <si>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</si>
  <si>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</si>
  <si>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</si>
  <si>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</si>
  <si>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</si>
  <si>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</si>
  <si>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</si>
  <si>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</si>
  <si>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</si>
  <si>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</si>
  <si>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</si>
  <si>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</si>
  <si>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</si>
  <si>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</si>
  <si>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</si>
  <si>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</si>
  <si>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</si>
  <si>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</si>
  <si>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</si>
  <si>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</si>
  <si>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</si>
  <si>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</si>
  <si>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</si>
  <si>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</si>
  <si>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</si>
  <si>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</si>
  <si>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</si>
  <si>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</si>
  <si>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</si>
  <si>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</si>
  <si>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</si>
  <si>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</si>
  <si>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</si>
  <si>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</si>
  <si>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</si>
  <si>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</si>
  <si>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</si>
  <si>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</si>
  <si>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</si>
  <si>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</si>
  <si>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</si>
  <si>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</si>
  <si>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</si>
  <si>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</si>
  <si>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</si>
  <si>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</si>
  <si>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</si>
  <si>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</si>
  <si>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</si>
  <si>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</si>
  <si>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</si>
  <si>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</si>
  <si>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</si>
  <si>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</si>
  <si>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</si>
  <si>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</si>
  <si>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</si>
  <si>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</si>
  <si>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</si>
  <si>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</si>
  <si>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</si>
  <si>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</si>
  <si>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</si>
  <si>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</si>
  <si>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</si>
  <si>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</si>
  <si>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</si>
  <si>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</si>
  <si>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</si>
  <si>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</si>
  <si>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</si>
  <si>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Other*</t>
  </si>
  <si>
    <t>N/A</t>
  </si>
  <si>
    <t>Total:</t>
  </si>
  <si>
    <t>245 to 249</t>
  </si>
  <si>
    <t>810 to 814</t>
  </si>
  <si>
    <t>Virtual Learning‡</t>
  </si>
  <si>
    <t>AF Iluminar Mayoral Academy Middle School</t>
  </si>
  <si>
    <t>Blackstone Valley Prep Junior High School (JHS)</t>
  </si>
  <si>
    <t>Blackstone Valley Prep Upper Elementary School (UES)</t>
  </si>
  <si>
    <t>St. Rocco School</t>
  </si>
  <si>
    <t>Veterans Memorial Elementary</t>
  </si>
  <si>
    <t>Chariho Area Career and Technical Center</t>
  </si>
  <si>
    <t>George J. Peters School</t>
  </si>
  <si>
    <t>Oak Lawn School</t>
  </si>
  <si>
    <t>Orchard Farms Elementary School</t>
  </si>
  <si>
    <t>Community School</t>
  </si>
  <si>
    <t>John J. McLaughlin Cumberland Hill School</t>
  </si>
  <si>
    <t>Exeter-West Greenwich Regional Junior High</t>
  </si>
  <si>
    <t>The Learning Community Charter School</t>
  </si>
  <si>
    <t>Learning Community</t>
  </si>
  <si>
    <t>Centredale School</t>
  </si>
  <si>
    <t>Charles E. Shea High School</t>
  </si>
  <si>
    <t>Curvin-McCabe School</t>
  </si>
  <si>
    <t>Flora S. Curtis Memorial School</t>
  </si>
  <si>
    <t>Jacqueline M. Walsh School for the Performing and Visual Arts</t>
  </si>
  <si>
    <t>Lyman B. Goff Middle School</t>
  </si>
  <si>
    <t>M. Virginia Cunningham School</t>
  </si>
  <si>
    <t>Samuel Slater Middle School</t>
  </si>
  <si>
    <t>Portsmouth Middle School</t>
  </si>
  <si>
    <t>Greenville Nursery School</t>
  </si>
  <si>
    <t>Kid's Kingdom</t>
  </si>
  <si>
    <t>Mount Pleasant Academy</t>
  </si>
  <si>
    <t>Trinity Christian Academy</t>
  </si>
  <si>
    <t>Gilbert Stuart Middle School</t>
  </si>
  <si>
    <t>Providence Virtual Learning Academy</t>
  </si>
  <si>
    <t>RI Nurses Institute Middle College Charter High School</t>
  </si>
  <si>
    <t>Rhode Island Nurses Institute Middle College</t>
  </si>
  <si>
    <t>Scituate High School</t>
  </si>
  <si>
    <t>Lippitt School</t>
  </si>
  <si>
    <t>Pilgrim High School</t>
  </si>
  <si>
    <t>Winman Middle School</t>
  </si>
  <si>
    <t>Wyman School</t>
  </si>
  <si>
    <t>Greenbush Elementary School</t>
  </si>
  <si>
    <t>John F. Horgan Elementary School</t>
  </si>
  <si>
    <t>Woonsocket Middle School at Villa Nova</t>
  </si>
  <si>
    <t>400 to 404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</si>
  <si>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11/4/2020 9am.
 †New cases in past 7 days include positive cases between 10/25/2020 and 10/31/2020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</si>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</sst>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44144.0</v>
      </c>
    </row>
    <row r="2" ht="14.25" customHeight="1">
      <c r="A2" s="3" t="s">
        <v>1</v>
      </c>
      <c r="B2" s="4">
        <v>304.0</v>
      </c>
    </row>
    <row r="3" ht="14.25" customHeight="1">
      <c r="A3" s="3" t="s">
        <v>2</v>
      </c>
      <c r="B3" s="4">
        <v>561.0</v>
      </c>
    </row>
    <row r="4" ht="14.25" customHeight="1">
      <c r="A4" s="3" t="s">
        <v>3</v>
      </c>
      <c r="B4" s="4">
        <v>49496.0</v>
      </c>
    </row>
    <row r="5" ht="14.25" customHeight="1">
      <c r="A5" s="3" t="s">
        <v>4</v>
      </c>
      <c r="B5" s="4">
        <v>3671.0</v>
      </c>
    </row>
    <row r="6" ht="14.25" customHeight="1">
      <c r="A6" s="5" t="s">
        <v>5</v>
      </c>
      <c r="B6" s="4">
        <v>1208143.0</v>
      </c>
    </row>
    <row r="7" ht="14.25" customHeight="1">
      <c r="A7" s="6" t="s">
        <v>6</v>
      </c>
      <c r="B7" s="4">
        <v>3975.0</v>
      </c>
    </row>
    <row r="8" ht="14.25" customHeight="1">
      <c r="A8" s="6" t="s">
        <v>7</v>
      </c>
      <c r="B8" s="7">
        <v>1257639.0</v>
      </c>
    </row>
    <row r="9" ht="14.25" customHeight="1">
      <c r="A9" s="8" t="s">
        <v>8</v>
      </c>
      <c r="B9" s="7">
        <v>266.0</v>
      </c>
    </row>
    <row r="10" ht="14.25" customHeight="1">
      <c r="A10" s="9" t="s">
        <v>9</v>
      </c>
      <c r="B10" s="7">
        <v>507.0</v>
      </c>
    </row>
    <row r="11" ht="14.25" customHeight="1">
      <c r="A11" s="8" t="s">
        <v>10</v>
      </c>
      <c r="B11" s="7">
        <v>38009.0</v>
      </c>
    </row>
    <row r="12" ht="14.25" customHeight="1">
      <c r="A12" s="8" t="s">
        <v>11</v>
      </c>
      <c r="B12" s="7">
        <v>1181.0</v>
      </c>
    </row>
    <row r="13" ht="14.25" customHeight="1">
      <c r="A13" s="8" t="s">
        <v>12</v>
      </c>
      <c r="B13" s="7">
        <v>427022.0</v>
      </c>
    </row>
    <row r="14" ht="15.0" customHeight="1">
      <c r="A14" s="8" t="s">
        <v>13</v>
      </c>
      <c r="B14" s="7">
        <v>465031.0</v>
      </c>
    </row>
    <row r="15" ht="14.25" customHeight="1">
      <c r="A15" s="10" t="s">
        <v>14</v>
      </c>
      <c r="B15" s="4">
        <v>26.0</v>
      </c>
    </row>
    <row r="16" ht="14.25" customHeight="1">
      <c r="A16" s="10" t="s">
        <v>15</v>
      </c>
      <c r="B16" s="4">
        <v>3584.0</v>
      </c>
    </row>
    <row r="17" ht="14.25" customHeight="1">
      <c r="A17" s="10" t="s">
        <v>16</v>
      </c>
      <c r="B17" s="4">
        <v>23.0</v>
      </c>
    </row>
    <row r="18" ht="14.25" customHeight="1">
      <c r="A18" s="10" t="s">
        <v>17</v>
      </c>
      <c r="B18" s="4">
        <v>2958.0</v>
      </c>
    </row>
    <row r="19" ht="14.25" customHeight="1">
      <c r="A19" s="10" t="s">
        <v>18</v>
      </c>
      <c r="B19" s="4">
        <v>1.0</v>
      </c>
    </row>
    <row r="20" ht="14.25" customHeight="1">
      <c r="A20" s="10" t="s">
        <v>19</v>
      </c>
      <c r="B20" s="4">
        <v>414.0</v>
      </c>
    </row>
    <row r="21" ht="14.25" customHeight="1">
      <c r="A21" s="10" t="s">
        <v>20</v>
      </c>
      <c r="B21" s="7">
        <v>212.0</v>
      </c>
    </row>
    <row r="22" ht="14.25" customHeight="1">
      <c r="A22" s="10" t="s">
        <v>21</v>
      </c>
      <c r="B22" s="7">
        <v>208.0</v>
      </c>
    </row>
    <row r="23" ht="14.25" customHeight="1">
      <c r="A23" s="10" t="s">
        <v>22</v>
      </c>
      <c r="B23" s="7">
        <v>27.0</v>
      </c>
    </row>
    <row r="24" ht="14.25" customHeight="1">
      <c r="A24" s="10" t="s">
        <v>23</v>
      </c>
      <c r="B24" s="7">
        <v>17.0</v>
      </c>
    </row>
    <row r="25" ht="14.25" customHeight="1">
      <c r="A25" s="11" t="s">
        <v>24</v>
      </c>
      <c r="B25" s="7">
        <v>1.0</v>
      </c>
    </row>
    <row r="26" ht="14.25" customHeight="1">
      <c r="A26" s="12" t="s">
        <v>25</v>
      </c>
      <c r="B26" s="7">
        <v>1233.0</v>
      </c>
    </row>
    <row r="27" ht="14.25" customHeight="1">
      <c r="A27" s="13" t="s">
        <v>26</v>
      </c>
      <c r="B27" s="7">
        <v>1246152.0</v>
      </c>
    </row>
    <row r="28" ht="14.25" customHeight="1">
      <c r="A28" s="13" t="s">
        <v>27</v>
      </c>
      <c r="B28" s="7">
        <v>3937.0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215</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216</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174</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175</v>
      </c>
      <c r="C8" s="144" t="s">
        <v>176</v>
      </c>
      <c r="D8" s="144" t="s">
        <v>177</v>
      </c>
      <c r="E8" s="144" t="s">
        <v>178</v>
      </c>
      <c r="F8" s="144" t="s">
        <v>179</v>
      </c>
      <c r="G8" s="144" t="s">
        <v>180</v>
      </c>
      <c r="H8" s="144" t="s">
        <v>181</v>
      </c>
      <c r="I8" s="144" t="s">
        <v>182</v>
      </c>
      <c r="J8" s="144" t="s">
        <v>183</v>
      </c>
      <c r="K8" s="144" t="s">
        <v>184</v>
      </c>
      <c r="L8" s="144" t="s">
        <v>185</v>
      </c>
      <c r="M8" s="144" t="s">
        <v>186</v>
      </c>
      <c r="N8" s="144" t="s">
        <v>187</v>
      </c>
      <c r="O8" s="144" t="s">
        <v>188</v>
      </c>
      <c r="P8" s="144" t="s">
        <v>189</v>
      </c>
      <c r="Q8" s="144" t="s">
        <v>190</v>
      </c>
      <c r="R8" s="144" t="s">
        <v>191</v>
      </c>
      <c r="S8" s="144" t="s">
        <v>192</v>
      </c>
      <c r="T8" s="144" t="s">
        <v>193</v>
      </c>
      <c r="U8" s="144" t="s">
        <v>194</v>
      </c>
      <c r="V8" s="144" t="s">
        <v>195</v>
      </c>
      <c r="W8" s="144" t="s">
        <v>196</v>
      </c>
      <c r="X8" s="144" t="s">
        <v>197</v>
      </c>
      <c r="Y8" s="144" t="s">
        <v>198</v>
      </c>
      <c r="Z8" s="144" t="s">
        <v>199</v>
      </c>
      <c r="AA8" s="144" t="s">
        <v>200</v>
      </c>
      <c r="AB8" s="144" t="s">
        <v>201</v>
      </c>
      <c r="AC8" s="144" t="s">
        <v>202</v>
      </c>
      <c r="AD8" s="144" t="s">
        <v>203</v>
      </c>
      <c r="AE8" s="144" t="s">
        <v>204</v>
      </c>
      <c r="AF8" s="144" t="s">
        <v>205</v>
      </c>
      <c r="AG8" s="144" t="s">
        <v>206</v>
      </c>
      <c r="AH8" s="144" t="s">
        <v>207</v>
      </c>
      <c r="AI8" s="144" t="s">
        <v>208</v>
      </c>
      <c r="AJ8" s="144" t="s">
        <v>209</v>
      </c>
      <c r="AK8" s="144" t="s">
        <v>210</v>
      </c>
      <c r="AL8" s="144" t="s">
        <v>211</v>
      </c>
      <c r="AM8" s="144" t="s">
        <v>212</v>
      </c>
      <c r="AN8" s="144" t="s">
        <v>213</v>
      </c>
      <c r="AO8" s="144" t="s">
        <v>169</v>
      </c>
    </row>
    <row r="9">
      <c r="A9" s="145" t="s">
        <v>217</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117</v>
      </c>
      <c r="H10" s="97">
        <v>0.0</v>
      </c>
      <c r="I10" s="97" t="s">
        <v>117</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117</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117</v>
      </c>
    </row>
    <row r="11">
      <c r="A11" s="145" t="s">
        <v>80</v>
      </c>
      <c r="B11" s="97" t="s">
        <v>117</v>
      </c>
      <c r="C11" s="97">
        <v>0.0</v>
      </c>
      <c r="D11" s="97" t="s">
        <v>117</v>
      </c>
      <c r="E11" s="97">
        <v>0.0</v>
      </c>
      <c r="F11" s="97">
        <v>0.0</v>
      </c>
      <c r="G11" s="97">
        <v>0.0</v>
      </c>
      <c r="H11" s="97" t="s">
        <v>117</v>
      </c>
      <c r="I11" s="97">
        <v>0.0</v>
      </c>
      <c r="J11" s="97">
        <v>0.0</v>
      </c>
      <c r="K11" s="97" t="s">
        <v>117</v>
      </c>
      <c r="L11" s="97">
        <v>0.0</v>
      </c>
      <c r="M11" s="97">
        <v>0.0</v>
      </c>
      <c r="N11" s="97">
        <v>0.0</v>
      </c>
      <c r="O11" s="97">
        <v>0.0</v>
      </c>
      <c r="P11" s="97">
        <v>0.0</v>
      </c>
      <c r="Q11" s="97">
        <v>0.0</v>
      </c>
      <c r="R11" s="97" t="s">
        <v>117</v>
      </c>
      <c r="S11" s="97">
        <v>0.0</v>
      </c>
      <c r="T11" s="97" t="s">
        <v>117</v>
      </c>
      <c r="U11" s="97" t="s">
        <v>117</v>
      </c>
      <c r="V11" s="97">
        <v>0.0</v>
      </c>
      <c r="W11" s="97">
        <v>0.0</v>
      </c>
      <c r="X11" s="97">
        <v>0.0</v>
      </c>
      <c r="Y11" s="97">
        <v>0.0</v>
      </c>
      <c r="Z11" s="97">
        <v>0.0</v>
      </c>
      <c r="AA11" s="97">
        <v>0.0</v>
      </c>
      <c r="AB11" s="97">
        <v>0.0</v>
      </c>
      <c r="AC11" s="97" t="s">
        <v>117</v>
      </c>
      <c r="AD11" s="97">
        <v>0.0</v>
      </c>
      <c r="AE11" s="97" t="s">
        <v>117</v>
      </c>
      <c r="AF11" s="97">
        <v>0.0</v>
      </c>
      <c r="AG11" s="97">
        <v>0.0</v>
      </c>
      <c r="AH11" s="97">
        <v>0.0</v>
      </c>
      <c r="AI11" s="97">
        <v>0.0</v>
      </c>
      <c r="AJ11" s="97" t="s">
        <v>117</v>
      </c>
      <c r="AK11" s="97">
        <v>0.0</v>
      </c>
      <c r="AL11" s="97">
        <v>0.0</v>
      </c>
      <c r="AM11" s="97" t="s">
        <v>117</v>
      </c>
      <c r="AN11" s="97">
        <v>0.0</v>
      </c>
      <c r="AO11" s="97">
        <v>1.0</v>
      </c>
    </row>
    <row r="12">
      <c r="A12" s="145" t="s">
        <v>81</v>
      </c>
      <c r="B12" s="97" t="s">
        <v>117</v>
      </c>
      <c r="C12" s="97" t="s">
        <v>117</v>
      </c>
      <c r="D12" s="97">
        <v>0.0</v>
      </c>
      <c r="E12" s="97" t="s">
        <v>117</v>
      </c>
      <c r="F12" s="97">
        <v>0.0</v>
      </c>
      <c r="G12" s="97" t="s">
        <v>117</v>
      </c>
      <c r="H12" s="97" t="s">
        <v>117</v>
      </c>
      <c r="I12" s="97" t="s">
        <v>117</v>
      </c>
      <c r="J12" s="97">
        <v>0.0</v>
      </c>
      <c r="K12" s="97" t="s">
        <v>117</v>
      </c>
      <c r="L12" s="97">
        <v>0.0</v>
      </c>
      <c r="M12" s="97" t="s">
        <v>117</v>
      </c>
      <c r="N12" s="97">
        <v>0.0</v>
      </c>
      <c r="O12" s="97">
        <v>0.0</v>
      </c>
      <c r="P12" s="97" t="s">
        <v>117</v>
      </c>
      <c r="Q12" s="97" t="s">
        <v>117</v>
      </c>
      <c r="R12" s="97">
        <v>0.0</v>
      </c>
      <c r="S12" s="97" t="s">
        <v>117</v>
      </c>
      <c r="T12" s="97" t="s">
        <v>117</v>
      </c>
      <c r="U12" s="97">
        <v>0.0</v>
      </c>
      <c r="V12" s="97">
        <v>0.0</v>
      </c>
      <c r="W12" s="97" t="s">
        <v>117</v>
      </c>
      <c r="X12" s="97">
        <v>0.0</v>
      </c>
      <c r="Y12" s="97">
        <v>0.0</v>
      </c>
      <c r="Z12" s="97" t="s">
        <v>117</v>
      </c>
      <c r="AA12" s="97" t="s">
        <v>117</v>
      </c>
      <c r="AB12" s="97" t="s">
        <v>117</v>
      </c>
      <c r="AC12" s="97">
        <v>14.0</v>
      </c>
      <c r="AD12" s="97">
        <v>0.0</v>
      </c>
      <c r="AE12" s="97" t="s">
        <v>117</v>
      </c>
      <c r="AF12" s="97">
        <v>0.0</v>
      </c>
      <c r="AG12" s="97" t="s">
        <v>117</v>
      </c>
      <c r="AH12" s="97">
        <v>0.0</v>
      </c>
      <c r="AI12" s="97" t="s">
        <v>117</v>
      </c>
      <c r="AJ12" s="97" t="s">
        <v>117</v>
      </c>
      <c r="AK12" s="97">
        <v>0.0</v>
      </c>
      <c r="AL12" s="97">
        <v>0.0</v>
      </c>
      <c r="AM12" s="97" t="s">
        <v>117</v>
      </c>
      <c r="AN12" s="97">
        <v>0.0</v>
      </c>
      <c r="AO12" s="97">
        <v>6.0</v>
      </c>
    </row>
    <row r="13">
      <c r="A13" s="145" t="s">
        <v>82</v>
      </c>
      <c r="B13" s="97">
        <v>31.0</v>
      </c>
      <c r="C13" s="97" t="s">
        <v>117</v>
      </c>
      <c r="D13" s="97">
        <v>30.0</v>
      </c>
      <c r="E13" s="97" t="s">
        <v>117</v>
      </c>
      <c r="F13" s="97" t="s">
        <v>117</v>
      </c>
      <c r="G13" s="97" t="s">
        <v>117</v>
      </c>
      <c r="H13" s="97">
        <v>33.0</v>
      </c>
      <c r="I13" s="97">
        <v>17.0</v>
      </c>
      <c r="J13" s="97">
        <v>0.0</v>
      </c>
      <c r="K13" s="97">
        <v>17.0</v>
      </c>
      <c r="L13" s="97" t="s">
        <v>117</v>
      </c>
      <c r="M13" s="97">
        <v>0.0</v>
      </c>
      <c r="N13" s="97">
        <v>0.0</v>
      </c>
      <c r="O13" s="97" t="s">
        <v>117</v>
      </c>
      <c r="P13" s="97">
        <v>0.0</v>
      </c>
      <c r="Q13" s="97" t="s">
        <v>117</v>
      </c>
      <c r="R13" s="97" t="s">
        <v>117</v>
      </c>
      <c r="S13" s="97">
        <v>0.0</v>
      </c>
      <c r="T13" s="97">
        <v>0.0</v>
      </c>
      <c r="U13" s="97" t="s">
        <v>117</v>
      </c>
      <c r="V13" s="97">
        <v>0.0</v>
      </c>
      <c r="W13" s="97" t="s">
        <v>117</v>
      </c>
      <c r="X13" s="97">
        <v>27.0</v>
      </c>
      <c r="Y13" s="97">
        <v>15.0</v>
      </c>
      <c r="Z13" s="97" t="s">
        <v>117</v>
      </c>
      <c r="AA13" s="97">
        <v>22.0</v>
      </c>
      <c r="AB13" s="97" t="s">
        <v>117</v>
      </c>
      <c r="AC13" s="97">
        <v>26.0</v>
      </c>
      <c r="AD13" s="97">
        <v>0.0</v>
      </c>
      <c r="AE13" s="97">
        <v>47.0</v>
      </c>
      <c r="AF13" s="97" t="s">
        <v>117</v>
      </c>
      <c r="AG13" s="97" t="s">
        <v>117</v>
      </c>
      <c r="AH13" s="97">
        <v>38.0</v>
      </c>
      <c r="AI13" s="97">
        <v>0.0</v>
      </c>
      <c r="AJ13" s="97">
        <v>19.0</v>
      </c>
      <c r="AK13" s="97">
        <v>0.0</v>
      </c>
      <c r="AL13" s="97">
        <v>21.0</v>
      </c>
      <c r="AM13" s="97" t="s">
        <v>117</v>
      </c>
      <c r="AN13" s="97" t="s">
        <v>117</v>
      </c>
      <c r="AO13" s="97">
        <v>19.0</v>
      </c>
    </row>
    <row r="14">
      <c r="A14" s="145" t="s">
        <v>83</v>
      </c>
      <c r="B14" s="97" t="s">
        <v>117</v>
      </c>
      <c r="C14" s="97">
        <v>27.0</v>
      </c>
      <c r="D14" s="97">
        <v>36.0</v>
      </c>
      <c r="E14" s="97">
        <v>52.0</v>
      </c>
      <c r="F14" s="97" t="s">
        <v>117</v>
      </c>
      <c r="G14" s="97">
        <v>35.0</v>
      </c>
      <c r="H14" s="97">
        <v>52.0</v>
      </c>
      <c r="I14" s="97">
        <v>49.0</v>
      </c>
      <c r="J14" s="97">
        <v>38.0</v>
      </c>
      <c r="K14" s="97">
        <v>32.0</v>
      </c>
      <c r="L14" s="97" t="s">
        <v>117</v>
      </c>
      <c r="M14" s="97">
        <v>0.0</v>
      </c>
      <c r="N14" s="97" t="s">
        <v>117</v>
      </c>
      <c r="O14" s="97" t="s">
        <v>117</v>
      </c>
      <c r="P14" s="97" t="s">
        <v>117</v>
      </c>
      <c r="Q14" s="97">
        <v>38.0</v>
      </c>
      <c r="R14" s="97">
        <v>42.0</v>
      </c>
      <c r="S14" s="97" t="s">
        <v>117</v>
      </c>
      <c r="T14" s="97" t="s">
        <v>117</v>
      </c>
      <c r="U14" s="97" t="s">
        <v>117</v>
      </c>
      <c r="V14" s="97" t="s">
        <v>117</v>
      </c>
      <c r="W14" s="97">
        <v>24.0</v>
      </c>
      <c r="X14" s="97">
        <v>31.0</v>
      </c>
      <c r="Y14" s="97">
        <v>80.0</v>
      </c>
      <c r="Z14" s="97" t="s">
        <v>117</v>
      </c>
      <c r="AA14" s="97">
        <v>77.0</v>
      </c>
      <c r="AB14" s="97">
        <v>40.0</v>
      </c>
      <c r="AC14" s="97">
        <v>63.0</v>
      </c>
      <c r="AD14" s="97">
        <v>0.0</v>
      </c>
      <c r="AE14" s="97" t="s">
        <v>117</v>
      </c>
      <c r="AF14" s="97">
        <v>37.0</v>
      </c>
      <c r="AG14" s="97">
        <v>26.0</v>
      </c>
      <c r="AH14" s="97">
        <v>32.0</v>
      </c>
      <c r="AI14" s="97" t="s">
        <v>117</v>
      </c>
      <c r="AJ14" s="97">
        <v>36.0</v>
      </c>
      <c r="AK14" s="97" t="s">
        <v>117</v>
      </c>
      <c r="AL14" s="97">
        <v>52.0</v>
      </c>
      <c r="AM14" s="97">
        <v>40.0</v>
      </c>
      <c r="AN14" s="97">
        <v>26.0</v>
      </c>
      <c r="AO14" s="97">
        <v>46.0</v>
      </c>
    </row>
    <row r="15">
      <c r="A15" s="145" t="s">
        <v>84</v>
      </c>
      <c r="B15" s="97">
        <v>37.0</v>
      </c>
      <c r="C15" s="97">
        <v>40.0</v>
      </c>
      <c r="D15" s="97">
        <v>85.0</v>
      </c>
      <c r="E15" s="97">
        <v>248.0</v>
      </c>
      <c r="F15" s="97" t="s">
        <v>117</v>
      </c>
      <c r="G15" s="97">
        <v>67.0</v>
      </c>
      <c r="H15" s="97">
        <v>134.0</v>
      </c>
      <c r="I15" s="97">
        <v>118.0</v>
      </c>
      <c r="J15" s="97">
        <v>99.0</v>
      </c>
      <c r="K15" s="97">
        <v>126.0</v>
      </c>
      <c r="L15" s="97" t="s">
        <v>117</v>
      </c>
      <c r="M15" s="97">
        <v>107.0</v>
      </c>
      <c r="N15" s="97" t="s">
        <v>117</v>
      </c>
      <c r="O15" s="97" t="s">
        <v>117</v>
      </c>
      <c r="P15" s="97" t="s">
        <v>117</v>
      </c>
      <c r="Q15" s="97">
        <v>130.0</v>
      </c>
      <c r="R15" s="97">
        <v>88.0</v>
      </c>
      <c r="S15" s="97" t="s">
        <v>117</v>
      </c>
      <c r="T15" s="97">
        <v>37.0</v>
      </c>
      <c r="U15" s="97">
        <v>84.0</v>
      </c>
      <c r="V15" s="97">
        <v>0.0</v>
      </c>
      <c r="W15" s="97">
        <v>32.0</v>
      </c>
      <c r="X15" s="97">
        <v>84.0</v>
      </c>
      <c r="Y15" s="97">
        <v>182.0</v>
      </c>
      <c r="Z15" s="97">
        <v>40.0</v>
      </c>
      <c r="AA15" s="97">
        <v>201.0</v>
      </c>
      <c r="AB15" s="97" t="s">
        <v>117</v>
      </c>
      <c r="AC15" s="97">
        <v>293.0</v>
      </c>
      <c r="AD15" s="97" t="s">
        <v>117</v>
      </c>
      <c r="AE15" s="97">
        <v>57.0</v>
      </c>
      <c r="AF15" s="97">
        <v>83.0</v>
      </c>
      <c r="AG15" s="97">
        <v>62.0</v>
      </c>
      <c r="AH15" s="97">
        <v>89.0</v>
      </c>
      <c r="AI15" s="97" t="s">
        <v>117</v>
      </c>
      <c r="AJ15" s="97">
        <v>81.0</v>
      </c>
      <c r="AK15" s="97">
        <v>81.0</v>
      </c>
      <c r="AL15" s="97">
        <v>73.0</v>
      </c>
      <c r="AM15" s="97">
        <v>35.0</v>
      </c>
      <c r="AN15" s="97">
        <v>91.0</v>
      </c>
      <c r="AO15" s="97">
        <v>137.0</v>
      </c>
    </row>
    <row r="16">
      <c r="A16" s="145" t="s">
        <v>85</v>
      </c>
      <c r="B16" s="97" t="s">
        <v>117</v>
      </c>
      <c r="C16" s="97">
        <v>54.0</v>
      </c>
      <c r="D16" s="97">
        <v>49.0</v>
      </c>
      <c r="E16" s="97">
        <v>578.0</v>
      </c>
      <c r="F16" s="97" t="s">
        <v>117</v>
      </c>
      <c r="G16" s="97">
        <v>52.0</v>
      </c>
      <c r="H16" s="97">
        <v>170.0</v>
      </c>
      <c r="I16" s="97">
        <v>81.0</v>
      </c>
      <c r="J16" s="97">
        <v>38.0</v>
      </c>
      <c r="K16" s="97">
        <v>114.0</v>
      </c>
      <c r="L16" s="97" t="s">
        <v>117</v>
      </c>
      <c r="M16" s="97" t="s">
        <v>117</v>
      </c>
      <c r="N16" s="97">
        <v>60.0</v>
      </c>
      <c r="O16" s="97">
        <v>0.0</v>
      </c>
      <c r="P16" s="97" t="s">
        <v>117</v>
      </c>
      <c r="Q16" s="97">
        <v>133.0</v>
      </c>
      <c r="R16" s="97">
        <v>92.0</v>
      </c>
      <c r="S16" s="97" t="s">
        <v>117</v>
      </c>
      <c r="T16" s="97" t="s">
        <v>117</v>
      </c>
      <c r="U16" s="97" t="s">
        <v>117</v>
      </c>
      <c r="V16" s="97">
        <v>0.0</v>
      </c>
      <c r="W16" s="97">
        <v>0.0</v>
      </c>
      <c r="X16" s="97">
        <v>23.0</v>
      </c>
      <c r="Y16" s="97">
        <v>259.0</v>
      </c>
      <c r="Z16" s="97" t="s">
        <v>117</v>
      </c>
      <c r="AA16" s="97">
        <v>288.0</v>
      </c>
      <c r="AB16" s="97" t="s">
        <v>117</v>
      </c>
      <c r="AC16" s="97">
        <v>349.0</v>
      </c>
      <c r="AD16" s="97" t="s">
        <v>117</v>
      </c>
      <c r="AE16" s="97">
        <v>57.0</v>
      </c>
      <c r="AF16" s="97">
        <v>37.0</v>
      </c>
      <c r="AG16" s="97">
        <v>33.0</v>
      </c>
      <c r="AH16" s="97">
        <v>51.0</v>
      </c>
      <c r="AI16" s="97" t="s">
        <v>117</v>
      </c>
      <c r="AJ16" s="97">
        <v>76.0</v>
      </c>
      <c r="AK16" s="97" t="s">
        <v>117</v>
      </c>
      <c r="AL16" s="97">
        <v>107.0</v>
      </c>
      <c r="AM16" s="97">
        <v>27.0</v>
      </c>
      <c r="AN16" s="97">
        <v>116.0</v>
      </c>
      <c r="AO16" s="97">
        <v>153.0</v>
      </c>
    </row>
    <row r="17">
      <c r="A17" s="145" t="s">
        <v>86</v>
      </c>
      <c r="B17" s="97">
        <v>37.0</v>
      </c>
      <c r="C17" s="97">
        <v>54.0</v>
      </c>
      <c r="D17" s="97">
        <v>61.0</v>
      </c>
      <c r="E17" s="97">
        <v>903.0</v>
      </c>
      <c r="F17" s="97" t="s">
        <v>117</v>
      </c>
      <c r="G17" s="97">
        <v>46.0</v>
      </c>
      <c r="H17" s="97">
        <v>153.0</v>
      </c>
      <c r="I17" s="97">
        <v>101.0</v>
      </c>
      <c r="J17" s="97">
        <v>92.0</v>
      </c>
      <c r="K17" s="97">
        <v>103.0</v>
      </c>
      <c r="L17" s="97">
        <v>74.0</v>
      </c>
      <c r="M17" s="97" t="s">
        <v>117</v>
      </c>
      <c r="N17" s="97">
        <v>70.0</v>
      </c>
      <c r="O17" s="97" t="s">
        <v>117</v>
      </c>
      <c r="P17" s="97" t="s">
        <v>117</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117</v>
      </c>
      <c r="AL17" s="97">
        <v>117.0</v>
      </c>
      <c r="AM17" s="97">
        <v>66.0</v>
      </c>
      <c r="AN17" s="97">
        <v>120.0</v>
      </c>
      <c r="AO17" s="97">
        <v>190.0</v>
      </c>
    </row>
    <row r="18">
      <c r="A18" s="145" t="s">
        <v>87</v>
      </c>
      <c r="B18" s="97" t="s">
        <v>117</v>
      </c>
      <c r="C18" s="97">
        <v>45.0</v>
      </c>
      <c r="D18" s="97">
        <v>61.0</v>
      </c>
      <c r="E18" s="97">
        <v>691.0</v>
      </c>
      <c r="F18" s="97" t="s">
        <v>117</v>
      </c>
      <c r="G18" s="97">
        <v>35.0</v>
      </c>
      <c r="H18" s="97">
        <v>134.0</v>
      </c>
      <c r="I18" s="97">
        <v>61.0</v>
      </c>
      <c r="J18" s="97">
        <v>76.0</v>
      </c>
      <c r="K18" s="97">
        <v>91.0</v>
      </c>
      <c r="L18" s="97" t="s">
        <v>117</v>
      </c>
      <c r="M18" s="97" t="s">
        <v>117</v>
      </c>
      <c r="N18" s="97" t="s">
        <v>117</v>
      </c>
      <c r="O18" s="97">
        <v>0.0</v>
      </c>
      <c r="P18" s="97">
        <v>0.0</v>
      </c>
      <c r="Q18" s="97">
        <v>86.0</v>
      </c>
      <c r="R18" s="97">
        <v>88.0</v>
      </c>
      <c r="S18" s="97">
        <v>0.0</v>
      </c>
      <c r="T18" s="97" t="s">
        <v>117</v>
      </c>
      <c r="U18" s="97" t="s">
        <v>117</v>
      </c>
      <c r="V18" s="97">
        <v>0.0</v>
      </c>
      <c r="W18" s="97">
        <v>32.0</v>
      </c>
      <c r="X18" s="97">
        <v>19.0</v>
      </c>
      <c r="Y18" s="97">
        <v>176.0</v>
      </c>
      <c r="Z18" s="97" t="s">
        <v>117</v>
      </c>
      <c r="AA18" s="97">
        <v>279.0</v>
      </c>
      <c r="AB18" s="97" t="s">
        <v>117</v>
      </c>
      <c r="AC18" s="97">
        <v>389.0</v>
      </c>
      <c r="AD18" s="97">
        <v>66.0</v>
      </c>
      <c r="AE18" s="97" t="s">
        <v>117</v>
      </c>
      <c r="AF18" s="97">
        <v>51.0</v>
      </c>
      <c r="AG18" s="97" t="s">
        <v>117</v>
      </c>
      <c r="AH18" s="97">
        <v>44.0</v>
      </c>
      <c r="AI18" s="97" t="s">
        <v>117</v>
      </c>
      <c r="AJ18" s="97">
        <v>72.0</v>
      </c>
      <c r="AK18" s="97" t="s">
        <v>117</v>
      </c>
      <c r="AL18" s="97">
        <v>86.0</v>
      </c>
      <c r="AM18" s="97">
        <v>31.0</v>
      </c>
      <c r="AN18" s="97">
        <v>130.0</v>
      </c>
      <c r="AO18" s="97">
        <v>155.0</v>
      </c>
    </row>
    <row r="19">
      <c r="A19" s="145" t="s">
        <v>88</v>
      </c>
      <c r="B19" s="97" t="s">
        <v>117</v>
      </c>
      <c r="C19" s="97">
        <v>40.0</v>
      </c>
      <c r="D19" s="97" t="s">
        <v>117</v>
      </c>
      <c r="E19" s="97">
        <v>671.0</v>
      </c>
      <c r="F19" s="97" t="s">
        <v>117</v>
      </c>
      <c r="G19" s="97">
        <v>35.0</v>
      </c>
      <c r="H19" s="97">
        <v>101.0</v>
      </c>
      <c r="I19" s="97">
        <v>61.0</v>
      </c>
      <c r="J19" s="97">
        <v>54.0</v>
      </c>
      <c r="K19" s="97">
        <v>107.0</v>
      </c>
      <c r="L19" s="97">
        <v>88.0</v>
      </c>
      <c r="M19" s="97" t="s">
        <v>117</v>
      </c>
      <c r="N19" s="97" t="s">
        <v>117</v>
      </c>
      <c r="O19" s="97" t="s">
        <v>117</v>
      </c>
      <c r="P19" s="97" t="s">
        <v>117</v>
      </c>
      <c r="Q19" s="97">
        <v>113.0</v>
      </c>
      <c r="R19" s="97">
        <v>92.0</v>
      </c>
      <c r="S19" s="97" t="s">
        <v>117</v>
      </c>
      <c r="T19" s="97" t="s">
        <v>117</v>
      </c>
      <c r="U19" s="97" t="s">
        <v>117</v>
      </c>
      <c r="V19" s="97">
        <v>0.0</v>
      </c>
      <c r="W19" s="97">
        <v>32.0</v>
      </c>
      <c r="X19" s="97">
        <v>31.0</v>
      </c>
      <c r="Y19" s="97">
        <v>139.0</v>
      </c>
      <c r="Z19" s="97" t="s">
        <v>117</v>
      </c>
      <c r="AA19" s="97">
        <v>272.0</v>
      </c>
      <c r="AB19" s="97" t="s">
        <v>117</v>
      </c>
      <c r="AC19" s="97">
        <v>304.0</v>
      </c>
      <c r="AD19" s="97" t="s">
        <v>117</v>
      </c>
      <c r="AE19" s="97" t="s">
        <v>117</v>
      </c>
      <c r="AF19" s="97">
        <v>51.0</v>
      </c>
      <c r="AG19" s="97" t="s">
        <v>117</v>
      </c>
      <c r="AH19" s="97">
        <v>32.0</v>
      </c>
      <c r="AI19" s="97" t="s">
        <v>117</v>
      </c>
      <c r="AJ19" s="97">
        <v>56.0</v>
      </c>
      <c r="AK19" s="97">
        <v>0.0</v>
      </c>
      <c r="AL19" s="97">
        <v>97.0</v>
      </c>
      <c r="AM19" s="97" t="s">
        <v>117</v>
      </c>
      <c r="AN19" s="97">
        <v>137.0</v>
      </c>
      <c r="AO19" s="97">
        <v>131.0</v>
      </c>
    </row>
    <row r="20">
      <c r="A20" s="145" t="s">
        <v>89</v>
      </c>
      <c r="B20" s="97">
        <v>43.0</v>
      </c>
      <c r="C20" s="97">
        <v>27.0</v>
      </c>
      <c r="D20" s="97" t="s">
        <v>117</v>
      </c>
      <c r="E20" s="97">
        <v>495.0</v>
      </c>
      <c r="F20" s="97">
        <v>0.0</v>
      </c>
      <c r="G20" s="97">
        <v>35.0</v>
      </c>
      <c r="H20" s="97">
        <v>94.0</v>
      </c>
      <c r="I20" s="97">
        <v>32.0</v>
      </c>
      <c r="J20" s="97">
        <v>46.0</v>
      </c>
      <c r="K20" s="97">
        <v>76.0</v>
      </c>
      <c r="L20" s="97" t="s">
        <v>117</v>
      </c>
      <c r="M20" s="97" t="s">
        <v>117</v>
      </c>
      <c r="N20" s="97">
        <v>89.0</v>
      </c>
      <c r="O20" s="97" t="s">
        <v>117</v>
      </c>
      <c r="P20" s="97">
        <v>0.0</v>
      </c>
      <c r="Q20" s="97">
        <v>79.0</v>
      </c>
      <c r="R20" s="97">
        <v>60.0</v>
      </c>
      <c r="S20" s="97">
        <v>0.0</v>
      </c>
      <c r="T20" s="97">
        <v>0.0</v>
      </c>
      <c r="U20" s="97" t="s">
        <v>117</v>
      </c>
      <c r="V20" s="97">
        <v>0.0</v>
      </c>
      <c r="W20" s="97" t="s">
        <v>117</v>
      </c>
      <c r="X20" s="97">
        <v>19.0</v>
      </c>
      <c r="Y20" s="97">
        <v>145.0</v>
      </c>
      <c r="Z20" s="97">
        <v>73.0</v>
      </c>
      <c r="AA20" s="97">
        <v>170.0</v>
      </c>
      <c r="AB20" s="97" t="s">
        <v>117</v>
      </c>
      <c r="AC20" s="97">
        <v>268.0</v>
      </c>
      <c r="AD20" s="97" t="s">
        <v>117</v>
      </c>
      <c r="AE20" s="97">
        <v>47.0</v>
      </c>
      <c r="AF20" s="97">
        <v>55.0</v>
      </c>
      <c r="AG20" s="97" t="s">
        <v>117</v>
      </c>
      <c r="AH20" s="97">
        <v>44.0</v>
      </c>
      <c r="AI20" s="97">
        <v>133.0</v>
      </c>
      <c r="AJ20" s="97">
        <v>43.0</v>
      </c>
      <c r="AK20" s="97" t="s">
        <v>117</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117</v>
      </c>
      <c r="K21" s="97">
        <v>36.0</v>
      </c>
      <c r="L21" s="97" t="s">
        <v>117</v>
      </c>
      <c r="M21" s="97" t="s">
        <v>117</v>
      </c>
      <c r="N21" s="97" t="s">
        <v>117</v>
      </c>
      <c r="O21" s="97" t="s">
        <v>117</v>
      </c>
      <c r="P21" s="97" t="s">
        <v>117</v>
      </c>
      <c r="Q21" s="97">
        <v>65.0</v>
      </c>
      <c r="R21" s="97">
        <v>51.0</v>
      </c>
      <c r="S21" s="97" t="s">
        <v>117</v>
      </c>
      <c r="T21" s="97" t="s">
        <v>117</v>
      </c>
      <c r="U21" s="97" t="s">
        <v>117</v>
      </c>
      <c r="V21" s="97">
        <v>0.0</v>
      </c>
      <c r="W21" s="97" t="s">
        <v>117</v>
      </c>
      <c r="X21" s="97">
        <v>19.0</v>
      </c>
      <c r="Y21" s="97">
        <v>80.0</v>
      </c>
      <c r="Z21" s="97">
        <v>49.0</v>
      </c>
      <c r="AA21" s="97">
        <v>155.0</v>
      </c>
      <c r="AB21" s="97">
        <v>40.0</v>
      </c>
      <c r="AC21" s="97">
        <v>227.0</v>
      </c>
      <c r="AD21" s="97" t="s">
        <v>117</v>
      </c>
      <c r="AE21" s="97" t="s">
        <v>117</v>
      </c>
      <c r="AF21" s="97">
        <v>28.0</v>
      </c>
      <c r="AG21" s="97" t="s">
        <v>117</v>
      </c>
      <c r="AH21" s="97">
        <v>57.0</v>
      </c>
      <c r="AI21" s="97">
        <v>48.0</v>
      </c>
      <c r="AJ21" s="97">
        <v>44.0</v>
      </c>
      <c r="AK21" s="97" t="s">
        <v>117</v>
      </c>
      <c r="AL21" s="97">
        <v>41.0</v>
      </c>
      <c r="AM21" s="97" t="s">
        <v>117</v>
      </c>
      <c r="AN21" s="97">
        <v>89.0</v>
      </c>
      <c r="AO21" s="97">
        <v>91.0</v>
      </c>
    </row>
    <row r="22">
      <c r="A22" s="145" t="s">
        <v>91</v>
      </c>
      <c r="B22" s="97" t="s">
        <v>117</v>
      </c>
      <c r="C22" s="97">
        <v>40.0</v>
      </c>
      <c r="D22" s="97" t="s">
        <v>117</v>
      </c>
      <c r="E22" s="97">
        <v>160.0</v>
      </c>
      <c r="F22" s="97" t="s">
        <v>117</v>
      </c>
      <c r="G22" s="97">
        <v>29.0</v>
      </c>
      <c r="H22" s="97">
        <v>60.0</v>
      </c>
      <c r="I22" s="97">
        <v>17.0</v>
      </c>
      <c r="J22" s="97">
        <v>0.0</v>
      </c>
      <c r="K22" s="97">
        <v>44.0</v>
      </c>
      <c r="L22" s="97">
        <v>0.0</v>
      </c>
      <c r="M22" s="97" t="s">
        <v>117</v>
      </c>
      <c r="N22" s="97" t="s">
        <v>117</v>
      </c>
      <c r="O22" s="97">
        <v>0.0</v>
      </c>
      <c r="P22" s="97" t="s">
        <v>117</v>
      </c>
      <c r="Q22" s="97">
        <v>116.0</v>
      </c>
      <c r="R22" s="97">
        <v>42.0</v>
      </c>
      <c r="S22" s="97">
        <v>0.0</v>
      </c>
      <c r="T22" s="97" t="s">
        <v>117</v>
      </c>
      <c r="U22" s="97" t="s">
        <v>117</v>
      </c>
      <c r="V22" s="97">
        <v>0.0</v>
      </c>
      <c r="W22" s="97">
        <v>36.0</v>
      </c>
      <c r="X22" s="97">
        <v>23.0</v>
      </c>
      <c r="Y22" s="97">
        <v>52.0</v>
      </c>
      <c r="Z22" s="97" t="s">
        <v>117</v>
      </c>
      <c r="AA22" s="97">
        <v>99.0</v>
      </c>
      <c r="AB22" s="97">
        <v>34.0</v>
      </c>
      <c r="AC22" s="97">
        <v>185.0</v>
      </c>
      <c r="AD22" s="97" t="s">
        <v>117</v>
      </c>
      <c r="AE22" s="97" t="s">
        <v>117</v>
      </c>
      <c r="AF22" s="97">
        <v>0.0</v>
      </c>
      <c r="AG22" s="97">
        <v>0.0</v>
      </c>
      <c r="AH22" s="97" t="s">
        <v>117</v>
      </c>
      <c r="AI22" s="97">
        <v>0.0</v>
      </c>
      <c r="AJ22" s="97">
        <v>25.0</v>
      </c>
      <c r="AK22" s="97" t="s">
        <v>117</v>
      </c>
      <c r="AL22" s="97">
        <v>31.0</v>
      </c>
      <c r="AM22" s="97" t="s">
        <v>117</v>
      </c>
      <c r="AN22" s="97">
        <v>91.0</v>
      </c>
      <c r="AO22" s="97">
        <v>68.0</v>
      </c>
    </row>
    <row r="23">
      <c r="A23" s="145" t="s">
        <v>92</v>
      </c>
      <c r="B23" s="97" t="s">
        <v>117</v>
      </c>
      <c r="C23" s="97" t="s">
        <v>117</v>
      </c>
      <c r="D23" s="97" t="s">
        <v>117</v>
      </c>
      <c r="E23" s="97">
        <v>170.0</v>
      </c>
      <c r="F23" s="97">
        <v>0.0</v>
      </c>
      <c r="G23" s="97" t="s">
        <v>117</v>
      </c>
      <c r="H23" s="97">
        <v>43.0</v>
      </c>
      <c r="I23" s="97">
        <v>32.0</v>
      </c>
      <c r="J23" s="97" t="s">
        <v>117</v>
      </c>
      <c r="K23" s="97">
        <v>25.0</v>
      </c>
      <c r="L23" s="97" t="s">
        <v>117</v>
      </c>
      <c r="M23" s="97">
        <v>0.0</v>
      </c>
      <c r="N23" s="97" t="s">
        <v>117</v>
      </c>
      <c r="O23" s="97">
        <v>0.0</v>
      </c>
      <c r="P23" s="97" t="s">
        <v>117</v>
      </c>
      <c r="Q23" s="97">
        <v>41.0</v>
      </c>
      <c r="R23" s="97" t="s">
        <v>117</v>
      </c>
      <c r="S23" s="97">
        <v>0.0</v>
      </c>
      <c r="T23" s="97" t="s">
        <v>117</v>
      </c>
      <c r="U23" s="97" t="s">
        <v>117</v>
      </c>
      <c r="V23" s="97">
        <v>0.0</v>
      </c>
      <c r="W23" s="97" t="s">
        <v>117</v>
      </c>
      <c r="X23" s="97" t="s">
        <v>117</v>
      </c>
      <c r="Y23" s="97">
        <v>62.0</v>
      </c>
      <c r="Z23" s="97" t="s">
        <v>117</v>
      </c>
      <c r="AA23" s="97">
        <v>71.0</v>
      </c>
      <c r="AB23" s="97">
        <v>29.0</v>
      </c>
      <c r="AC23" s="97">
        <v>143.0</v>
      </c>
      <c r="AD23" s="97">
        <v>0.0</v>
      </c>
      <c r="AE23" s="97" t="s">
        <v>117</v>
      </c>
      <c r="AF23" s="97" t="s">
        <v>117</v>
      </c>
      <c r="AG23" s="97">
        <v>0.0</v>
      </c>
      <c r="AH23" s="97" t="s">
        <v>117</v>
      </c>
      <c r="AI23" s="97" t="s">
        <v>117</v>
      </c>
      <c r="AJ23" s="97">
        <v>23.0</v>
      </c>
      <c r="AK23" s="97">
        <v>0.0</v>
      </c>
      <c r="AL23" s="97">
        <v>31.0</v>
      </c>
      <c r="AM23" s="97">
        <v>0.0</v>
      </c>
      <c r="AN23" s="97">
        <v>60.0</v>
      </c>
      <c r="AO23" s="97">
        <v>50.0</v>
      </c>
    </row>
    <row r="24">
      <c r="A24" s="145" t="s">
        <v>93</v>
      </c>
      <c r="B24" s="97" t="s">
        <v>117</v>
      </c>
      <c r="C24" s="97" t="s">
        <v>117</v>
      </c>
      <c r="D24" s="97" t="s">
        <v>117</v>
      </c>
      <c r="E24" s="97">
        <v>119.0</v>
      </c>
      <c r="F24" s="97" t="s">
        <v>117</v>
      </c>
      <c r="G24" s="97" t="s">
        <v>117</v>
      </c>
      <c r="H24" s="97">
        <v>39.0</v>
      </c>
      <c r="I24" s="97">
        <v>26.0</v>
      </c>
      <c r="J24" s="97" t="s">
        <v>117</v>
      </c>
      <c r="K24" s="97">
        <v>25.0</v>
      </c>
      <c r="L24" s="97" t="s">
        <v>117</v>
      </c>
      <c r="M24" s="97">
        <v>0.0</v>
      </c>
      <c r="N24" s="97">
        <v>0.0</v>
      </c>
      <c r="O24" s="97">
        <v>0.0</v>
      </c>
      <c r="P24" s="97">
        <v>0.0</v>
      </c>
      <c r="Q24" s="97">
        <v>51.0</v>
      </c>
      <c r="R24" s="97">
        <v>28.0</v>
      </c>
      <c r="S24" s="97">
        <v>0.0</v>
      </c>
      <c r="T24" s="97" t="s">
        <v>117</v>
      </c>
      <c r="U24" s="97">
        <v>0.0</v>
      </c>
      <c r="V24" s="97">
        <v>0.0</v>
      </c>
      <c r="W24" s="97" t="s">
        <v>117</v>
      </c>
      <c r="X24" s="97" t="s">
        <v>117</v>
      </c>
      <c r="Y24" s="97">
        <v>28.0</v>
      </c>
      <c r="Z24" s="97">
        <v>57.0</v>
      </c>
      <c r="AA24" s="97">
        <v>57.0</v>
      </c>
      <c r="AB24" s="97">
        <v>0.0</v>
      </c>
      <c r="AC24" s="97">
        <v>89.0</v>
      </c>
      <c r="AD24" s="97">
        <v>0.0</v>
      </c>
      <c r="AE24" s="97" t="s">
        <v>117</v>
      </c>
      <c r="AF24" s="97" t="s">
        <v>117</v>
      </c>
      <c r="AG24" s="97" t="s">
        <v>117</v>
      </c>
      <c r="AH24" s="97" t="s">
        <v>117</v>
      </c>
      <c r="AI24" s="97" t="s">
        <v>117</v>
      </c>
      <c r="AJ24" s="97">
        <v>12.0</v>
      </c>
      <c r="AK24" s="97">
        <v>0.0</v>
      </c>
      <c r="AL24" s="97" t="s">
        <v>117</v>
      </c>
      <c r="AM24" s="97">
        <v>0.0</v>
      </c>
      <c r="AN24" s="97">
        <v>46.0</v>
      </c>
      <c r="AO24" s="97">
        <v>36.0</v>
      </c>
    </row>
    <row r="25">
      <c r="A25" s="145" t="s">
        <v>94</v>
      </c>
      <c r="B25" s="97">
        <v>0.0</v>
      </c>
      <c r="C25" s="97" t="s">
        <v>117</v>
      </c>
      <c r="D25" s="97" t="s">
        <v>117</v>
      </c>
      <c r="E25" s="97">
        <v>114.0</v>
      </c>
      <c r="F25" s="97" t="s">
        <v>117</v>
      </c>
      <c r="G25" s="97">
        <v>0.0</v>
      </c>
      <c r="H25" s="97">
        <v>22.0</v>
      </c>
      <c r="I25" s="97" t="s">
        <v>117</v>
      </c>
      <c r="J25" s="97" t="s">
        <v>117</v>
      </c>
      <c r="K25" s="97">
        <v>17.0</v>
      </c>
      <c r="L25" s="97">
        <v>0.0</v>
      </c>
      <c r="M25" s="97">
        <v>0.0</v>
      </c>
      <c r="N25" s="97">
        <v>0.0</v>
      </c>
      <c r="O25" s="97">
        <v>0.0</v>
      </c>
      <c r="P25" s="97" t="s">
        <v>117</v>
      </c>
      <c r="Q25" s="97">
        <v>21.0</v>
      </c>
      <c r="R25" s="97">
        <v>23.0</v>
      </c>
      <c r="S25" s="97">
        <v>0.0</v>
      </c>
      <c r="T25" s="97" t="s">
        <v>117</v>
      </c>
      <c r="U25" s="97" t="s">
        <v>117</v>
      </c>
      <c r="V25" s="97">
        <v>0.0</v>
      </c>
      <c r="W25" s="97">
        <v>28.0</v>
      </c>
      <c r="X25" s="97" t="s">
        <v>117</v>
      </c>
      <c r="Y25" s="97" t="s">
        <v>117</v>
      </c>
      <c r="Z25" s="97" t="s">
        <v>117</v>
      </c>
      <c r="AA25" s="97">
        <v>36.0</v>
      </c>
      <c r="AB25" s="97">
        <v>0.0</v>
      </c>
      <c r="AC25" s="97">
        <v>72.0</v>
      </c>
      <c r="AD25" s="97" t="s">
        <v>117</v>
      </c>
      <c r="AE25" s="97" t="s">
        <v>117</v>
      </c>
      <c r="AF25" s="97" t="s">
        <v>117</v>
      </c>
      <c r="AG25" s="97">
        <v>0.0</v>
      </c>
      <c r="AH25" s="97">
        <v>0.0</v>
      </c>
      <c r="AI25" s="97" t="s">
        <v>117</v>
      </c>
      <c r="AJ25" s="97">
        <v>14.0</v>
      </c>
      <c r="AK25" s="97">
        <v>0.0</v>
      </c>
      <c r="AL25" s="97">
        <v>35.0</v>
      </c>
      <c r="AM25" s="97" t="s">
        <v>117</v>
      </c>
      <c r="AN25" s="97">
        <v>36.0</v>
      </c>
      <c r="AO25" s="97">
        <v>28.0</v>
      </c>
    </row>
    <row r="26">
      <c r="A26" s="145" t="s">
        <v>95</v>
      </c>
      <c r="B26" s="97" t="s">
        <v>117</v>
      </c>
      <c r="C26" s="97" t="s">
        <v>117</v>
      </c>
      <c r="D26" s="97" t="s">
        <v>117</v>
      </c>
      <c r="E26" s="97">
        <v>62.0</v>
      </c>
      <c r="F26" s="97" t="s">
        <v>117</v>
      </c>
      <c r="G26" s="97" t="s">
        <v>117</v>
      </c>
      <c r="H26" s="97">
        <v>16.0</v>
      </c>
      <c r="I26" s="97">
        <v>26.0</v>
      </c>
      <c r="J26" s="97" t="s">
        <v>117</v>
      </c>
      <c r="K26" s="97">
        <v>15.0</v>
      </c>
      <c r="L26" s="97">
        <v>0.0</v>
      </c>
      <c r="M26" s="97" t="s">
        <v>117</v>
      </c>
      <c r="N26" s="97" t="s">
        <v>117</v>
      </c>
      <c r="O26" s="97" t="s">
        <v>117</v>
      </c>
      <c r="P26" s="97">
        <v>0.0</v>
      </c>
      <c r="Q26" s="97">
        <v>31.0</v>
      </c>
      <c r="R26" s="97">
        <v>28.0</v>
      </c>
      <c r="S26" s="97">
        <v>0.0</v>
      </c>
      <c r="T26" s="97">
        <v>37.0</v>
      </c>
      <c r="U26" s="97">
        <v>0.0</v>
      </c>
      <c r="V26" s="97">
        <v>0.0</v>
      </c>
      <c r="W26" s="97">
        <v>48.0</v>
      </c>
      <c r="X26" s="97" t="s">
        <v>117</v>
      </c>
      <c r="Y26" s="97">
        <v>37.0</v>
      </c>
      <c r="Z26" s="97" t="s">
        <v>117</v>
      </c>
      <c r="AA26" s="97">
        <v>56.0</v>
      </c>
      <c r="AB26" s="97" t="s">
        <v>117</v>
      </c>
      <c r="AC26" s="97">
        <v>66.0</v>
      </c>
      <c r="AD26" s="97">
        <v>0.0</v>
      </c>
      <c r="AE26" s="97" t="s">
        <v>117</v>
      </c>
      <c r="AF26" s="97" t="s">
        <v>117</v>
      </c>
      <c r="AG26" s="97" t="s">
        <v>117</v>
      </c>
      <c r="AH26" s="97" t="s">
        <v>117</v>
      </c>
      <c r="AI26" s="97" t="s">
        <v>117</v>
      </c>
      <c r="AJ26" s="97">
        <v>12.0</v>
      </c>
      <c r="AK26" s="97" t="s">
        <v>117</v>
      </c>
      <c r="AL26" s="97">
        <v>31.0</v>
      </c>
      <c r="AM26" s="97" t="s">
        <v>117</v>
      </c>
      <c r="AN26" s="97">
        <v>39.0</v>
      </c>
      <c r="AO26" s="97">
        <v>31.0</v>
      </c>
    </row>
    <row r="27">
      <c r="A27" s="145" t="s">
        <v>96</v>
      </c>
      <c r="B27" s="97" t="s">
        <v>117</v>
      </c>
      <c r="C27" s="97" t="s">
        <v>117</v>
      </c>
      <c r="D27" s="97" t="s">
        <v>117</v>
      </c>
      <c r="E27" s="97">
        <v>31.0</v>
      </c>
      <c r="F27" s="97" t="s">
        <v>117</v>
      </c>
      <c r="G27" s="97">
        <v>26.0</v>
      </c>
      <c r="H27" s="97">
        <v>39.0</v>
      </c>
      <c r="I27" s="97" t="s">
        <v>117</v>
      </c>
      <c r="J27" s="97" t="s">
        <v>117</v>
      </c>
      <c r="K27" s="97">
        <v>13.0</v>
      </c>
      <c r="L27" s="97">
        <v>0.0</v>
      </c>
      <c r="M27" s="97" t="s">
        <v>117</v>
      </c>
      <c r="N27" s="97" t="s">
        <v>117</v>
      </c>
      <c r="O27" s="97">
        <v>0.0</v>
      </c>
      <c r="P27" s="97" t="s">
        <v>117</v>
      </c>
      <c r="Q27" s="97">
        <v>31.0</v>
      </c>
      <c r="R27" s="97" t="s">
        <v>117</v>
      </c>
      <c r="S27" s="97" t="s">
        <v>117</v>
      </c>
      <c r="T27" s="97">
        <v>31.0</v>
      </c>
      <c r="U27" s="97">
        <v>0.0</v>
      </c>
      <c r="V27" s="97">
        <v>0.0</v>
      </c>
      <c r="W27" s="97">
        <v>36.0</v>
      </c>
      <c r="X27" s="97" t="s">
        <v>117</v>
      </c>
      <c r="Y27" s="97">
        <v>31.0</v>
      </c>
      <c r="Z27" s="97" t="s">
        <v>117</v>
      </c>
      <c r="AA27" s="97">
        <v>18.0</v>
      </c>
      <c r="AB27" s="97" t="s">
        <v>117</v>
      </c>
      <c r="AC27" s="97">
        <v>47.0</v>
      </c>
      <c r="AD27" s="97">
        <v>0.0</v>
      </c>
      <c r="AE27" s="97" t="s">
        <v>117</v>
      </c>
      <c r="AF27" s="97">
        <v>23.0</v>
      </c>
      <c r="AG27" s="97">
        <v>0.0</v>
      </c>
      <c r="AH27" s="97" t="s">
        <v>117</v>
      </c>
      <c r="AI27" s="97" t="s">
        <v>117</v>
      </c>
      <c r="AJ27" s="97">
        <v>12.0</v>
      </c>
      <c r="AK27" s="97">
        <v>0.0</v>
      </c>
      <c r="AL27" s="97">
        <v>28.0</v>
      </c>
      <c r="AM27" s="97">
        <v>22.0</v>
      </c>
      <c r="AN27" s="97">
        <v>17.0</v>
      </c>
      <c r="AO27" s="97">
        <v>25.0</v>
      </c>
    </row>
    <row r="28">
      <c r="A28" s="145" t="s">
        <v>97</v>
      </c>
      <c r="B28" s="97" t="s">
        <v>117</v>
      </c>
      <c r="C28" s="97">
        <v>31.0</v>
      </c>
      <c r="D28" s="97" t="s">
        <v>117</v>
      </c>
      <c r="E28" s="97">
        <v>77.0</v>
      </c>
      <c r="F28" s="97" t="s">
        <v>117</v>
      </c>
      <c r="G28" s="97">
        <v>26.0</v>
      </c>
      <c r="H28" s="97">
        <v>30.0</v>
      </c>
      <c r="I28" s="97" t="s">
        <v>117</v>
      </c>
      <c r="J28" s="97">
        <v>54.0</v>
      </c>
      <c r="K28" s="97">
        <v>15.0</v>
      </c>
      <c r="L28" s="97">
        <v>0.0</v>
      </c>
      <c r="M28" s="97">
        <v>0.0</v>
      </c>
      <c r="N28" s="97" t="s">
        <v>117</v>
      </c>
      <c r="O28" s="97" t="s">
        <v>117</v>
      </c>
      <c r="P28" s="97" t="s">
        <v>117</v>
      </c>
      <c r="Q28" s="97">
        <v>21.0</v>
      </c>
      <c r="R28" s="97">
        <v>28.0</v>
      </c>
      <c r="S28" s="97">
        <v>0.0</v>
      </c>
      <c r="T28" s="97">
        <v>50.0</v>
      </c>
      <c r="U28" s="97" t="s">
        <v>117</v>
      </c>
      <c r="V28" s="97" t="s">
        <v>117</v>
      </c>
      <c r="W28" s="97">
        <v>44.0</v>
      </c>
      <c r="X28" s="97">
        <v>0.0</v>
      </c>
      <c r="Y28" s="97">
        <v>49.0</v>
      </c>
      <c r="Z28" s="97">
        <v>40.0</v>
      </c>
      <c r="AA28" s="97">
        <v>39.0</v>
      </c>
      <c r="AB28" s="97" t="s">
        <v>117</v>
      </c>
      <c r="AC28" s="97">
        <v>57.0</v>
      </c>
      <c r="AD28" s="97">
        <v>0.0</v>
      </c>
      <c r="AE28" s="97" t="s">
        <v>117</v>
      </c>
      <c r="AF28" s="97">
        <v>23.0</v>
      </c>
      <c r="AG28" s="97" t="s">
        <v>117</v>
      </c>
      <c r="AH28" s="97" t="s">
        <v>117</v>
      </c>
      <c r="AI28" s="97" t="s">
        <v>117</v>
      </c>
      <c r="AJ28" s="97">
        <v>21.0</v>
      </c>
      <c r="AK28" s="97" t="s">
        <v>117</v>
      </c>
      <c r="AL28" s="97">
        <v>45.0</v>
      </c>
      <c r="AM28" s="97" t="s">
        <v>117</v>
      </c>
      <c r="AN28" s="97">
        <v>29.0</v>
      </c>
      <c r="AO28" s="97">
        <v>32.0</v>
      </c>
    </row>
    <row r="29">
      <c r="A29" s="145" t="s">
        <v>98</v>
      </c>
      <c r="B29" s="97" t="s">
        <v>117</v>
      </c>
      <c r="C29" s="97">
        <v>36.0</v>
      </c>
      <c r="D29" s="97" t="s">
        <v>117</v>
      </c>
      <c r="E29" s="97">
        <v>114.0</v>
      </c>
      <c r="F29" s="97" t="s">
        <v>117</v>
      </c>
      <c r="G29" s="97" t="s">
        <v>117</v>
      </c>
      <c r="H29" s="97">
        <v>43.0</v>
      </c>
      <c r="I29" s="97">
        <v>32.0</v>
      </c>
      <c r="J29" s="97" t="s">
        <v>117</v>
      </c>
      <c r="K29" s="97">
        <v>32.0</v>
      </c>
      <c r="L29" s="97">
        <v>0.0</v>
      </c>
      <c r="M29" s="97">
        <v>0.0</v>
      </c>
      <c r="N29" s="97">
        <v>0.0</v>
      </c>
      <c r="O29" s="97">
        <v>0.0</v>
      </c>
      <c r="P29" s="97">
        <v>0.0</v>
      </c>
      <c r="Q29" s="97">
        <v>38.0</v>
      </c>
      <c r="R29" s="97">
        <v>23.0</v>
      </c>
      <c r="S29" s="97" t="s">
        <v>117</v>
      </c>
      <c r="T29" s="97" t="s">
        <v>117</v>
      </c>
      <c r="U29" s="97" t="s">
        <v>117</v>
      </c>
      <c r="V29" s="97">
        <v>0.0</v>
      </c>
      <c r="W29" s="97" t="s">
        <v>117</v>
      </c>
      <c r="X29" s="97" t="s">
        <v>117</v>
      </c>
      <c r="Y29" s="97">
        <v>43.0</v>
      </c>
      <c r="Z29" s="97" t="s">
        <v>117</v>
      </c>
      <c r="AA29" s="97">
        <v>81.0</v>
      </c>
      <c r="AB29" s="97" t="s">
        <v>117</v>
      </c>
      <c r="AC29" s="97">
        <v>67.0</v>
      </c>
      <c r="AD29" s="97">
        <v>0.0</v>
      </c>
      <c r="AE29" s="97" t="s">
        <v>117</v>
      </c>
      <c r="AF29" s="97">
        <v>60.0</v>
      </c>
      <c r="AG29" s="97">
        <v>0.0</v>
      </c>
      <c r="AH29" s="97" t="s">
        <v>117</v>
      </c>
      <c r="AI29" s="97" t="s">
        <v>117</v>
      </c>
      <c r="AJ29" s="97">
        <v>25.0</v>
      </c>
      <c r="AK29" s="97">
        <v>0.0</v>
      </c>
      <c r="AL29" s="97">
        <v>31.0</v>
      </c>
      <c r="AM29" s="97" t="s">
        <v>117</v>
      </c>
      <c r="AN29" s="97">
        <v>39.0</v>
      </c>
      <c r="AO29" s="97">
        <v>39.0</v>
      </c>
    </row>
    <row r="30">
      <c r="A30" s="145" t="s">
        <v>99</v>
      </c>
      <c r="B30" s="97">
        <v>0.0</v>
      </c>
      <c r="C30" s="97">
        <v>36.0</v>
      </c>
      <c r="D30" s="97" t="s">
        <v>117</v>
      </c>
      <c r="E30" s="97">
        <v>181.0</v>
      </c>
      <c r="F30" s="97" t="s">
        <v>117</v>
      </c>
      <c r="G30" s="97">
        <v>32.0</v>
      </c>
      <c r="H30" s="97">
        <v>54.0</v>
      </c>
      <c r="I30" s="97">
        <v>29.0</v>
      </c>
      <c r="J30" s="97">
        <v>46.0</v>
      </c>
      <c r="K30" s="97">
        <v>42.0</v>
      </c>
      <c r="L30" s="97" t="s">
        <v>117</v>
      </c>
      <c r="M30" s="97">
        <v>0.0</v>
      </c>
      <c r="N30" s="97" t="s">
        <v>117</v>
      </c>
      <c r="O30" s="97" t="s">
        <v>117</v>
      </c>
      <c r="P30" s="97" t="s">
        <v>117</v>
      </c>
      <c r="Q30" s="97">
        <v>65.0</v>
      </c>
      <c r="R30" s="97">
        <v>23.0</v>
      </c>
      <c r="S30" s="97">
        <v>0.0</v>
      </c>
      <c r="T30" s="97" t="s">
        <v>117</v>
      </c>
      <c r="U30" s="97" t="s">
        <v>117</v>
      </c>
      <c r="V30" s="97" t="s">
        <v>117</v>
      </c>
      <c r="W30" s="97">
        <v>28.0</v>
      </c>
      <c r="X30" s="97">
        <v>19.0</v>
      </c>
      <c r="Y30" s="97">
        <v>102.0</v>
      </c>
      <c r="Z30" s="97" t="s">
        <v>117</v>
      </c>
      <c r="AA30" s="97">
        <v>130.0</v>
      </c>
      <c r="AB30" s="97" t="s">
        <v>117</v>
      </c>
      <c r="AC30" s="97">
        <v>94.0</v>
      </c>
      <c r="AD30" s="97">
        <v>0.0</v>
      </c>
      <c r="AE30" s="97" t="s">
        <v>117</v>
      </c>
      <c r="AF30" s="97">
        <v>42.0</v>
      </c>
      <c r="AG30" s="97">
        <v>0.0</v>
      </c>
      <c r="AH30" s="97" t="s">
        <v>117</v>
      </c>
      <c r="AI30" s="97">
        <v>86.0</v>
      </c>
      <c r="AJ30" s="97">
        <v>42.0</v>
      </c>
      <c r="AK30" s="97" t="s">
        <v>117</v>
      </c>
      <c r="AL30" s="97">
        <v>35.0</v>
      </c>
      <c r="AM30" s="97" t="s">
        <v>117</v>
      </c>
      <c r="AN30" s="97">
        <v>41.0</v>
      </c>
      <c r="AO30" s="97">
        <v>58.0</v>
      </c>
    </row>
    <row r="31">
      <c r="A31" s="147" t="s">
        <v>100</v>
      </c>
      <c r="B31" s="97" t="s">
        <v>117</v>
      </c>
      <c r="C31" s="97">
        <v>22.0</v>
      </c>
      <c r="D31" s="97">
        <v>43.0</v>
      </c>
      <c r="E31" s="97">
        <v>191.0</v>
      </c>
      <c r="F31" s="97" t="s">
        <v>117</v>
      </c>
      <c r="G31" s="97">
        <v>20.0</v>
      </c>
      <c r="H31" s="97">
        <v>95.0</v>
      </c>
      <c r="I31" s="97">
        <v>29.0</v>
      </c>
      <c r="J31" s="97">
        <v>54.0</v>
      </c>
      <c r="K31" s="97">
        <v>30.0</v>
      </c>
      <c r="L31" s="97" t="s">
        <v>117</v>
      </c>
      <c r="M31" s="97" t="s">
        <v>117</v>
      </c>
      <c r="N31" s="97" t="s">
        <v>117</v>
      </c>
      <c r="O31" s="97">
        <v>0.0</v>
      </c>
      <c r="P31" s="97" t="s">
        <v>117</v>
      </c>
      <c r="Q31" s="97">
        <v>34.0</v>
      </c>
      <c r="R31" s="97">
        <v>60.0</v>
      </c>
      <c r="S31" s="97">
        <v>0.0</v>
      </c>
      <c r="T31" s="97">
        <v>37.0</v>
      </c>
      <c r="U31" s="97">
        <v>0.0</v>
      </c>
      <c r="V31" s="97" t="s">
        <v>117</v>
      </c>
      <c r="W31" s="97">
        <v>28.0</v>
      </c>
      <c r="X31" s="97">
        <v>19.0</v>
      </c>
      <c r="Y31" s="97">
        <v>105.0</v>
      </c>
      <c r="Z31" s="97" t="s">
        <v>117</v>
      </c>
      <c r="AA31" s="97">
        <v>145.0</v>
      </c>
      <c r="AB31" s="97">
        <v>0.0</v>
      </c>
      <c r="AC31" s="97">
        <v>106.0</v>
      </c>
      <c r="AD31" s="97" t="s">
        <v>117</v>
      </c>
      <c r="AE31" s="97" t="s">
        <v>117</v>
      </c>
      <c r="AF31" s="97" t="s">
        <v>117</v>
      </c>
      <c r="AG31" s="97" t="s">
        <v>117</v>
      </c>
      <c r="AH31" s="97" t="s">
        <v>117</v>
      </c>
      <c r="AI31" s="97" t="s">
        <v>117</v>
      </c>
      <c r="AJ31" s="97">
        <v>44.0</v>
      </c>
      <c r="AK31" s="97" t="s">
        <v>117</v>
      </c>
      <c r="AL31" s="97">
        <v>73.0</v>
      </c>
      <c r="AM31" s="97" t="s">
        <v>117</v>
      </c>
      <c r="AN31" s="97">
        <v>48.0</v>
      </c>
      <c r="AO31" s="97">
        <v>64.0</v>
      </c>
    </row>
    <row r="32">
      <c r="A32" s="147" t="s">
        <v>101</v>
      </c>
      <c r="B32" s="97" t="s">
        <v>117</v>
      </c>
      <c r="C32" s="97">
        <v>22.0</v>
      </c>
      <c r="D32" s="97" t="s">
        <v>117</v>
      </c>
      <c r="E32" s="97">
        <v>196.0</v>
      </c>
      <c r="F32" s="97">
        <v>0.0</v>
      </c>
      <c r="G32" s="97">
        <v>23.0</v>
      </c>
      <c r="H32" s="97">
        <v>116.0</v>
      </c>
      <c r="I32" s="97">
        <v>32.0</v>
      </c>
      <c r="J32" s="97" t="s">
        <v>117</v>
      </c>
      <c r="K32" s="97">
        <v>40.0</v>
      </c>
      <c r="L32" s="97" t="s">
        <v>117</v>
      </c>
      <c r="M32" s="97" t="s">
        <v>117</v>
      </c>
      <c r="N32" s="97" t="s">
        <v>117</v>
      </c>
      <c r="O32" s="97" t="s">
        <v>117</v>
      </c>
      <c r="P32" s="97">
        <v>0.0</v>
      </c>
      <c r="Q32" s="97">
        <v>55.0</v>
      </c>
      <c r="R32" s="97">
        <v>65.0</v>
      </c>
      <c r="S32" s="97">
        <v>0.0</v>
      </c>
      <c r="T32" s="97" t="s">
        <v>117</v>
      </c>
      <c r="U32" s="97" t="s">
        <v>117</v>
      </c>
      <c r="V32" s="97" t="s">
        <v>117</v>
      </c>
      <c r="W32" s="97">
        <v>20.0</v>
      </c>
      <c r="X32" s="97">
        <v>27.0</v>
      </c>
      <c r="Y32" s="97">
        <v>80.0</v>
      </c>
      <c r="Z32" s="97" t="s">
        <v>117</v>
      </c>
      <c r="AA32" s="97">
        <v>117.0</v>
      </c>
      <c r="AB32" s="97" t="s">
        <v>117</v>
      </c>
      <c r="AC32" s="97">
        <v>124.0</v>
      </c>
      <c r="AD32" s="97" t="s">
        <v>117</v>
      </c>
      <c r="AE32" s="97">
        <v>47.0</v>
      </c>
      <c r="AF32" s="97">
        <v>32.0</v>
      </c>
      <c r="AG32" s="97" t="s">
        <v>117</v>
      </c>
      <c r="AH32" s="97">
        <v>0.0</v>
      </c>
      <c r="AI32" s="97">
        <v>0.0</v>
      </c>
      <c r="AJ32" s="97">
        <v>37.0</v>
      </c>
      <c r="AK32" s="97">
        <v>0.0</v>
      </c>
      <c r="AL32" s="97">
        <v>38.0</v>
      </c>
      <c r="AM32" s="97">
        <v>22.0</v>
      </c>
      <c r="AN32" s="97">
        <v>51.0</v>
      </c>
      <c r="AO32" s="97">
        <v>62.0</v>
      </c>
    </row>
    <row r="33">
      <c r="A33" s="147" t="s">
        <v>102</v>
      </c>
      <c r="B33" s="97" t="s">
        <v>117</v>
      </c>
      <c r="C33" s="97">
        <v>22.0</v>
      </c>
      <c r="D33" s="97" t="s">
        <v>117</v>
      </c>
      <c r="E33" s="97">
        <v>175.0</v>
      </c>
      <c r="F33" s="97" t="s">
        <v>117</v>
      </c>
      <c r="G33" s="97">
        <v>17.0</v>
      </c>
      <c r="H33" s="97">
        <v>42.0</v>
      </c>
      <c r="I33" s="97">
        <v>43.0</v>
      </c>
      <c r="J33" s="97">
        <v>38.0</v>
      </c>
      <c r="K33" s="97">
        <v>27.0</v>
      </c>
      <c r="L33" s="97" t="s">
        <v>117</v>
      </c>
      <c r="M33" s="97" t="s">
        <v>117</v>
      </c>
      <c r="N33" s="97" t="s">
        <v>117</v>
      </c>
      <c r="O33" s="97">
        <v>0.0</v>
      </c>
      <c r="P33" s="97" t="s">
        <v>117</v>
      </c>
      <c r="Q33" s="97">
        <v>38.0</v>
      </c>
      <c r="R33" s="97">
        <v>28.0</v>
      </c>
      <c r="S33" s="97">
        <v>0.0</v>
      </c>
      <c r="T33" s="97">
        <v>0.0</v>
      </c>
      <c r="U33" s="97">
        <v>116.0</v>
      </c>
      <c r="V33" s="97" t="s">
        <v>117</v>
      </c>
      <c r="W33" s="97" t="s">
        <v>117</v>
      </c>
      <c r="X33" s="97">
        <v>42.0</v>
      </c>
      <c r="Y33" s="97">
        <v>59.0</v>
      </c>
      <c r="Z33" s="97">
        <v>0.0</v>
      </c>
      <c r="AA33" s="97">
        <v>77.0</v>
      </c>
      <c r="AB33" s="97" t="s">
        <v>117</v>
      </c>
      <c r="AC33" s="97">
        <v>124.0</v>
      </c>
      <c r="AD33" s="97" t="s">
        <v>117</v>
      </c>
      <c r="AE33" s="97" t="s">
        <v>117</v>
      </c>
      <c r="AF33" s="97">
        <v>46.0</v>
      </c>
      <c r="AG33" s="97">
        <v>55.0</v>
      </c>
      <c r="AH33" s="97" t="s">
        <v>117</v>
      </c>
      <c r="AI33" s="97">
        <v>0.0</v>
      </c>
      <c r="AJ33" s="97">
        <v>25.0</v>
      </c>
      <c r="AK33" s="97" t="s">
        <v>117</v>
      </c>
      <c r="AL33" s="97">
        <v>52.0</v>
      </c>
      <c r="AM33" s="97">
        <v>0.0</v>
      </c>
      <c r="AN33" s="97">
        <v>51.0</v>
      </c>
      <c r="AO33" s="97">
        <v>54.0</v>
      </c>
    </row>
    <row r="34">
      <c r="A34" s="147" t="s">
        <v>103</v>
      </c>
      <c r="B34" s="97">
        <v>0.0</v>
      </c>
      <c r="C34" s="97">
        <v>67.0</v>
      </c>
      <c r="D34" s="97" t="s">
        <v>117</v>
      </c>
      <c r="E34" s="97">
        <v>186.0</v>
      </c>
      <c r="F34" s="97">
        <v>0.0</v>
      </c>
      <c r="G34" s="97">
        <v>26.0</v>
      </c>
      <c r="H34" s="97">
        <v>63.0</v>
      </c>
      <c r="I34" s="97">
        <v>61.0</v>
      </c>
      <c r="J34" s="97">
        <v>69.0</v>
      </c>
      <c r="K34" s="97">
        <v>27.0</v>
      </c>
      <c r="L34" s="97" t="s">
        <v>117</v>
      </c>
      <c r="M34" s="97" t="s">
        <v>117</v>
      </c>
      <c r="N34" s="97" t="s">
        <v>117</v>
      </c>
      <c r="O34" s="97" t="s">
        <v>117</v>
      </c>
      <c r="P34" s="97" t="s">
        <v>117</v>
      </c>
      <c r="Q34" s="97">
        <v>75.0</v>
      </c>
      <c r="R34" s="97">
        <v>42.0</v>
      </c>
      <c r="S34" s="97">
        <v>0.0</v>
      </c>
      <c r="T34" s="97">
        <v>44.0</v>
      </c>
      <c r="U34" s="97">
        <v>58.0</v>
      </c>
      <c r="V34" s="97">
        <v>0.0</v>
      </c>
      <c r="W34" s="97" t="s">
        <v>117</v>
      </c>
      <c r="X34" s="97">
        <v>84.0</v>
      </c>
      <c r="Y34" s="97">
        <v>59.0</v>
      </c>
      <c r="Z34" s="97" t="s">
        <v>117</v>
      </c>
      <c r="AA34" s="97">
        <v>75.0</v>
      </c>
      <c r="AB34" s="97" t="s">
        <v>117</v>
      </c>
      <c r="AC34" s="97">
        <v>122.0</v>
      </c>
      <c r="AD34" s="97">
        <v>0.0</v>
      </c>
      <c r="AE34" s="97" t="s">
        <v>117</v>
      </c>
      <c r="AF34" s="97">
        <v>42.0</v>
      </c>
      <c r="AG34" s="97">
        <v>23.0</v>
      </c>
      <c r="AH34" s="97">
        <v>44.0</v>
      </c>
      <c r="AI34" s="97" t="s">
        <v>117</v>
      </c>
      <c r="AJ34" s="97">
        <v>44.0</v>
      </c>
      <c r="AK34" s="97" t="s">
        <v>117</v>
      </c>
      <c r="AL34" s="97" t="s">
        <v>117</v>
      </c>
      <c r="AM34" s="97" t="s">
        <v>117</v>
      </c>
      <c r="AN34" s="97">
        <v>39.0</v>
      </c>
      <c r="AO34" s="97">
        <v>60.0</v>
      </c>
    </row>
    <row r="35">
      <c r="A35" s="147" t="s">
        <v>104</v>
      </c>
      <c r="B35" s="97" t="s">
        <v>117</v>
      </c>
      <c r="C35" s="97">
        <v>31.0</v>
      </c>
      <c r="D35" s="97" t="s">
        <v>117</v>
      </c>
      <c r="E35" s="97">
        <v>114.0</v>
      </c>
      <c r="F35" s="97" t="s">
        <v>117</v>
      </c>
      <c r="G35" s="97">
        <v>26.0</v>
      </c>
      <c r="H35" s="97">
        <v>52.0</v>
      </c>
      <c r="I35" s="97">
        <v>32.0</v>
      </c>
      <c r="J35" s="97">
        <v>61.0</v>
      </c>
      <c r="K35" s="97">
        <v>11.0</v>
      </c>
      <c r="L35" s="97">
        <v>0.0</v>
      </c>
      <c r="M35" s="97" t="s">
        <v>117</v>
      </c>
      <c r="N35" s="97" t="s">
        <v>117</v>
      </c>
      <c r="O35" s="97" t="s">
        <v>117</v>
      </c>
      <c r="P35" s="97">
        <v>0.0</v>
      </c>
      <c r="Q35" s="97">
        <v>48.0</v>
      </c>
      <c r="R35" s="97">
        <v>37.0</v>
      </c>
      <c r="S35" s="97">
        <v>0.0</v>
      </c>
      <c r="T35" s="97" t="s">
        <v>117</v>
      </c>
      <c r="U35" s="97">
        <v>39.0</v>
      </c>
      <c r="V35" s="97">
        <v>0.0</v>
      </c>
      <c r="W35" s="97">
        <v>20.0</v>
      </c>
      <c r="X35" s="97">
        <v>27.0</v>
      </c>
      <c r="Y35" s="97">
        <v>49.0</v>
      </c>
      <c r="Z35" s="97" t="s">
        <v>117</v>
      </c>
      <c r="AA35" s="97">
        <v>53.0</v>
      </c>
      <c r="AB35" s="97">
        <v>29.0</v>
      </c>
      <c r="AC35" s="97">
        <v>106.0</v>
      </c>
      <c r="AD35" s="97" t="s">
        <v>117</v>
      </c>
      <c r="AE35" s="97" t="s">
        <v>117</v>
      </c>
      <c r="AF35" s="97">
        <v>37.0</v>
      </c>
      <c r="AG35" s="97" t="s">
        <v>117</v>
      </c>
      <c r="AH35" s="97">
        <v>32.0</v>
      </c>
      <c r="AI35" s="97" t="s">
        <v>117</v>
      </c>
      <c r="AJ35" s="97">
        <v>17.0</v>
      </c>
      <c r="AK35" s="97" t="s">
        <v>117</v>
      </c>
      <c r="AL35" s="97">
        <v>21.0</v>
      </c>
      <c r="AM35" s="97" t="s">
        <v>117</v>
      </c>
      <c r="AN35" s="97">
        <v>43.0</v>
      </c>
      <c r="AO35" s="97">
        <v>46.0</v>
      </c>
    </row>
    <row r="36">
      <c r="A36" s="147" t="s">
        <v>105</v>
      </c>
      <c r="B36" s="97" t="s">
        <v>117</v>
      </c>
      <c r="C36" s="97" t="s">
        <v>117</v>
      </c>
      <c r="D36" s="97" t="s">
        <v>117</v>
      </c>
      <c r="E36" s="97">
        <v>26.0</v>
      </c>
      <c r="F36" s="97">
        <v>0.0</v>
      </c>
      <c r="G36" s="97" t="s">
        <v>117</v>
      </c>
      <c r="H36" s="97">
        <v>46.0</v>
      </c>
      <c r="I36" s="97">
        <v>43.0</v>
      </c>
      <c r="J36" s="97">
        <v>0.0</v>
      </c>
      <c r="K36" s="97">
        <v>21.0</v>
      </c>
      <c r="L36" s="97">
        <v>0.0</v>
      </c>
      <c r="M36" s="97" t="s">
        <v>117</v>
      </c>
      <c r="N36" s="97" t="s">
        <v>117</v>
      </c>
      <c r="O36" s="97">
        <v>0.0</v>
      </c>
      <c r="P36" s="97" t="s">
        <v>117</v>
      </c>
      <c r="Q36" s="97">
        <v>48.0</v>
      </c>
      <c r="R36" s="97">
        <v>28.0</v>
      </c>
      <c r="S36" s="97">
        <v>0.0</v>
      </c>
      <c r="T36" s="97" t="s">
        <v>117</v>
      </c>
      <c r="U36" s="97" t="s">
        <v>117</v>
      </c>
      <c r="V36" s="97">
        <v>0.0</v>
      </c>
      <c r="W36" s="97">
        <v>24.0</v>
      </c>
      <c r="X36" s="97">
        <v>23.0</v>
      </c>
      <c r="Y36" s="97">
        <v>89.0</v>
      </c>
      <c r="Z36" s="97" t="s">
        <v>117</v>
      </c>
      <c r="AA36" s="97">
        <v>53.0</v>
      </c>
      <c r="AB36" s="97" t="s">
        <v>117</v>
      </c>
      <c r="AC36" s="97">
        <v>100.0</v>
      </c>
      <c r="AD36" s="97">
        <v>0.0</v>
      </c>
      <c r="AE36" s="97" t="s">
        <v>117</v>
      </c>
      <c r="AF36" s="97">
        <v>28.0</v>
      </c>
      <c r="AG36" s="97">
        <v>0.0</v>
      </c>
      <c r="AH36" s="97">
        <v>38.0</v>
      </c>
      <c r="AI36" s="97" t="s">
        <v>117</v>
      </c>
      <c r="AJ36" s="97">
        <v>32.0</v>
      </c>
      <c r="AK36" s="97">
        <v>0.0</v>
      </c>
      <c r="AL36" s="97" t="s">
        <v>117</v>
      </c>
      <c r="AM36" s="97" t="s">
        <v>117</v>
      </c>
      <c r="AN36" s="97">
        <v>29.0</v>
      </c>
      <c r="AO36" s="97">
        <v>43.0</v>
      </c>
    </row>
    <row r="37">
      <c r="A37" s="147" t="s">
        <v>106</v>
      </c>
      <c r="B37" s="97">
        <v>31.0</v>
      </c>
      <c r="C37" s="97">
        <v>45.0</v>
      </c>
      <c r="D37" s="97">
        <v>43.0</v>
      </c>
      <c r="E37" s="97">
        <v>98.0</v>
      </c>
      <c r="F37" s="97" t="s">
        <v>117</v>
      </c>
      <c r="G37" s="97" t="s">
        <v>117</v>
      </c>
      <c r="H37" s="97">
        <v>38.0</v>
      </c>
      <c r="I37" s="97">
        <v>87.0</v>
      </c>
      <c r="J37" s="97" t="s">
        <v>117</v>
      </c>
      <c r="K37" s="97">
        <v>34.0</v>
      </c>
      <c r="L37" s="97">
        <v>0.0</v>
      </c>
      <c r="M37" s="97" t="s">
        <v>117</v>
      </c>
      <c r="N37" s="97">
        <v>0.0</v>
      </c>
      <c r="O37" s="97">
        <v>0.0</v>
      </c>
      <c r="P37" s="97">
        <v>0.0</v>
      </c>
      <c r="Q37" s="97">
        <v>31.0</v>
      </c>
      <c r="R37" s="97" t="s">
        <v>117</v>
      </c>
      <c r="S37" s="97">
        <v>0.0</v>
      </c>
      <c r="T37" s="97" t="s">
        <v>117</v>
      </c>
      <c r="U37" s="97">
        <v>32.0</v>
      </c>
      <c r="V37" s="97">
        <v>0.0</v>
      </c>
      <c r="W37" s="97">
        <v>52.0</v>
      </c>
      <c r="X37" s="97">
        <v>27.0</v>
      </c>
      <c r="Y37" s="97">
        <v>34.0</v>
      </c>
      <c r="Z37" s="97" t="s">
        <v>117</v>
      </c>
      <c r="AA37" s="97">
        <v>75.0</v>
      </c>
      <c r="AB37" s="97" t="s">
        <v>117</v>
      </c>
      <c r="AC37" s="97">
        <v>81.0</v>
      </c>
      <c r="AD37" s="97">
        <v>0.0</v>
      </c>
      <c r="AE37" s="97" t="s">
        <v>117</v>
      </c>
      <c r="AF37" s="97">
        <v>28.0</v>
      </c>
      <c r="AG37" s="97" t="s">
        <v>117</v>
      </c>
      <c r="AH37" s="97" t="s">
        <v>117</v>
      </c>
      <c r="AI37" s="97">
        <v>0.0</v>
      </c>
      <c r="AJ37" s="97">
        <v>27.0</v>
      </c>
      <c r="AK37" s="97" t="s">
        <v>117</v>
      </c>
      <c r="AL37" s="97">
        <v>38.0</v>
      </c>
      <c r="AM37" s="97">
        <v>22.0</v>
      </c>
      <c r="AN37" s="97">
        <v>39.0</v>
      </c>
      <c r="AO37" s="97">
        <v>43.0</v>
      </c>
    </row>
    <row r="38">
      <c r="A38" s="147" t="s">
        <v>107</v>
      </c>
      <c r="B38" s="97">
        <v>31.0</v>
      </c>
      <c r="C38" s="97">
        <v>31.0</v>
      </c>
      <c r="D38" s="97">
        <v>61.0</v>
      </c>
      <c r="E38" s="97">
        <v>114.0</v>
      </c>
      <c r="F38" s="97" t="s">
        <v>117</v>
      </c>
      <c r="G38" s="97">
        <v>61.0</v>
      </c>
      <c r="H38" s="97">
        <v>48.0</v>
      </c>
      <c r="I38" s="97">
        <v>43.0</v>
      </c>
      <c r="J38" s="97" t="s">
        <v>117</v>
      </c>
      <c r="K38" s="97">
        <v>19.0</v>
      </c>
      <c r="L38" s="97" t="s">
        <v>117</v>
      </c>
      <c r="M38" s="97">
        <v>0.0</v>
      </c>
      <c r="N38" s="97">
        <v>0.0</v>
      </c>
      <c r="O38" s="97">
        <v>0.0</v>
      </c>
      <c r="P38" s="97" t="s">
        <v>117</v>
      </c>
      <c r="Q38" s="97">
        <v>72.0</v>
      </c>
      <c r="R38" s="97">
        <v>23.0</v>
      </c>
      <c r="S38" s="97">
        <v>0.0</v>
      </c>
      <c r="T38" s="97">
        <v>0.0</v>
      </c>
      <c r="U38" s="97">
        <v>212.0</v>
      </c>
      <c r="V38" s="97">
        <v>0.0</v>
      </c>
      <c r="W38" s="97">
        <v>28.0</v>
      </c>
      <c r="X38" s="97">
        <v>19.0</v>
      </c>
      <c r="Y38" s="97">
        <v>65.0</v>
      </c>
      <c r="Z38" s="97">
        <v>49.0</v>
      </c>
      <c r="AA38" s="97">
        <v>56.0</v>
      </c>
      <c r="AB38" s="97" t="s">
        <v>117</v>
      </c>
      <c r="AC38" s="97">
        <v>157.0</v>
      </c>
      <c r="AD38" s="97">
        <v>0.0</v>
      </c>
      <c r="AE38" s="97" t="s">
        <v>117</v>
      </c>
      <c r="AF38" s="97">
        <v>46.0</v>
      </c>
      <c r="AG38" s="97">
        <v>23.0</v>
      </c>
      <c r="AH38" s="97">
        <v>32.0</v>
      </c>
      <c r="AI38" s="97" t="s">
        <v>117</v>
      </c>
      <c r="AJ38" s="97">
        <v>41.0</v>
      </c>
      <c r="AK38" s="97" t="s">
        <v>117</v>
      </c>
      <c r="AL38" s="97">
        <v>35.0</v>
      </c>
      <c r="AM38" s="97">
        <v>35.0</v>
      </c>
      <c r="AN38" s="97">
        <v>36.0</v>
      </c>
      <c r="AO38" s="97">
        <v>63.0</v>
      </c>
    </row>
    <row r="39">
      <c r="A39" s="147" t="s">
        <v>108</v>
      </c>
      <c r="B39" s="97" t="s">
        <v>117</v>
      </c>
      <c r="C39" s="97" t="s">
        <v>117</v>
      </c>
      <c r="D39" s="97">
        <v>43.0</v>
      </c>
      <c r="E39" s="97">
        <v>175.0</v>
      </c>
      <c r="F39" s="97" t="s">
        <v>117</v>
      </c>
      <c r="G39" s="97">
        <v>17.0</v>
      </c>
      <c r="H39" s="97">
        <v>52.0</v>
      </c>
      <c r="I39" s="97">
        <v>40.0</v>
      </c>
      <c r="J39" s="97" t="s">
        <v>117</v>
      </c>
      <c r="K39" s="97">
        <v>17.0</v>
      </c>
      <c r="L39" s="97" t="s">
        <v>117</v>
      </c>
      <c r="M39" s="97">
        <v>0.0</v>
      </c>
      <c r="N39" s="97" t="s">
        <v>117</v>
      </c>
      <c r="O39" s="97" t="s">
        <v>117</v>
      </c>
      <c r="P39" s="97" t="s">
        <v>117</v>
      </c>
      <c r="Q39" s="97">
        <v>96.0</v>
      </c>
      <c r="R39" s="97">
        <v>65.0</v>
      </c>
      <c r="S39" s="97">
        <v>0.0</v>
      </c>
      <c r="T39" s="97" t="s">
        <v>117</v>
      </c>
      <c r="U39" s="97">
        <v>193.0</v>
      </c>
      <c r="V39" s="97">
        <v>0.0</v>
      </c>
      <c r="W39" s="97" t="s">
        <v>117</v>
      </c>
      <c r="X39" s="97">
        <v>19.0</v>
      </c>
      <c r="Y39" s="97">
        <v>59.0</v>
      </c>
      <c r="Z39" s="97">
        <v>65.0</v>
      </c>
      <c r="AA39" s="97">
        <v>107.0</v>
      </c>
      <c r="AB39" s="97">
        <v>0.0</v>
      </c>
      <c r="AC39" s="97">
        <v>135.0</v>
      </c>
      <c r="AD39" s="97" t="s">
        <v>117</v>
      </c>
      <c r="AE39" s="97" t="s">
        <v>117</v>
      </c>
      <c r="AF39" s="97">
        <v>51.0</v>
      </c>
      <c r="AG39" s="97" t="s">
        <v>117</v>
      </c>
      <c r="AH39" s="97" t="s">
        <v>117</v>
      </c>
      <c r="AI39" s="97">
        <v>67.0</v>
      </c>
      <c r="AJ39" s="97">
        <v>28.0</v>
      </c>
      <c r="AK39" s="97" t="s">
        <v>117</v>
      </c>
      <c r="AL39" s="97">
        <v>31.0</v>
      </c>
      <c r="AM39" s="97">
        <v>44.0</v>
      </c>
      <c r="AN39" s="97">
        <v>26.0</v>
      </c>
      <c r="AO39" s="97">
        <v>62.0</v>
      </c>
    </row>
    <row r="40">
      <c r="A40" s="147" t="s">
        <v>109</v>
      </c>
      <c r="B40" s="97" t="s">
        <v>117</v>
      </c>
      <c r="C40" s="97">
        <v>40.0</v>
      </c>
      <c r="D40" s="97" t="s">
        <v>117</v>
      </c>
      <c r="E40" s="97">
        <v>165.0</v>
      </c>
      <c r="F40" s="97" t="s">
        <v>117</v>
      </c>
      <c r="G40" s="97">
        <v>40.0</v>
      </c>
      <c r="H40" s="97">
        <v>74.0</v>
      </c>
      <c r="I40" s="97">
        <v>66.0</v>
      </c>
      <c r="J40" s="97">
        <v>76.0</v>
      </c>
      <c r="K40" s="97">
        <v>67.0</v>
      </c>
      <c r="L40" s="97" t="s">
        <v>117</v>
      </c>
      <c r="M40" s="97" t="s">
        <v>117</v>
      </c>
      <c r="N40" s="97" t="s">
        <v>117</v>
      </c>
      <c r="O40" s="97">
        <v>0.0</v>
      </c>
      <c r="P40" s="97" t="s">
        <v>117</v>
      </c>
      <c r="Q40" s="97">
        <v>86.0</v>
      </c>
      <c r="R40" s="97">
        <v>74.0</v>
      </c>
      <c r="S40" s="97" t="s">
        <v>117</v>
      </c>
      <c r="T40" s="97" t="s">
        <v>117</v>
      </c>
      <c r="U40" s="97">
        <v>257.0</v>
      </c>
      <c r="V40" s="97">
        <v>0.0</v>
      </c>
      <c r="W40" s="97" t="s">
        <v>117</v>
      </c>
      <c r="X40" s="97">
        <v>57.0</v>
      </c>
      <c r="Y40" s="97">
        <v>102.0</v>
      </c>
      <c r="Z40" s="97">
        <v>49.0</v>
      </c>
      <c r="AA40" s="97">
        <v>160.0</v>
      </c>
      <c r="AB40" s="97">
        <v>29.0</v>
      </c>
      <c r="AC40" s="97">
        <v>158.0</v>
      </c>
      <c r="AD40" s="97">
        <v>0.0</v>
      </c>
      <c r="AE40" s="97" t="s">
        <v>117</v>
      </c>
      <c r="AF40" s="97">
        <v>65.0</v>
      </c>
      <c r="AG40" s="97">
        <v>36.0</v>
      </c>
      <c r="AH40" s="97" t="s">
        <v>117</v>
      </c>
      <c r="AI40" s="97">
        <v>0.0</v>
      </c>
      <c r="AJ40" s="97">
        <v>48.0</v>
      </c>
      <c r="AK40" s="97" t="s">
        <v>117</v>
      </c>
      <c r="AL40" s="97">
        <v>48.0</v>
      </c>
      <c r="AM40" s="97">
        <v>53.0</v>
      </c>
      <c r="AN40" s="97">
        <v>60.0</v>
      </c>
      <c r="AO40" s="97">
        <v>85.0</v>
      </c>
    </row>
    <row r="41">
      <c r="A41" s="147" t="s">
        <v>110</v>
      </c>
      <c r="B41" s="97">
        <v>43.0</v>
      </c>
      <c r="C41" s="97">
        <v>54.0</v>
      </c>
      <c r="D41" s="97">
        <v>49.0</v>
      </c>
      <c r="E41" s="97">
        <v>237.0</v>
      </c>
      <c r="F41" s="97" t="s">
        <v>117</v>
      </c>
      <c r="G41" s="97">
        <v>55.0</v>
      </c>
      <c r="H41" s="97">
        <v>113.0</v>
      </c>
      <c r="I41" s="97">
        <v>92.0</v>
      </c>
      <c r="J41" s="97">
        <v>61.0</v>
      </c>
      <c r="K41" s="97">
        <v>67.0</v>
      </c>
      <c r="L41" s="97">
        <v>74.0</v>
      </c>
      <c r="M41" s="97">
        <v>128.0</v>
      </c>
      <c r="N41" s="97" t="s">
        <v>117</v>
      </c>
      <c r="O41" s="97">
        <v>0.0</v>
      </c>
      <c r="P41" s="97">
        <v>109.0</v>
      </c>
      <c r="Q41" s="97">
        <v>75.0</v>
      </c>
      <c r="R41" s="97">
        <v>83.0</v>
      </c>
      <c r="S41" s="97" t="s">
        <v>117</v>
      </c>
      <c r="T41" s="97" t="s">
        <v>117</v>
      </c>
      <c r="U41" s="97">
        <v>605.0</v>
      </c>
      <c r="V41" s="97">
        <v>0.0</v>
      </c>
      <c r="W41" s="97">
        <v>32.0</v>
      </c>
      <c r="X41" s="97">
        <v>72.0</v>
      </c>
      <c r="Y41" s="97">
        <v>132.0</v>
      </c>
      <c r="Z41" s="97">
        <v>73.0</v>
      </c>
      <c r="AA41" s="97">
        <v>162.0</v>
      </c>
      <c r="AB41" s="97">
        <v>29.0</v>
      </c>
      <c r="AC41" s="97">
        <v>158.0</v>
      </c>
      <c r="AD41" s="97" t="s">
        <v>117</v>
      </c>
      <c r="AE41" s="97" t="s">
        <v>117</v>
      </c>
      <c r="AF41" s="97">
        <v>55.0</v>
      </c>
      <c r="AG41" s="97">
        <v>78.0</v>
      </c>
      <c r="AH41" s="97">
        <v>101.0</v>
      </c>
      <c r="AI41" s="97">
        <v>57.0</v>
      </c>
      <c r="AJ41" s="97">
        <v>78.0</v>
      </c>
      <c r="AK41" s="97">
        <v>81.0</v>
      </c>
      <c r="AL41" s="97">
        <v>90.0</v>
      </c>
      <c r="AM41" s="97">
        <v>93.0</v>
      </c>
      <c r="AN41" s="97">
        <v>91.0</v>
      </c>
      <c r="AO41" s="97">
        <v>113.0</v>
      </c>
    </row>
    <row r="42">
      <c r="A42" s="147" t="s">
        <v>111</v>
      </c>
      <c r="B42" s="97">
        <v>43.0</v>
      </c>
      <c r="C42" s="97">
        <v>108.0</v>
      </c>
      <c r="D42" s="97">
        <v>103.0</v>
      </c>
      <c r="E42" s="97">
        <v>351.0</v>
      </c>
      <c r="F42" s="97" t="s">
        <v>117</v>
      </c>
      <c r="G42" s="97">
        <v>93.0</v>
      </c>
      <c r="H42" s="97">
        <v>166.0</v>
      </c>
      <c r="I42" s="97">
        <v>118.0</v>
      </c>
      <c r="J42" s="97">
        <v>92.0</v>
      </c>
      <c r="K42" s="97">
        <v>86.0</v>
      </c>
      <c r="L42" s="97" t="s">
        <v>117</v>
      </c>
      <c r="M42" s="97" t="s">
        <v>117</v>
      </c>
      <c r="N42" s="97">
        <v>0.0</v>
      </c>
      <c r="O42" s="97">
        <v>0.0</v>
      </c>
      <c r="P42" s="97" t="s">
        <v>117</v>
      </c>
      <c r="Q42" s="97">
        <v>168.0</v>
      </c>
      <c r="R42" s="97">
        <v>97.0</v>
      </c>
      <c r="S42" s="97" t="s">
        <v>117</v>
      </c>
      <c r="T42" s="97" t="s">
        <v>117</v>
      </c>
      <c r="U42" s="97">
        <v>238.0</v>
      </c>
      <c r="V42" s="97" t="s">
        <v>117</v>
      </c>
      <c r="W42" s="97">
        <v>48.0</v>
      </c>
      <c r="X42" s="97">
        <v>57.0</v>
      </c>
      <c r="Y42" s="97">
        <v>176.0</v>
      </c>
      <c r="Z42" s="97">
        <v>146.0</v>
      </c>
      <c r="AA42" s="97">
        <v>219.0</v>
      </c>
      <c r="AB42" s="97">
        <v>63.0</v>
      </c>
      <c r="AC42" s="97">
        <v>198.0</v>
      </c>
      <c r="AD42" s="97" t="s">
        <v>117</v>
      </c>
      <c r="AE42" s="97" t="s">
        <v>117</v>
      </c>
      <c r="AF42" s="97">
        <v>106.0</v>
      </c>
      <c r="AG42" s="97">
        <v>39.0</v>
      </c>
      <c r="AH42" s="97">
        <v>95.0</v>
      </c>
      <c r="AI42" s="97" t="s">
        <v>117</v>
      </c>
      <c r="AJ42" s="97">
        <v>67.0</v>
      </c>
      <c r="AK42" s="97">
        <v>194.0</v>
      </c>
      <c r="AL42" s="97">
        <v>90.0</v>
      </c>
      <c r="AM42" s="97">
        <v>62.0</v>
      </c>
      <c r="AN42" s="97">
        <v>116.0</v>
      </c>
      <c r="AO42" s="97">
        <v>138.0</v>
      </c>
    </row>
    <row r="43">
      <c r="A43" s="147" t="s">
        <v>112</v>
      </c>
      <c r="B43" s="97">
        <v>130.0</v>
      </c>
      <c r="C43" s="97">
        <v>108.0</v>
      </c>
      <c r="D43" s="97">
        <v>122.0</v>
      </c>
      <c r="E43" s="97">
        <v>475.0</v>
      </c>
      <c r="F43" s="97">
        <v>77.0</v>
      </c>
      <c r="G43" s="97">
        <v>139.0</v>
      </c>
      <c r="H43" s="97">
        <v>259.0</v>
      </c>
      <c r="I43" s="97">
        <v>156.0</v>
      </c>
      <c r="J43" s="97">
        <v>252.0</v>
      </c>
      <c r="K43" s="97">
        <v>152.0</v>
      </c>
      <c r="L43" s="97" t="s">
        <v>117</v>
      </c>
      <c r="M43" s="97" t="s">
        <v>117</v>
      </c>
      <c r="N43" s="97">
        <v>199.0</v>
      </c>
      <c r="O43" s="97" t="s">
        <v>117</v>
      </c>
      <c r="P43" s="97">
        <v>0.0</v>
      </c>
      <c r="Q43" s="97">
        <v>267.0</v>
      </c>
      <c r="R43" s="97">
        <v>162.0</v>
      </c>
      <c r="S43" s="97" t="s">
        <v>117</v>
      </c>
      <c r="T43" s="97">
        <v>50.0</v>
      </c>
      <c r="U43" s="97">
        <v>212.0</v>
      </c>
      <c r="V43" s="97">
        <v>0.0</v>
      </c>
      <c r="W43" s="97">
        <v>77.0</v>
      </c>
      <c r="X43" s="97">
        <v>99.0</v>
      </c>
      <c r="Y43" s="97">
        <v>256.0</v>
      </c>
      <c r="Z43" s="97">
        <v>170.0</v>
      </c>
      <c r="AA43" s="97">
        <v>341.0</v>
      </c>
      <c r="AB43" s="97">
        <v>52.0</v>
      </c>
      <c r="AC43" s="97">
        <v>337.0</v>
      </c>
      <c r="AD43" s="97" t="s">
        <v>117</v>
      </c>
      <c r="AE43" s="97">
        <v>123.0</v>
      </c>
      <c r="AF43" s="97">
        <v>176.0</v>
      </c>
      <c r="AG43" s="97">
        <v>42.0</v>
      </c>
      <c r="AH43" s="97">
        <v>89.0</v>
      </c>
      <c r="AI43" s="97">
        <v>114.0</v>
      </c>
      <c r="AJ43" s="97">
        <v>148.0</v>
      </c>
      <c r="AK43" s="97">
        <v>259.0</v>
      </c>
      <c r="AL43" s="97">
        <v>176.0</v>
      </c>
      <c r="AM43" s="97">
        <v>44.0</v>
      </c>
      <c r="AN43" s="97">
        <v>147.0</v>
      </c>
      <c r="AO43" s="97">
        <v>225.0</v>
      </c>
    </row>
    <row r="44">
      <c r="A44" s="147" t="s">
        <v>113</v>
      </c>
      <c r="B44" s="97">
        <v>192.0</v>
      </c>
      <c r="C44" s="97">
        <v>157.0</v>
      </c>
      <c r="D44" s="97">
        <v>164.0</v>
      </c>
      <c r="E44" s="97">
        <v>748.0</v>
      </c>
      <c r="F44" s="97" t="s">
        <v>117</v>
      </c>
      <c r="G44" s="97">
        <v>121.0</v>
      </c>
      <c r="H44" s="97">
        <v>313.0</v>
      </c>
      <c r="I44" s="97">
        <v>216.0</v>
      </c>
      <c r="J44" s="97">
        <v>207.0</v>
      </c>
      <c r="K44" s="97">
        <v>196.0</v>
      </c>
      <c r="L44" s="97" t="s">
        <v>117</v>
      </c>
      <c r="M44" s="97">
        <v>256.0</v>
      </c>
      <c r="N44" s="97">
        <v>189.0</v>
      </c>
      <c r="O44" s="97" t="s">
        <v>117</v>
      </c>
      <c r="P44" s="97">
        <v>109.0</v>
      </c>
      <c r="Q44" s="97">
        <v>335.0</v>
      </c>
      <c r="R44" s="97">
        <v>208.0</v>
      </c>
      <c r="S44" s="97" t="s">
        <v>117</v>
      </c>
      <c r="T44" s="97">
        <v>155.0</v>
      </c>
      <c r="U44" s="97">
        <v>96.0</v>
      </c>
      <c r="V44" s="97" t="s">
        <v>117</v>
      </c>
      <c r="W44" s="97">
        <v>85.0</v>
      </c>
      <c r="X44" s="97">
        <v>114.0</v>
      </c>
      <c r="Y44" s="97">
        <v>339.0</v>
      </c>
      <c r="Z44" s="97">
        <v>105.0</v>
      </c>
      <c r="AA44" s="97">
        <v>346.0</v>
      </c>
      <c r="AB44" s="97">
        <v>155.0</v>
      </c>
      <c r="AC44" s="97">
        <v>336.0</v>
      </c>
      <c r="AD44" s="97" t="s">
        <v>117</v>
      </c>
      <c r="AE44" s="97">
        <v>170.0</v>
      </c>
      <c r="AF44" s="97">
        <v>157.0</v>
      </c>
      <c r="AG44" s="97">
        <v>33.0</v>
      </c>
      <c r="AH44" s="97">
        <v>177.0</v>
      </c>
      <c r="AI44" s="97">
        <v>286.0</v>
      </c>
      <c r="AJ44" s="97">
        <v>222.0</v>
      </c>
      <c r="AK44" s="97">
        <v>113.0</v>
      </c>
      <c r="AL44" s="97">
        <v>249.0</v>
      </c>
      <c r="AM44" s="97">
        <v>66.0</v>
      </c>
      <c r="AN44" s="97">
        <v>142.0</v>
      </c>
      <c r="AO44" s="97">
        <v>259.0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218</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219</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220</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221</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175</v>
      </c>
      <c r="C8" s="154" t="s">
        <v>176</v>
      </c>
      <c r="D8" s="154" t="s">
        <v>177</v>
      </c>
      <c r="E8" s="154" t="s">
        <v>178</v>
      </c>
      <c r="F8" s="154" t="s">
        <v>179</v>
      </c>
      <c r="G8" s="154" t="s">
        <v>180</v>
      </c>
      <c r="H8" s="154" t="s">
        <v>181</v>
      </c>
      <c r="I8" s="154" t="s">
        <v>182</v>
      </c>
      <c r="J8" s="154" t="s">
        <v>183</v>
      </c>
      <c r="K8" s="154" t="s">
        <v>184</v>
      </c>
      <c r="L8" s="154" t="s">
        <v>185</v>
      </c>
      <c r="M8" s="154" t="s">
        <v>186</v>
      </c>
      <c r="N8" s="154" t="s">
        <v>187</v>
      </c>
      <c r="O8" s="154" t="s">
        <v>188</v>
      </c>
      <c r="P8" s="154" t="s">
        <v>189</v>
      </c>
      <c r="Q8" s="154" t="s">
        <v>190</v>
      </c>
      <c r="R8" s="154" t="s">
        <v>191</v>
      </c>
      <c r="S8" s="154" t="s">
        <v>192</v>
      </c>
      <c r="T8" s="154" t="s">
        <v>193</v>
      </c>
      <c r="U8" s="154" t="s">
        <v>194</v>
      </c>
      <c r="V8" s="154" t="s">
        <v>195</v>
      </c>
      <c r="W8" s="154" t="s">
        <v>196</v>
      </c>
      <c r="X8" s="154" t="s">
        <v>197</v>
      </c>
      <c r="Y8" s="154" t="s">
        <v>198</v>
      </c>
      <c r="Z8" s="154" t="s">
        <v>199</v>
      </c>
      <c r="AA8" s="154" t="s">
        <v>200</v>
      </c>
      <c r="AB8" s="154" t="s">
        <v>201</v>
      </c>
      <c r="AC8" s="154" t="s">
        <v>202</v>
      </c>
      <c r="AD8" s="154" t="s">
        <v>203</v>
      </c>
      <c r="AE8" s="154" t="s">
        <v>204</v>
      </c>
      <c r="AF8" s="154" t="s">
        <v>205</v>
      </c>
      <c r="AG8" s="154" t="s">
        <v>206</v>
      </c>
      <c r="AH8" s="154" t="s">
        <v>207</v>
      </c>
      <c r="AI8" s="154" t="s">
        <v>208</v>
      </c>
      <c r="AJ8" s="154" t="s">
        <v>209</v>
      </c>
      <c r="AK8" s="154" t="s">
        <v>210</v>
      </c>
      <c r="AL8" s="154" t="s">
        <v>211</v>
      </c>
      <c r="AM8" s="154" t="s">
        <v>212</v>
      </c>
      <c r="AN8" s="154" t="s">
        <v>213</v>
      </c>
      <c r="AO8" s="154" t="s">
        <v>214</v>
      </c>
      <c r="AP8" s="154" t="s">
        <v>169</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228.0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893.0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867.0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15880.0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2964.0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13769.0</v>
      </c>
    </row>
    <row r="27">
      <c r="A27" s="155" t="s">
        <v>97</v>
      </c>
      <c r="B27" s="157">
        <v>263.0</v>
      </c>
      <c r="C27" s="157">
        <v>411.0</v>
      </c>
      <c r="D27" s="157">
        <v>184.0</v>
      </c>
      <c r="E27" s="157">
        <v>303.0</v>
      </c>
      <c r="F27" s="157">
        <v>156.0</v>
      </c>
      <c r="G27" s="157">
        <v>599.0</v>
      </c>
      <c r="H27" s="158">
        <v>1272.0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484.0</v>
      </c>
      <c r="Y27" s="157">
        <v>574.0</v>
      </c>
      <c r="Z27" s="157">
        <v>146.0</v>
      </c>
      <c r="AA27" s="158">
        <v>1151.0</v>
      </c>
      <c r="AB27" s="157">
        <v>267.0</v>
      </c>
      <c r="AC27" s="158">
        <v>3988.0</v>
      </c>
      <c r="AD27" s="157">
        <v>59.0</v>
      </c>
      <c r="AE27" s="157">
        <v>191.0</v>
      </c>
      <c r="AF27" s="157">
        <v>346.0</v>
      </c>
      <c r="AG27" s="157">
        <v>599.0</v>
      </c>
      <c r="AH27" s="157">
        <v>134.0</v>
      </c>
      <c r="AI27" s="157">
        <v>174.0</v>
      </c>
      <c r="AJ27" s="158">
        <v>1204.0</v>
      </c>
      <c r="AK27" s="157">
        <v>102.0</v>
      </c>
      <c r="AL27" s="157">
        <v>493.0</v>
      </c>
      <c r="AM27" s="157">
        <v>274.0</v>
      </c>
      <c r="AN27" s="157">
        <v>580.0</v>
      </c>
      <c r="AO27" s="157">
        <v>405.0</v>
      </c>
      <c r="AP27" s="159">
        <v>18732.0</v>
      </c>
    </row>
    <row r="28">
      <c r="A28" s="155" t="s">
        <v>98</v>
      </c>
      <c r="B28" s="157">
        <v>276.0</v>
      </c>
      <c r="C28" s="157">
        <v>353.0</v>
      </c>
      <c r="D28" s="157">
        <v>176.0</v>
      </c>
      <c r="E28" s="157">
        <v>340.0</v>
      </c>
      <c r="F28" s="157">
        <v>171.0</v>
      </c>
      <c r="G28" s="157">
        <v>569.0</v>
      </c>
      <c r="H28" s="158">
        <v>1136.0</v>
      </c>
      <c r="I28" s="157">
        <v>477.0</v>
      </c>
      <c r="J28" s="157">
        <v>409.0</v>
      </c>
      <c r="K28" s="157">
        <v>743.0</v>
      </c>
      <c r="L28" s="157">
        <v>78.0</v>
      </c>
      <c r="M28" s="157">
        <v>75.0</v>
      </c>
      <c r="N28" s="157">
        <v>98.0</v>
      </c>
      <c r="O28" s="157">
        <v>94.0</v>
      </c>
      <c r="P28" s="157">
        <v>108.0</v>
      </c>
      <c r="Q28" s="157">
        <v>396.0</v>
      </c>
      <c r="R28" s="157">
        <v>293.0</v>
      </c>
      <c r="S28" s="157">
        <v>50.0</v>
      </c>
      <c r="T28" s="157">
        <v>341.0</v>
      </c>
      <c r="U28" s="157">
        <v>186.0</v>
      </c>
      <c r="V28" s="157">
        <v>40.0</v>
      </c>
      <c r="W28" s="157">
        <v>432.0</v>
      </c>
      <c r="X28" s="157">
        <v>464.0</v>
      </c>
      <c r="Y28" s="157">
        <v>528.0</v>
      </c>
      <c r="Z28" s="157">
        <v>134.0</v>
      </c>
      <c r="AA28" s="158">
        <v>1289.0</v>
      </c>
      <c r="AB28" s="157">
        <v>217.0</v>
      </c>
      <c r="AC28" s="158">
        <v>3537.0</v>
      </c>
      <c r="AD28" s="157">
        <v>74.0</v>
      </c>
      <c r="AE28" s="157">
        <v>175.0</v>
      </c>
      <c r="AF28" s="157">
        <v>311.0</v>
      </c>
      <c r="AG28" s="157">
        <v>526.0</v>
      </c>
      <c r="AH28" s="157">
        <v>154.0</v>
      </c>
      <c r="AI28" s="157">
        <v>178.0</v>
      </c>
      <c r="AJ28" s="158">
        <v>1162.0</v>
      </c>
      <c r="AK28" s="157">
        <v>80.0</v>
      </c>
      <c r="AL28" s="157">
        <v>469.0</v>
      </c>
      <c r="AM28" s="157">
        <v>306.0</v>
      </c>
      <c r="AN28" s="157">
        <v>553.0</v>
      </c>
      <c r="AO28" s="157">
        <v>523.0</v>
      </c>
      <c r="AP28" s="159">
        <v>17521.0</v>
      </c>
    </row>
    <row r="29">
      <c r="A29" s="160" t="s">
        <v>99</v>
      </c>
      <c r="B29" s="157">
        <v>269.0</v>
      </c>
      <c r="C29" s="157">
        <v>460.0</v>
      </c>
      <c r="D29" s="157">
        <v>197.0</v>
      </c>
      <c r="E29" s="157">
        <v>441.0</v>
      </c>
      <c r="F29" s="157">
        <v>151.0</v>
      </c>
      <c r="G29" s="157">
        <v>846.0</v>
      </c>
      <c r="H29" s="158">
        <v>1499.0</v>
      </c>
      <c r="I29" s="157">
        <v>497.0</v>
      </c>
      <c r="J29" s="157">
        <v>557.0</v>
      </c>
      <c r="K29" s="158">
        <v>1048.0</v>
      </c>
      <c r="L29" s="157">
        <v>106.0</v>
      </c>
      <c r="M29" s="157">
        <v>88.0</v>
      </c>
      <c r="N29" s="157">
        <v>129.0</v>
      </c>
      <c r="O29" s="157">
        <v>116.0</v>
      </c>
      <c r="P29" s="157">
        <v>113.0</v>
      </c>
      <c r="Q29" s="157">
        <v>522.0</v>
      </c>
      <c r="R29" s="157">
        <v>333.0</v>
      </c>
      <c r="S29" s="157">
        <v>52.0</v>
      </c>
      <c r="T29" s="157">
        <v>402.0</v>
      </c>
      <c r="U29" s="157">
        <v>269.0</v>
      </c>
      <c r="V29" s="157">
        <v>50.0</v>
      </c>
      <c r="W29" s="157">
        <v>637.0</v>
      </c>
      <c r="X29" s="157">
        <v>590.0</v>
      </c>
      <c r="Y29" s="157">
        <v>646.0</v>
      </c>
      <c r="Z29" s="157">
        <v>154.0</v>
      </c>
      <c r="AA29" s="158">
        <v>1629.0</v>
      </c>
      <c r="AB29" s="157">
        <v>208.0</v>
      </c>
      <c r="AC29" s="158">
        <v>4524.0</v>
      </c>
      <c r="AD29" s="157">
        <v>68.0</v>
      </c>
      <c r="AE29" s="157">
        <v>220.0</v>
      </c>
      <c r="AF29" s="157">
        <v>354.0</v>
      </c>
      <c r="AG29" s="157">
        <v>672.0</v>
      </c>
      <c r="AH29" s="157">
        <v>175.0</v>
      </c>
      <c r="AI29" s="157">
        <v>234.0</v>
      </c>
      <c r="AJ29" s="158">
        <v>1498.0</v>
      </c>
      <c r="AK29" s="157">
        <v>129.0</v>
      </c>
      <c r="AL29" s="157">
        <v>600.0</v>
      </c>
      <c r="AM29" s="157">
        <v>395.0</v>
      </c>
      <c r="AN29" s="157">
        <v>737.0</v>
      </c>
      <c r="AO29" s="158">
        <v>1094.0</v>
      </c>
      <c r="AP29" s="159">
        <v>22709.0</v>
      </c>
    </row>
    <row r="30">
      <c r="A30" s="161" t="s">
        <v>100</v>
      </c>
      <c r="B30" s="157">
        <v>334.0</v>
      </c>
      <c r="C30" s="157">
        <v>429.0</v>
      </c>
      <c r="D30" s="157">
        <v>201.0</v>
      </c>
      <c r="E30" s="157">
        <v>496.0</v>
      </c>
      <c r="F30" s="157">
        <v>145.0</v>
      </c>
      <c r="G30" s="157">
        <v>870.0</v>
      </c>
      <c r="H30" s="158">
        <v>1436.0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1791.0</v>
      </c>
      <c r="AB30" s="157">
        <v>243.0</v>
      </c>
      <c r="AC30" s="158">
        <v>4632.0</v>
      </c>
      <c r="AD30" s="157">
        <v>94.0</v>
      </c>
      <c r="AE30" s="157">
        <v>224.0</v>
      </c>
      <c r="AF30" s="157">
        <v>325.0</v>
      </c>
      <c r="AG30" s="157">
        <v>539.0</v>
      </c>
      <c r="AH30" s="157">
        <v>198.0</v>
      </c>
      <c r="AI30" s="157">
        <v>230.0</v>
      </c>
      <c r="AJ30" s="158">
        <v>1719.0</v>
      </c>
      <c r="AK30" s="157">
        <v>127.0</v>
      </c>
      <c r="AL30" s="157">
        <v>616.0</v>
      </c>
      <c r="AM30" s="157">
        <v>350.0</v>
      </c>
      <c r="AN30" s="157">
        <v>888.0</v>
      </c>
      <c r="AO30" s="158">
        <v>1869.0</v>
      </c>
      <c r="AP30" s="159">
        <v>23382.0</v>
      </c>
    </row>
    <row r="31">
      <c r="A31" s="131" t="s">
        <v>101</v>
      </c>
      <c r="B31" s="157">
        <v>377.0</v>
      </c>
      <c r="C31" s="158">
        <v>1067.0</v>
      </c>
      <c r="D31" s="157">
        <v>227.0</v>
      </c>
      <c r="E31" s="157">
        <v>521.0</v>
      </c>
      <c r="F31" s="157">
        <v>159.0</v>
      </c>
      <c r="G31" s="157">
        <v>755.0</v>
      </c>
      <c r="H31" s="158">
        <v>1553.0</v>
      </c>
      <c r="I31" s="157">
        <v>626.0</v>
      </c>
      <c r="J31" s="157">
        <v>319.0</v>
      </c>
      <c r="K31" s="158">
        <v>1103.0</v>
      </c>
      <c r="L31" s="157">
        <v>82.0</v>
      </c>
      <c r="M31" s="157">
        <v>83.0</v>
      </c>
      <c r="N31" s="157">
        <v>112.0</v>
      </c>
      <c r="O31" s="157">
        <v>98.0</v>
      </c>
      <c r="P31" s="157">
        <v>96.0</v>
      </c>
      <c r="Q31" s="157">
        <v>509.0</v>
      </c>
      <c r="R31" s="157">
        <v>393.0</v>
      </c>
      <c r="S31" s="157">
        <v>55.0</v>
      </c>
      <c r="T31" s="157">
        <v>518.0</v>
      </c>
      <c r="U31" s="157">
        <v>220.0</v>
      </c>
      <c r="V31" s="157">
        <v>32.0</v>
      </c>
      <c r="W31" s="157">
        <v>650.0</v>
      </c>
      <c r="X31" s="157">
        <v>478.0</v>
      </c>
      <c r="Y31" s="157">
        <v>642.0</v>
      </c>
      <c r="Z31" s="157">
        <v>171.0</v>
      </c>
      <c r="AA31" s="158">
        <v>1617.0</v>
      </c>
      <c r="AB31" s="157">
        <v>260.0</v>
      </c>
      <c r="AC31" s="158">
        <v>5085.0</v>
      </c>
      <c r="AD31" s="157">
        <v>75.0</v>
      </c>
      <c r="AE31" s="157">
        <v>209.0</v>
      </c>
      <c r="AF31" s="157">
        <v>324.0</v>
      </c>
      <c r="AG31" s="157">
        <v>555.0</v>
      </c>
      <c r="AH31" s="157">
        <v>259.0</v>
      </c>
      <c r="AI31" s="157">
        <v>224.0</v>
      </c>
      <c r="AJ31" s="158">
        <v>1446.0</v>
      </c>
      <c r="AK31" s="157">
        <v>91.0</v>
      </c>
      <c r="AL31" s="157">
        <v>526.0</v>
      </c>
      <c r="AM31" s="157">
        <v>397.0</v>
      </c>
      <c r="AN31" s="157">
        <v>774.0</v>
      </c>
      <c r="AO31" s="158">
        <v>2589.0</v>
      </c>
      <c r="AP31" s="159">
        <v>25277.0</v>
      </c>
    </row>
    <row r="32">
      <c r="A32" s="131" t="s">
        <v>102</v>
      </c>
      <c r="B32" s="157">
        <v>403.0</v>
      </c>
      <c r="C32" s="157">
        <v>712.0</v>
      </c>
      <c r="D32" s="157">
        <v>302.0</v>
      </c>
      <c r="E32" s="157">
        <v>505.0</v>
      </c>
      <c r="F32" s="157">
        <v>147.0</v>
      </c>
      <c r="G32" s="157">
        <v>556.0</v>
      </c>
      <c r="H32" s="158">
        <v>1439.0</v>
      </c>
      <c r="I32" s="157">
        <v>741.0</v>
      </c>
      <c r="J32" s="157">
        <v>353.0</v>
      </c>
      <c r="K32" s="158">
        <v>1021.0</v>
      </c>
      <c r="L32" s="157">
        <v>79.0</v>
      </c>
      <c r="M32" s="157">
        <v>68.0</v>
      </c>
      <c r="N32" s="157">
        <v>116.0</v>
      </c>
      <c r="O32" s="157">
        <v>127.0</v>
      </c>
      <c r="P32" s="157">
        <v>122.0</v>
      </c>
      <c r="Q32" s="157">
        <v>490.0</v>
      </c>
      <c r="R32" s="157">
        <v>405.0</v>
      </c>
      <c r="S32" s="157">
        <v>58.0</v>
      </c>
      <c r="T32" s="157">
        <v>369.0</v>
      </c>
      <c r="U32" s="157">
        <v>257.0</v>
      </c>
      <c r="V32" s="157">
        <v>56.0</v>
      </c>
      <c r="W32" s="157">
        <v>549.0</v>
      </c>
      <c r="X32" s="157">
        <v>472.0</v>
      </c>
      <c r="Y32" s="157">
        <v>701.0</v>
      </c>
      <c r="Z32" s="157">
        <v>180.0</v>
      </c>
      <c r="AA32" s="158">
        <v>1626.0</v>
      </c>
      <c r="AB32" s="157">
        <v>303.0</v>
      </c>
      <c r="AC32" s="158">
        <v>4693.0</v>
      </c>
      <c r="AD32" s="157">
        <v>79.0</v>
      </c>
      <c r="AE32" s="157">
        <v>178.0</v>
      </c>
      <c r="AF32" s="157">
        <v>415.0</v>
      </c>
      <c r="AG32" s="157">
        <v>527.0</v>
      </c>
      <c r="AH32" s="157">
        <v>191.0</v>
      </c>
      <c r="AI32" s="157">
        <v>218.0</v>
      </c>
      <c r="AJ32" s="158">
        <v>1402.0</v>
      </c>
      <c r="AK32" s="157">
        <v>86.0</v>
      </c>
      <c r="AL32" s="157">
        <v>530.0</v>
      </c>
      <c r="AM32" s="157">
        <v>355.0</v>
      </c>
      <c r="AN32" s="157">
        <v>928.0</v>
      </c>
      <c r="AO32" s="158">
        <v>2359.0</v>
      </c>
      <c r="AP32" s="159">
        <v>24118.0</v>
      </c>
    </row>
    <row r="33">
      <c r="A33" s="131" t="s">
        <v>103</v>
      </c>
      <c r="B33" s="157">
        <v>439.0</v>
      </c>
      <c r="C33" s="158">
        <v>3649.0</v>
      </c>
      <c r="D33" s="157">
        <v>366.0</v>
      </c>
      <c r="E33" s="157">
        <v>417.0</v>
      </c>
      <c r="F33" s="157">
        <v>144.0</v>
      </c>
      <c r="G33" s="157">
        <v>570.0</v>
      </c>
      <c r="H33" s="158">
        <v>1406.0</v>
      </c>
      <c r="I33" s="157">
        <v>834.0</v>
      </c>
      <c r="J33" s="157">
        <v>405.0</v>
      </c>
      <c r="K33" s="158">
        <v>1004.0</v>
      </c>
      <c r="L33" s="157">
        <v>100.0</v>
      </c>
      <c r="M33" s="157">
        <v>85.0</v>
      </c>
      <c r="N33" s="157">
        <v>174.0</v>
      </c>
      <c r="O33" s="157">
        <v>124.0</v>
      </c>
      <c r="P33" s="157">
        <v>119.0</v>
      </c>
      <c r="Q33" s="157">
        <v>464.0</v>
      </c>
      <c r="R33" s="157">
        <v>440.0</v>
      </c>
      <c r="S33" s="157">
        <v>79.0</v>
      </c>
      <c r="T33" s="157">
        <v>393.0</v>
      </c>
      <c r="U33" s="157">
        <v>323.0</v>
      </c>
      <c r="V33" s="157">
        <v>47.0</v>
      </c>
      <c r="W33" s="157">
        <v>526.0</v>
      </c>
      <c r="X33" s="157">
        <v>709.0</v>
      </c>
      <c r="Y33" s="157">
        <v>614.0</v>
      </c>
      <c r="Z33" s="157">
        <v>218.0</v>
      </c>
      <c r="AA33" s="158">
        <v>1584.0</v>
      </c>
      <c r="AB33" s="157">
        <v>286.0</v>
      </c>
      <c r="AC33" s="158">
        <v>5418.0</v>
      </c>
      <c r="AD33" s="157">
        <v>71.0</v>
      </c>
      <c r="AE33" s="157">
        <v>208.0</v>
      </c>
      <c r="AF33" s="158">
        <v>2094.0</v>
      </c>
      <c r="AG33" s="157">
        <v>519.0</v>
      </c>
      <c r="AH33" s="157">
        <v>254.0</v>
      </c>
      <c r="AI33" s="157">
        <v>234.0</v>
      </c>
      <c r="AJ33" s="158">
        <v>1487.0</v>
      </c>
      <c r="AK33" s="157">
        <v>87.0</v>
      </c>
      <c r="AL33" s="157">
        <v>510.0</v>
      </c>
      <c r="AM33" s="157">
        <v>398.0</v>
      </c>
      <c r="AN33" s="157">
        <v>791.0</v>
      </c>
      <c r="AO33" s="158">
        <v>2266.0</v>
      </c>
      <c r="AP33" s="159">
        <v>29856.0</v>
      </c>
    </row>
    <row r="34">
      <c r="A34" s="131" t="s">
        <v>104</v>
      </c>
      <c r="B34" s="157">
        <v>454.0</v>
      </c>
      <c r="C34" s="158">
        <v>6354.0</v>
      </c>
      <c r="D34" s="157">
        <v>260.0</v>
      </c>
      <c r="E34" s="157">
        <v>456.0</v>
      </c>
      <c r="F34" s="157">
        <v>180.0</v>
      </c>
      <c r="G34" s="157">
        <v>692.0</v>
      </c>
      <c r="H34" s="158">
        <v>1561.0</v>
      </c>
      <c r="I34" s="157">
        <v>783.0</v>
      </c>
      <c r="J34" s="157">
        <v>467.0</v>
      </c>
      <c r="K34" s="158">
        <v>1009.0</v>
      </c>
      <c r="L34" s="157">
        <v>84.0</v>
      </c>
      <c r="M34" s="157">
        <v>110.0</v>
      </c>
      <c r="N34" s="157">
        <v>142.0</v>
      </c>
      <c r="O34" s="157">
        <v>130.0</v>
      </c>
      <c r="P34" s="157">
        <v>134.0</v>
      </c>
      <c r="Q34" s="157">
        <v>518.0</v>
      </c>
      <c r="R34" s="157">
        <v>475.0</v>
      </c>
      <c r="S34" s="157">
        <v>55.0</v>
      </c>
      <c r="T34" s="157">
        <v>288.0</v>
      </c>
      <c r="U34" s="157">
        <v>287.0</v>
      </c>
      <c r="V34" s="157">
        <v>44.0</v>
      </c>
      <c r="W34" s="157">
        <v>791.0</v>
      </c>
      <c r="X34" s="157">
        <v>598.0</v>
      </c>
      <c r="Y34" s="157">
        <v>649.0</v>
      </c>
      <c r="Z34" s="157">
        <v>331.0</v>
      </c>
      <c r="AA34" s="158">
        <v>1503.0</v>
      </c>
      <c r="AB34" s="157">
        <v>252.0</v>
      </c>
      <c r="AC34" s="158">
        <v>7171.0</v>
      </c>
      <c r="AD34" s="157">
        <v>68.0</v>
      </c>
      <c r="AE34" s="157">
        <v>241.0</v>
      </c>
      <c r="AF34" s="158">
        <v>4276.0</v>
      </c>
      <c r="AG34" s="157">
        <v>654.0</v>
      </c>
      <c r="AH34" s="157">
        <v>224.0</v>
      </c>
      <c r="AI34" s="157">
        <v>196.0</v>
      </c>
      <c r="AJ34" s="158">
        <v>1542.0</v>
      </c>
      <c r="AK34" s="157">
        <v>106.0</v>
      </c>
      <c r="AL34" s="157">
        <v>542.0</v>
      </c>
      <c r="AM34" s="157">
        <v>376.0</v>
      </c>
      <c r="AN34" s="157">
        <v>863.0</v>
      </c>
      <c r="AO34" s="158">
        <v>2028.0</v>
      </c>
      <c r="AP34" s="159">
        <v>36894.0</v>
      </c>
    </row>
    <row r="35">
      <c r="A35" s="131" t="s">
        <v>105</v>
      </c>
      <c r="B35" s="157">
        <v>573.0</v>
      </c>
      <c r="C35" s="158">
        <v>6994.0</v>
      </c>
      <c r="D35" s="157">
        <v>395.0</v>
      </c>
      <c r="E35" s="157">
        <v>351.0</v>
      </c>
      <c r="F35" s="157">
        <v>165.0</v>
      </c>
      <c r="G35" s="157">
        <v>675.0</v>
      </c>
      <c r="H35" s="158">
        <v>1747.0</v>
      </c>
      <c r="I35" s="157">
        <v>945.0</v>
      </c>
      <c r="J35" s="157">
        <v>532.0</v>
      </c>
      <c r="K35" s="158">
        <v>1130.0</v>
      </c>
      <c r="L35" s="157">
        <v>106.0</v>
      </c>
      <c r="M35" s="157">
        <v>126.0</v>
      </c>
      <c r="N35" s="157">
        <v>168.0</v>
      </c>
      <c r="O35" s="157">
        <v>135.0</v>
      </c>
      <c r="P35" s="157">
        <v>163.0</v>
      </c>
      <c r="Q35" s="157">
        <v>603.0</v>
      </c>
      <c r="R35" s="157">
        <v>555.0</v>
      </c>
      <c r="S35" s="157">
        <v>72.0</v>
      </c>
      <c r="T35" s="157">
        <v>406.0</v>
      </c>
      <c r="U35" s="157">
        <v>307.0</v>
      </c>
      <c r="V35" s="157">
        <v>28.0</v>
      </c>
      <c r="W35" s="158">
        <v>1227.0</v>
      </c>
      <c r="X35" s="157">
        <v>665.0</v>
      </c>
      <c r="Y35" s="157">
        <v>744.0</v>
      </c>
      <c r="Z35" s="157">
        <v>408.0</v>
      </c>
      <c r="AA35" s="158">
        <v>1801.0</v>
      </c>
      <c r="AB35" s="157">
        <v>361.0</v>
      </c>
      <c r="AC35" s="158">
        <v>12370.0</v>
      </c>
      <c r="AD35" s="157">
        <v>80.0</v>
      </c>
      <c r="AE35" s="157">
        <v>280.0</v>
      </c>
      <c r="AF35" s="158">
        <v>3401.0</v>
      </c>
      <c r="AG35" s="157">
        <v>641.0</v>
      </c>
      <c r="AH35" s="157">
        <v>271.0</v>
      </c>
      <c r="AI35" s="157">
        <v>260.0</v>
      </c>
      <c r="AJ35" s="158">
        <v>1539.0</v>
      </c>
      <c r="AK35" s="157">
        <v>133.0</v>
      </c>
      <c r="AL35" s="157">
        <v>482.0</v>
      </c>
      <c r="AM35" s="157">
        <v>361.0</v>
      </c>
      <c r="AN35" s="158">
        <v>1083.0</v>
      </c>
      <c r="AO35" s="158">
        <v>851.0</v>
      </c>
      <c r="AP35" s="159">
        <v>43134.0</v>
      </c>
    </row>
    <row r="36">
      <c r="A36" s="131" t="s">
        <v>106</v>
      </c>
      <c r="B36" s="157">
        <v>511.0</v>
      </c>
      <c r="C36" s="158">
        <v>7513.0</v>
      </c>
      <c r="D36" s="157">
        <v>263.0</v>
      </c>
      <c r="E36" s="157">
        <v>353.0</v>
      </c>
      <c r="F36" s="157">
        <v>144.0</v>
      </c>
      <c r="G36" s="157">
        <v>620.0</v>
      </c>
      <c r="H36" s="158">
        <v>1482.0</v>
      </c>
      <c r="I36" s="157">
        <v>742.0</v>
      </c>
      <c r="J36" s="157">
        <v>412.0</v>
      </c>
      <c r="K36" s="158">
        <v>1080.0</v>
      </c>
      <c r="L36" s="157">
        <v>78.0</v>
      </c>
      <c r="M36" s="157">
        <v>94.0</v>
      </c>
      <c r="N36" s="157">
        <v>172.0</v>
      </c>
      <c r="O36" s="157">
        <v>119.0</v>
      </c>
      <c r="P36" s="157">
        <v>126.0</v>
      </c>
      <c r="Q36" s="157">
        <v>472.0</v>
      </c>
      <c r="R36" s="157">
        <v>468.0</v>
      </c>
      <c r="S36" s="157">
        <v>50.0</v>
      </c>
      <c r="T36" s="157">
        <v>491.0</v>
      </c>
      <c r="U36" s="157">
        <v>263.0</v>
      </c>
      <c r="V36" s="157">
        <v>61.0</v>
      </c>
      <c r="W36" s="158">
        <v>1680.0</v>
      </c>
      <c r="X36" s="157">
        <v>547.0</v>
      </c>
      <c r="Y36" s="157">
        <v>606.0</v>
      </c>
      <c r="Z36" s="157">
        <v>271.0</v>
      </c>
      <c r="AA36" s="158">
        <v>1651.0</v>
      </c>
      <c r="AB36" s="157">
        <v>275.0</v>
      </c>
      <c r="AC36" s="158">
        <v>10226.0</v>
      </c>
      <c r="AD36" s="157">
        <v>68.0</v>
      </c>
      <c r="AE36" s="157">
        <v>229.0</v>
      </c>
      <c r="AF36" s="158">
        <v>3660.0</v>
      </c>
      <c r="AG36" s="157">
        <v>533.0</v>
      </c>
      <c r="AH36" s="157">
        <v>268.0</v>
      </c>
      <c r="AI36" s="157">
        <v>216.0</v>
      </c>
      <c r="AJ36" s="158">
        <v>1383.0</v>
      </c>
      <c r="AK36" s="157">
        <v>102.0</v>
      </c>
      <c r="AL36" s="157">
        <v>449.0</v>
      </c>
      <c r="AM36" s="157">
        <v>332.0</v>
      </c>
      <c r="AN36" s="157">
        <v>685.0</v>
      </c>
      <c r="AO36" s="158">
        <v>1223.0</v>
      </c>
      <c r="AP36" s="159">
        <v>39918.0</v>
      </c>
    </row>
    <row r="37">
      <c r="A37" s="131" t="s">
        <v>107</v>
      </c>
      <c r="B37" s="157">
        <v>555.0</v>
      </c>
      <c r="C37" s="158">
        <v>8138.0</v>
      </c>
      <c r="D37" s="157">
        <v>309.0</v>
      </c>
      <c r="E37" s="157">
        <v>408.0</v>
      </c>
      <c r="F37" s="157">
        <v>184.0</v>
      </c>
      <c r="G37" s="157">
        <v>752.0</v>
      </c>
      <c r="H37" s="158">
        <v>1773.0</v>
      </c>
      <c r="I37" s="157">
        <v>806.0</v>
      </c>
      <c r="J37" s="157">
        <v>492.0</v>
      </c>
      <c r="K37" s="158">
        <v>1164.0</v>
      </c>
      <c r="L37" s="157">
        <v>129.0</v>
      </c>
      <c r="M37" s="157">
        <v>132.0</v>
      </c>
      <c r="N37" s="157">
        <v>196.0</v>
      </c>
      <c r="O37" s="157">
        <v>161.0</v>
      </c>
      <c r="P37" s="157">
        <v>175.0</v>
      </c>
      <c r="Q37" s="157">
        <v>676.0</v>
      </c>
      <c r="R37" s="157">
        <v>599.0</v>
      </c>
      <c r="S37" s="157">
        <v>55.0</v>
      </c>
      <c r="T37" s="157">
        <v>309.0</v>
      </c>
      <c r="U37" s="157">
        <v>351.0</v>
      </c>
      <c r="V37" s="157">
        <v>40.0</v>
      </c>
      <c r="W37" s="157">
        <v>787.0</v>
      </c>
      <c r="X37" s="157">
        <v>735.0</v>
      </c>
      <c r="Y37" s="157">
        <v>756.0</v>
      </c>
      <c r="Z37" s="157">
        <v>338.0</v>
      </c>
      <c r="AA37" s="158">
        <v>1760.0</v>
      </c>
      <c r="AB37" s="157">
        <v>353.0</v>
      </c>
      <c r="AC37" s="158">
        <v>12370.0</v>
      </c>
      <c r="AD37" s="157">
        <v>74.0</v>
      </c>
      <c r="AE37" s="157">
        <v>299.0</v>
      </c>
      <c r="AF37" s="158">
        <v>3735.0</v>
      </c>
      <c r="AG37" s="157">
        <v>684.0</v>
      </c>
      <c r="AH37" s="157">
        <v>277.0</v>
      </c>
      <c r="AI37" s="157">
        <v>257.0</v>
      </c>
      <c r="AJ37" s="158">
        <v>1630.0</v>
      </c>
      <c r="AK37" s="157">
        <v>145.0</v>
      </c>
      <c r="AL37" s="157">
        <v>595.0</v>
      </c>
      <c r="AM37" s="157">
        <v>429.0</v>
      </c>
      <c r="AN37" s="157">
        <v>886.0</v>
      </c>
      <c r="AO37" s="158">
        <v>1188.0</v>
      </c>
      <c r="AP37" s="159">
        <v>44702.0</v>
      </c>
    </row>
    <row r="38">
      <c r="A38" s="131" t="s">
        <v>108</v>
      </c>
      <c r="B38" s="157">
        <v>685.0</v>
      </c>
      <c r="C38" s="158">
        <v>7830.0</v>
      </c>
      <c r="D38" s="157">
        <v>382.0</v>
      </c>
      <c r="E38" s="157">
        <v>493.0</v>
      </c>
      <c r="F38" s="157">
        <v>231.0</v>
      </c>
      <c r="G38" s="157">
        <v>818.0</v>
      </c>
      <c r="H38" s="158">
        <v>1905.0</v>
      </c>
      <c r="I38" s="158">
        <v>1033.0</v>
      </c>
      <c r="J38" s="157">
        <v>612.0</v>
      </c>
      <c r="K38" s="158">
        <v>1381.0</v>
      </c>
      <c r="L38" s="157">
        <v>140.0</v>
      </c>
      <c r="M38" s="157">
        <v>160.0</v>
      </c>
      <c r="N38" s="157">
        <v>234.0</v>
      </c>
      <c r="O38" s="157">
        <v>186.0</v>
      </c>
      <c r="P38" s="157">
        <v>177.0</v>
      </c>
      <c r="Q38" s="157">
        <v>740.0</v>
      </c>
      <c r="R38" s="157">
        <v>670.0</v>
      </c>
      <c r="S38" s="157">
        <v>68.0</v>
      </c>
      <c r="T38" s="157">
        <v>385.0</v>
      </c>
      <c r="U38" s="157">
        <v>371.0</v>
      </c>
      <c r="V38" s="157">
        <v>36.0</v>
      </c>
      <c r="W38" s="157">
        <v>945.0</v>
      </c>
      <c r="X38" s="157">
        <v>795.0</v>
      </c>
      <c r="Y38" s="157">
        <v>821.0</v>
      </c>
      <c r="Z38" s="157">
        <v>411.0</v>
      </c>
      <c r="AA38" s="158">
        <v>1980.0</v>
      </c>
      <c r="AB38" s="157">
        <v>355.0</v>
      </c>
      <c r="AC38" s="158">
        <v>13742.0</v>
      </c>
      <c r="AD38" s="157">
        <v>91.0</v>
      </c>
      <c r="AE38" s="157">
        <v>347.0</v>
      </c>
      <c r="AF38" s="158">
        <v>3783.0</v>
      </c>
      <c r="AG38" s="157">
        <v>729.0</v>
      </c>
      <c r="AH38" s="157">
        <v>322.0</v>
      </c>
      <c r="AI38" s="157">
        <v>279.0</v>
      </c>
      <c r="AJ38" s="158">
        <v>1796.0</v>
      </c>
      <c r="AK38" s="157">
        <v>159.0</v>
      </c>
      <c r="AL38" s="157">
        <v>611.0</v>
      </c>
      <c r="AM38" s="157">
        <v>543.0</v>
      </c>
      <c r="AN38" s="157">
        <v>901.0</v>
      </c>
      <c r="AO38" s="158">
        <v>1843.0</v>
      </c>
      <c r="AP38" s="159">
        <v>48990.0</v>
      </c>
    </row>
    <row r="39">
      <c r="A39" s="131" t="s">
        <v>109</v>
      </c>
      <c r="B39" s="157">
        <v>694.0</v>
      </c>
      <c r="C39" s="158">
        <v>7526.0</v>
      </c>
      <c r="D39" s="157">
        <v>485.0</v>
      </c>
      <c r="E39" s="157">
        <v>563.0</v>
      </c>
      <c r="F39" s="157">
        <v>246.0</v>
      </c>
      <c r="G39" s="157">
        <v>912.0</v>
      </c>
      <c r="H39" s="158">
        <v>2002.0</v>
      </c>
      <c r="I39" s="158">
        <v>1045.0</v>
      </c>
      <c r="J39" s="157">
        <v>600.0</v>
      </c>
      <c r="K39" s="158">
        <v>1484.0</v>
      </c>
      <c r="L39" s="157">
        <v>147.0</v>
      </c>
      <c r="M39" s="157">
        <v>140.0</v>
      </c>
      <c r="N39" s="157">
        <v>228.0</v>
      </c>
      <c r="O39" s="157">
        <v>222.0</v>
      </c>
      <c r="P39" s="157">
        <v>173.0</v>
      </c>
      <c r="Q39" s="157">
        <v>833.0</v>
      </c>
      <c r="R39" s="157">
        <v>720.0</v>
      </c>
      <c r="S39" s="157">
        <v>90.0</v>
      </c>
      <c r="T39" s="157">
        <v>405.0</v>
      </c>
      <c r="U39" s="157">
        <v>433.0</v>
      </c>
      <c r="V39" s="157">
        <v>27.0</v>
      </c>
      <c r="W39" s="157">
        <v>798.0</v>
      </c>
      <c r="X39" s="157">
        <v>990.0</v>
      </c>
      <c r="Y39" s="157">
        <v>949.0</v>
      </c>
      <c r="Z39" s="157">
        <v>406.0</v>
      </c>
      <c r="AA39" s="158">
        <v>2370.0</v>
      </c>
      <c r="AB39" s="157">
        <v>345.0</v>
      </c>
      <c r="AC39" s="158">
        <v>14540.0</v>
      </c>
      <c r="AD39" s="157">
        <v>130.0</v>
      </c>
      <c r="AE39" s="157">
        <v>345.0</v>
      </c>
      <c r="AF39" s="158">
        <v>3772.0</v>
      </c>
      <c r="AG39" s="157">
        <v>875.0</v>
      </c>
      <c r="AH39" s="157">
        <v>309.0</v>
      </c>
      <c r="AI39" s="157">
        <v>272.0</v>
      </c>
      <c r="AJ39" s="158">
        <v>1854.0</v>
      </c>
      <c r="AK39" s="157">
        <v>174.0</v>
      </c>
      <c r="AL39" s="157">
        <v>633.0</v>
      </c>
      <c r="AM39" s="157">
        <v>584.0</v>
      </c>
      <c r="AN39" s="157">
        <v>968.0</v>
      </c>
      <c r="AO39" s="158">
        <v>1720.0</v>
      </c>
      <c r="AP39" s="159">
        <v>51009.0</v>
      </c>
    </row>
    <row r="40">
      <c r="A40" s="131" t="s">
        <v>110</v>
      </c>
      <c r="B40" s="157">
        <v>844.0</v>
      </c>
      <c r="C40" s="158">
        <v>7222.0</v>
      </c>
      <c r="D40" s="157">
        <v>496.0</v>
      </c>
      <c r="E40" s="157">
        <v>567.0</v>
      </c>
      <c r="F40" s="157">
        <v>284.0</v>
      </c>
      <c r="G40" s="157">
        <v>994.0</v>
      </c>
      <c r="H40" s="158">
        <v>2272.0</v>
      </c>
      <c r="I40" s="158">
        <v>1236.0</v>
      </c>
      <c r="J40" s="157">
        <v>852.0</v>
      </c>
      <c r="K40" s="158">
        <v>1455.0</v>
      </c>
      <c r="L40" s="157">
        <v>222.0</v>
      </c>
      <c r="M40" s="157">
        <v>191.0</v>
      </c>
      <c r="N40" s="157">
        <v>279.0</v>
      </c>
      <c r="O40" s="157">
        <v>335.0</v>
      </c>
      <c r="P40" s="157">
        <v>246.0</v>
      </c>
      <c r="Q40" s="157">
        <v>884.0</v>
      </c>
      <c r="R40" s="157">
        <v>798.0</v>
      </c>
      <c r="S40" s="157">
        <v>91.0</v>
      </c>
      <c r="T40" s="157">
        <v>486.0</v>
      </c>
      <c r="U40" s="157">
        <v>500.0</v>
      </c>
      <c r="V40" s="157">
        <v>29.0</v>
      </c>
      <c r="W40" s="157">
        <v>955.0</v>
      </c>
      <c r="X40" s="158">
        <v>1191.0</v>
      </c>
      <c r="Y40" s="158">
        <v>1013.0</v>
      </c>
      <c r="Z40" s="157">
        <v>425.0</v>
      </c>
      <c r="AA40" s="158">
        <v>2437.0</v>
      </c>
      <c r="AB40" s="157">
        <v>488.0</v>
      </c>
      <c r="AC40" s="158">
        <v>15460.0</v>
      </c>
      <c r="AD40" s="157">
        <v>162.0</v>
      </c>
      <c r="AE40" s="157">
        <v>424.0</v>
      </c>
      <c r="AF40" s="158">
        <v>3911.0</v>
      </c>
      <c r="AG40" s="158">
        <v>1388.0</v>
      </c>
      <c r="AH40" s="157">
        <v>416.0</v>
      </c>
      <c r="AI40" s="157">
        <v>317.0</v>
      </c>
      <c r="AJ40" s="158">
        <v>2155.0</v>
      </c>
      <c r="AK40" s="157">
        <v>242.0</v>
      </c>
      <c r="AL40" s="157">
        <v>708.0</v>
      </c>
      <c r="AM40" s="157">
        <v>728.0</v>
      </c>
      <c r="AN40" s="157">
        <v>982.0</v>
      </c>
      <c r="AO40" s="158">
        <v>4020.0</v>
      </c>
      <c r="AP40" s="159">
        <v>57705.0</v>
      </c>
    </row>
    <row r="41">
      <c r="A41" s="131" t="s">
        <v>111</v>
      </c>
      <c r="B41" s="157">
        <v>759.0</v>
      </c>
      <c r="C41" s="158">
        <v>7080.0</v>
      </c>
      <c r="D41" s="157">
        <v>574.0</v>
      </c>
      <c r="E41" s="157">
        <v>625.0</v>
      </c>
      <c r="F41" s="157">
        <v>328.0</v>
      </c>
      <c r="G41" s="158">
        <v>1184.0</v>
      </c>
      <c r="H41" s="158">
        <v>2417.0</v>
      </c>
      <c r="I41" s="158">
        <v>1182.0</v>
      </c>
      <c r="J41" s="157">
        <v>728.0</v>
      </c>
      <c r="K41" s="158">
        <v>1520.0</v>
      </c>
      <c r="L41" s="157">
        <v>189.0</v>
      </c>
      <c r="M41" s="157">
        <v>205.0</v>
      </c>
      <c r="N41" s="157">
        <v>302.0</v>
      </c>
      <c r="O41" s="157">
        <v>275.0</v>
      </c>
      <c r="P41" s="157">
        <v>192.0</v>
      </c>
      <c r="Q41" s="157">
        <v>992.0</v>
      </c>
      <c r="R41" s="157">
        <v>760.0</v>
      </c>
      <c r="S41" s="157">
        <v>106.0</v>
      </c>
      <c r="T41" s="157">
        <v>501.0</v>
      </c>
      <c r="U41" s="157">
        <v>465.0</v>
      </c>
      <c r="V41" s="157">
        <v>43.0</v>
      </c>
      <c r="W41" s="158">
        <v>1031.0</v>
      </c>
      <c r="X41" s="158">
        <v>1153.0</v>
      </c>
      <c r="Y41" s="158">
        <v>1027.0</v>
      </c>
      <c r="Z41" s="157">
        <v>498.0</v>
      </c>
      <c r="AA41" s="158">
        <v>2402.0</v>
      </c>
      <c r="AB41" s="157">
        <v>505.0</v>
      </c>
      <c r="AC41" s="158">
        <v>14682.0</v>
      </c>
      <c r="AD41" s="157">
        <v>160.0</v>
      </c>
      <c r="AE41" s="157">
        <v>438.0</v>
      </c>
      <c r="AF41" s="158">
        <v>3933.0</v>
      </c>
      <c r="AG41" s="158">
        <v>1281.0</v>
      </c>
      <c r="AH41" s="157">
        <v>449.0</v>
      </c>
      <c r="AI41" s="157">
        <v>328.0</v>
      </c>
      <c r="AJ41" s="158">
        <v>2377.0</v>
      </c>
      <c r="AK41" s="157">
        <v>249.0</v>
      </c>
      <c r="AL41" s="157">
        <v>851.0</v>
      </c>
      <c r="AM41" s="157">
        <v>747.0</v>
      </c>
      <c r="AN41" s="158">
        <v>1119.0</v>
      </c>
      <c r="AO41" s="158">
        <v>4360.0</v>
      </c>
      <c r="AP41" s="159">
        <v>58017.0</v>
      </c>
    </row>
    <row r="42">
      <c r="A42" s="131" t="s">
        <v>112</v>
      </c>
      <c r="B42" s="157">
        <v>818.0</v>
      </c>
      <c r="C42" s="158">
        <v>6860.0</v>
      </c>
      <c r="D42" s="157">
        <v>558.0</v>
      </c>
      <c r="E42" s="157">
        <v>870.0</v>
      </c>
      <c r="F42" s="157">
        <v>271.0</v>
      </c>
      <c r="G42" s="158">
        <v>1273.0</v>
      </c>
      <c r="H42" s="158">
        <v>3023.0</v>
      </c>
      <c r="I42" s="158">
        <v>1341.0</v>
      </c>
      <c r="J42" s="157">
        <v>854.0</v>
      </c>
      <c r="K42" s="158">
        <v>1896.0</v>
      </c>
      <c r="L42" s="157">
        <v>142.0</v>
      </c>
      <c r="M42" s="157">
        <v>184.0</v>
      </c>
      <c r="N42" s="157">
        <v>335.0</v>
      </c>
      <c r="O42" s="157">
        <v>249.0</v>
      </c>
      <c r="P42" s="157">
        <v>194.0</v>
      </c>
      <c r="Q42" s="158">
        <v>1210.0</v>
      </c>
      <c r="R42" s="157">
        <v>887.0</v>
      </c>
      <c r="S42" s="157">
        <v>128.0</v>
      </c>
      <c r="T42" s="157">
        <v>678.0</v>
      </c>
      <c r="U42" s="157">
        <v>447.0</v>
      </c>
      <c r="V42" s="157">
        <v>53.0</v>
      </c>
      <c r="W42" s="158">
        <v>1422.0</v>
      </c>
      <c r="X42" s="158">
        <v>1208.0</v>
      </c>
      <c r="Y42" s="158">
        <v>1291.0</v>
      </c>
      <c r="Z42" s="157">
        <v>455.0</v>
      </c>
      <c r="AA42" s="158">
        <v>3047.0</v>
      </c>
      <c r="AB42" s="157">
        <v>566.0</v>
      </c>
      <c r="AC42" s="158">
        <v>16686.0</v>
      </c>
      <c r="AD42" s="157">
        <v>187.0</v>
      </c>
      <c r="AE42" s="157">
        <v>532.0</v>
      </c>
      <c r="AF42" s="158">
        <v>4050.0</v>
      </c>
      <c r="AG42" s="158">
        <v>1108.0</v>
      </c>
      <c r="AH42" s="157">
        <v>510.0</v>
      </c>
      <c r="AI42" s="157">
        <v>392.0</v>
      </c>
      <c r="AJ42" s="158">
        <v>2539.0</v>
      </c>
      <c r="AK42" s="157">
        <v>219.0</v>
      </c>
      <c r="AL42" s="157">
        <v>905.0</v>
      </c>
      <c r="AM42" s="157">
        <v>677.0</v>
      </c>
      <c r="AN42" s="158">
        <v>1272.0</v>
      </c>
      <c r="AO42" s="158">
        <v>8730.0</v>
      </c>
      <c r="AP42" s="159">
        <v>68067.0</v>
      </c>
    </row>
    <row r="43">
      <c r="A43" s="131" t="s">
        <v>113</v>
      </c>
      <c r="B43" s="157">
        <v>969.0</v>
      </c>
      <c r="C43" s="158">
        <v>6839.0</v>
      </c>
      <c r="D43" s="157">
        <v>624.0</v>
      </c>
      <c r="E43" s="157">
        <v>930.0</v>
      </c>
      <c r="F43" s="157">
        <v>245.0</v>
      </c>
      <c r="G43" s="158">
        <v>1249.0</v>
      </c>
      <c r="H43" s="158">
        <v>3067.0</v>
      </c>
      <c r="I43" s="158">
        <v>1523.0</v>
      </c>
      <c r="J43" s="157">
        <v>859.0</v>
      </c>
      <c r="K43" s="158">
        <v>2044.0</v>
      </c>
      <c r="L43" s="157">
        <v>174.0</v>
      </c>
      <c r="M43" s="157">
        <v>215.0</v>
      </c>
      <c r="N43" s="157">
        <v>361.0</v>
      </c>
      <c r="O43" s="157">
        <v>312.0</v>
      </c>
      <c r="P43" s="157">
        <v>209.0</v>
      </c>
      <c r="Q43" s="158">
        <v>1137.0</v>
      </c>
      <c r="R43" s="158">
        <v>1012.0</v>
      </c>
      <c r="S43" s="157">
        <v>141.0</v>
      </c>
      <c r="T43" s="157">
        <v>808.0</v>
      </c>
      <c r="U43" s="157">
        <v>453.0</v>
      </c>
      <c r="V43" s="157">
        <v>64.0</v>
      </c>
      <c r="W43" s="158">
        <v>1186.0</v>
      </c>
      <c r="X43" s="158">
        <v>1295.0</v>
      </c>
      <c r="Y43" s="158">
        <v>1287.0</v>
      </c>
      <c r="Z43" s="157">
        <v>531.0</v>
      </c>
      <c r="AA43" s="158">
        <v>3019.0</v>
      </c>
      <c r="AB43" s="157">
        <v>668.0</v>
      </c>
      <c r="AC43" s="158">
        <v>16234.0</v>
      </c>
      <c r="AD43" s="157">
        <v>179.0</v>
      </c>
      <c r="AE43" s="157">
        <v>534.0</v>
      </c>
      <c r="AF43" s="158">
        <v>4124.0</v>
      </c>
      <c r="AG43" s="158">
        <v>1126.0</v>
      </c>
      <c r="AH43" s="157">
        <v>583.0</v>
      </c>
      <c r="AI43" s="157">
        <v>464.0</v>
      </c>
      <c r="AJ43" s="158">
        <v>2808.0</v>
      </c>
      <c r="AK43" s="157">
        <v>228.0</v>
      </c>
      <c r="AL43" s="157">
        <v>983.0</v>
      </c>
      <c r="AM43" s="157">
        <v>721.0</v>
      </c>
      <c r="AN43" s="158">
        <v>1365.0</v>
      </c>
      <c r="AO43" s="158">
        <v>7291.0</v>
      </c>
      <c r="AP43" s="159">
        <v>67861.0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222</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223</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224</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225</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175</v>
      </c>
      <c r="C8" s="163" t="s">
        <v>176</v>
      </c>
      <c r="D8" s="163" t="s">
        <v>177</v>
      </c>
      <c r="E8" s="163" t="s">
        <v>178</v>
      </c>
      <c r="F8" s="163" t="s">
        <v>179</v>
      </c>
      <c r="G8" s="163" t="s">
        <v>180</v>
      </c>
      <c r="H8" s="163" t="s">
        <v>181</v>
      </c>
      <c r="I8" s="163" t="s">
        <v>182</v>
      </c>
      <c r="J8" s="163" t="s">
        <v>183</v>
      </c>
      <c r="K8" s="163" t="s">
        <v>184</v>
      </c>
      <c r="L8" s="163" t="s">
        <v>185</v>
      </c>
      <c r="M8" s="163" t="s">
        <v>186</v>
      </c>
      <c r="N8" s="163" t="s">
        <v>187</v>
      </c>
      <c r="O8" s="163" t="s">
        <v>188</v>
      </c>
      <c r="P8" s="163" t="s">
        <v>189</v>
      </c>
      <c r="Q8" s="163" t="s">
        <v>190</v>
      </c>
      <c r="R8" s="163" t="s">
        <v>191</v>
      </c>
      <c r="S8" s="163" t="s">
        <v>192</v>
      </c>
      <c r="T8" s="163" t="s">
        <v>193</v>
      </c>
      <c r="U8" s="163" t="s">
        <v>194</v>
      </c>
      <c r="V8" s="163" t="s">
        <v>195</v>
      </c>
      <c r="W8" s="163" t="s">
        <v>196</v>
      </c>
      <c r="X8" s="163" t="s">
        <v>197</v>
      </c>
      <c r="Y8" s="163" t="s">
        <v>198</v>
      </c>
      <c r="Z8" s="163" t="s">
        <v>199</v>
      </c>
      <c r="AA8" s="163" t="s">
        <v>200</v>
      </c>
      <c r="AB8" s="163" t="s">
        <v>201</v>
      </c>
      <c r="AC8" s="163" t="s">
        <v>202</v>
      </c>
      <c r="AD8" s="163" t="s">
        <v>203</v>
      </c>
      <c r="AE8" s="163" t="s">
        <v>204</v>
      </c>
      <c r="AF8" s="163" t="s">
        <v>205</v>
      </c>
      <c r="AG8" s="163" t="s">
        <v>206</v>
      </c>
      <c r="AH8" s="163" t="s">
        <v>207</v>
      </c>
      <c r="AI8" s="163" t="s">
        <v>208</v>
      </c>
      <c r="AJ8" s="163" t="s">
        <v>209</v>
      </c>
      <c r="AK8" s="163" t="s">
        <v>210</v>
      </c>
      <c r="AL8" s="163" t="s">
        <v>211</v>
      </c>
      <c r="AM8" s="163" t="s">
        <v>212</v>
      </c>
      <c r="AN8" s="163" t="s">
        <v>213</v>
      </c>
      <c r="AO8" s="163" t="s">
        <v>169</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117</v>
      </c>
      <c r="C17" s="165">
        <v>0.051</v>
      </c>
      <c r="D17" s="165">
        <v>0.052</v>
      </c>
      <c r="E17" s="165">
        <v>0.227</v>
      </c>
      <c r="F17" s="164" t="s">
        <v>117</v>
      </c>
      <c r="G17" s="165">
        <v>0.044</v>
      </c>
      <c r="H17" s="165">
        <v>0.103</v>
      </c>
      <c r="I17" s="165">
        <v>0.049</v>
      </c>
      <c r="J17" s="165">
        <v>0.067</v>
      </c>
      <c r="K17" s="165">
        <v>0.057</v>
      </c>
      <c r="L17" s="164" t="s">
        <v>117</v>
      </c>
      <c r="M17" s="164" t="s">
        <v>117</v>
      </c>
      <c r="N17" s="164" t="s">
        <v>117</v>
      </c>
      <c r="O17" s="165">
        <v>0.0</v>
      </c>
      <c r="P17" s="165">
        <v>0.0</v>
      </c>
      <c r="Q17" s="165">
        <v>0.071</v>
      </c>
      <c r="R17" s="165">
        <v>0.073</v>
      </c>
      <c r="S17" s="165">
        <v>0.0</v>
      </c>
      <c r="T17" s="164" t="s">
        <v>117</v>
      </c>
      <c r="U17" s="164" t="s">
        <v>117</v>
      </c>
      <c r="V17" s="165">
        <v>0.0</v>
      </c>
      <c r="W17" s="165">
        <v>0.037</v>
      </c>
      <c r="X17" s="165">
        <v>0.021</v>
      </c>
      <c r="Y17" s="165">
        <v>0.098</v>
      </c>
      <c r="Z17" s="164" t="s">
        <v>117</v>
      </c>
      <c r="AA17" s="165">
        <v>0.154</v>
      </c>
      <c r="AB17" s="164" t="s">
        <v>117</v>
      </c>
      <c r="AC17" s="165">
        <v>0.197</v>
      </c>
      <c r="AD17" s="165">
        <v>0.116</v>
      </c>
      <c r="AE17" s="164" t="s">
        <v>117</v>
      </c>
      <c r="AF17" s="165">
        <v>0.055</v>
      </c>
      <c r="AG17" s="164" t="s">
        <v>117</v>
      </c>
      <c r="AH17" s="165">
        <v>0.049</v>
      </c>
      <c r="AI17" s="164" t="s">
        <v>117</v>
      </c>
      <c r="AJ17" s="165">
        <v>0.076</v>
      </c>
      <c r="AK17" s="164" t="s">
        <v>117</v>
      </c>
      <c r="AL17" s="165">
        <v>0.085</v>
      </c>
      <c r="AM17" s="165">
        <v>0.074</v>
      </c>
      <c r="AN17" s="165">
        <v>0.107</v>
      </c>
      <c r="AO17" s="165">
        <v>0.114</v>
      </c>
    </row>
    <row r="18">
      <c r="A18" s="161" t="s">
        <v>88</v>
      </c>
      <c r="B18" s="164" t="s">
        <v>117</v>
      </c>
      <c r="C18" s="165">
        <v>0.039</v>
      </c>
      <c r="D18" s="164" t="s">
        <v>117</v>
      </c>
      <c r="E18" s="165">
        <v>0.199</v>
      </c>
      <c r="F18" s="164" t="s">
        <v>117</v>
      </c>
      <c r="G18" s="165">
        <v>0.037</v>
      </c>
      <c r="H18" s="165">
        <v>0.071</v>
      </c>
      <c r="I18" s="165">
        <v>0.061</v>
      </c>
      <c r="J18" s="165">
        <v>0.046</v>
      </c>
      <c r="K18" s="165">
        <v>0.068</v>
      </c>
      <c r="L18" s="165">
        <v>0.15</v>
      </c>
      <c r="M18" s="164" t="s">
        <v>117</v>
      </c>
      <c r="N18" s="164" t="s">
        <v>117</v>
      </c>
      <c r="O18" s="164" t="s">
        <v>117</v>
      </c>
      <c r="P18" s="164" t="s">
        <v>117</v>
      </c>
      <c r="Q18" s="165">
        <v>0.077</v>
      </c>
      <c r="R18" s="165">
        <v>0.066</v>
      </c>
      <c r="S18" s="164" t="s">
        <v>117</v>
      </c>
      <c r="T18" s="164" t="s">
        <v>117</v>
      </c>
      <c r="U18" s="164" t="s">
        <v>117</v>
      </c>
      <c r="V18" s="165">
        <v>0.0</v>
      </c>
      <c r="W18" s="165">
        <v>0.036</v>
      </c>
      <c r="X18" s="165">
        <v>0.035</v>
      </c>
      <c r="Y18" s="165">
        <v>0.079</v>
      </c>
      <c r="Z18" s="164" t="s">
        <v>117</v>
      </c>
      <c r="AA18" s="165">
        <v>0.13</v>
      </c>
      <c r="AB18" s="164" t="s">
        <v>117</v>
      </c>
      <c r="AC18" s="165">
        <v>0.142</v>
      </c>
      <c r="AD18" s="164" t="s">
        <v>117</v>
      </c>
      <c r="AE18" s="164" t="s">
        <v>117</v>
      </c>
      <c r="AF18" s="165">
        <v>0.058</v>
      </c>
      <c r="AG18" s="164" t="s">
        <v>117</v>
      </c>
      <c r="AH18" s="165">
        <v>0.029</v>
      </c>
      <c r="AI18" s="164" t="s">
        <v>117</v>
      </c>
      <c r="AJ18" s="165">
        <v>0.049</v>
      </c>
      <c r="AK18" s="165">
        <v>0.0</v>
      </c>
      <c r="AL18" s="165">
        <v>0.085</v>
      </c>
      <c r="AM18" s="164" t="s">
        <v>117</v>
      </c>
      <c r="AN18" s="165">
        <v>0.115</v>
      </c>
      <c r="AO18" s="165">
        <v>0.089</v>
      </c>
    </row>
    <row r="19">
      <c r="A19" s="161" t="s">
        <v>89</v>
      </c>
      <c r="B19" s="165">
        <v>0.058</v>
      </c>
      <c r="C19" s="165">
        <v>0.028</v>
      </c>
      <c r="D19" s="164" t="s">
        <v>117</v>
      </c>
      <c r="E19" s="165">
        <v>0.158</v>
      </c>
      <c r="F19" s="165">
        <v>0.0</v>
      </c>
      <c r="G19" s="165">
        <v>0.025</v>
      </c>
      <c r="H19" s="165">
        <v>0.066</v>
      </c>
      <c r="I19" s="165">
        <v>0.029</v>
      </c>
      <c r="J19" s="165">
        <v>0.029</v>
      </c>
      <c r="K19" s="165">
        <v>0.046</v>
      </c>
      <c r="L19" s="164" t="s">
        <v>117</v>
      </c>
      <c r="M19" s="164" t="s">
        <v>117</v>
      </c>
      <c r="N19" s="165">
        <v>0.087</v>
      </c>
      <c r="O19" s="164" t="s">
        <v>117</v>
      </c>
      <c r="P19" s="165">
        <v>0.0</v>
      </c>
      <c r="Q19" s="165">
        <v>0.053</v>
      </c>
      <c r="R19" s="165">
        <v>0.043</v>
      </c>
      <c r="S19" s="165">
        <v>0.0</v>
      </c>
      <c r="T19" s="165">
        <v>0.0</v>
      </c>
      <c r="U19" s="164" t="s">
        <v>117</v>
      </c>
      <c r="V19" s="164" t="s">
        <v>117</v>
      </c>
      <c r="W19" s="164" t="s">
        <v>117</v>
      </c>
      <c r="X19" s="165">
        <v>0.016</v>
      </c>
      <c r="Y19" s="165">
        <v>0.074</v>
      </c>
      <c r="Z19" s="165">
        <v>0.031</v>
      </c>
      <c r="AA19" s="165">
        <v>0.086</v>
      </c>
      <c r="AB19" s="164" t="s">
        <v>117</v>
      </c>
      <c r="AC19" s="165">
        <v>0.121</v>
      </c>
      <c r="AD19" s="164" t="s">
        <v>117</v>
      </c>
      <c r="AE19" s="165">
        <v>0.036</v>
      </c>
      <c r="AF19" s="165">
        <v>0.054</v>
      </c>
      <c r="AG19" s="164" t="s">
        <v>117</v>
      </c>
      <c r="AH19" s="165">
        <v>0.051</v>
      </c>
      <c r="AI19" s="165">
        <v>0.083</v>
      </c>
      <c r="AJ19" s="165">
        <v>0.035</v>
      </c>
      <c r="AK19" s="164" t="s">
        <v>117</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117</v>
      </c>
      <c r="K20" s="165">
        <v>0.023</v>
      </c>
      <c r="L20" s="164" t="s">
        <v>117</v>
      </c>
      <c r="M20" s="164" t="s">
        <v>117</v>
      </c>
      <c r="N20" s="164" t="s">
        <v>117</v>
      </c>
      <c r="O20" s="164" t="s">
        <v>117</v>
      </c>
      <c r="P20" s="164" t="s">
        <v>117</v>
      </c>
      <c r="Q20" s="165">
        <v>0.045</v>
      </c>
      <c r="R20" s="165">
        <v>0.035</v>
      </c>
      <c r="S20" s="164" t="s">
        <v>117</v>
      </c>
      <c r="T20" s="164" t="s">
        <v>117</v>
      </c>
      <c r="U20" s="164" t="s">
        <v>117</v>
      </c>
      <c r="V20" s="165">
        <v>0.0</v>
      </c>
      <c r="W20" s="164" t="s">
        <v>117</v>
      </c>
      <c r="X20" s="165">
        <v>0.017</v>
      </c>
      <c r="Y20" s="165">
        <v>0.045</v>
      </c>
      <c r="Z20" s="165">
        <v>0.035</v>
      </c>
      <c r="AA20" s="165">
        <v>0.071</v>
      </c>
      <c r="AB20" s="165">
        <v>0.047</v>
      </c>
      <c r="AC20" s="165">
        <v>0.1</v>
      </c>
      <c r="AD20" s="164" t="s">
        <v>117</v>
      </c>
      <c r="AE20" s="164" t="s">
        <v>117</v>
      </c>
      <c r="AF20" s="165">
        <v>0.027</v>
      </c>
      <c r="AG20" s="164" t="s">
        <v>117</v>
      </c>
      <c r="AH20" s="165">
        <v>0.053</v>
      </c>
      <c r="AI20" s="165">
        <v>0.028</v>
      </c>
      <c r="AJ20" s="165">
        <v>0.038</v>
      </c>
      <c r="AK20" s="164" t="s">
        <v>117</v>
      </c>
      <c r="AL20" s="165">
        <v>0.034</v>
      </c>
      <c r="AM20" s="164" t="s">
        <v>117</v>
      </c>
      <c r="AN20" s="165">
        <v>0.061</v>
      </c>
      <c r="AO20" s="165">
        <v>0.057</v>
      </c>
    </row>
    <row r="21">
      <c r="A21" s="161" t="s">
        <v>91</v>
      </c>
      <c r="B21" s="164" t="s">
        <v>117</v>
      </c>
      <c r="C21" s="165">
        <v>0.029</v>
      </c>
      <c r="D21" s="164" t="s">
        <v>117</v>
      </c>
      <c r="E21" s="165">
        <v>0.088</v>
      </c>
      <c r="F21" s="164" t="s">
        <v>117</v>
      </c>
      <c r="G21" s="165">
        <v>0.022</v>
      </c>
      <c r="H21" s="165">
        <v>0.048</v>
      </c>
      <c r="I21" s="165">
        <v>0.019</v>
      </c>
      <c r="J21" s="165">
        <v>0.0</v>
      </c>
      <c r="K21" s="165">
        <v>0.032</v>
      </c>
      <c r="L21" s="165">
        <v>0.0</v>
      </c>
      <c r="M21" s="164" t="s">
        <v>117</v>
      </c>
      <c r="N21" s="164" t="s">
        <v>117</v>
      </c>
      <c r="O21" s="165">
        <v>0.0</v>
      </c>
      <c r="P21" s="164" t="s">
        <v>117</v>
      </c>
      <c r="Q21" s="165">
        <v>0.093</v>
      </c>
      <c r="R21" s="165">
        <v>0.042</v>
      </c>
      <c r="S21" s="165">
        <v>0.0</v>
      </c>
      <c r="T21" s="164" t="s">
        <v>117</v>
      </c>
      <c r="U21" s="164" t="s">
        <v>117</v>
      </c>
      <c r="V21" s="165">
        <v>0.0</v>
      </c>
      <c r="W21" s="165">
        <v>0.041</v>
      </c>
      <c r="X21" s="165">
        <v>0.019</v>
      </c>
      <c r="Y21" s="165">
        <v>0.038</v>
      </c>
      <c r="Z21" s="164" t="s">
        <v>117</v>
      </c>
      <c r="AA21" s="165">
        <v>0.066</v>
      </c>
      <c r="AB21" s="165">
        <v>0.041</v>
      </c>
      <c r="AC21" s="165">
        <v>0.107</v>
      </c>
      <c r="AD21" s="164" t="s">
        <v>117</v>
      </c>
      <c r="AE21" s="164" t="s">
        <v>117</v>
      </c>
      <c r="AF21" s="165">
        <v>0.0</v>
      </c>
      <c r="AG21" s="165">
        <v>0.0</v>
      </c>
      <c r="AH21" s="164" t="s">
        <v>117</v>
      </c>
      <c r="AI21" s="165">
        <v>0.0</v>
      </c>
      <c r="AJ21" s="165">
        <v>0.02</v>
      </c>
      <c r="AK21" s="164" t="s">
        <v>117</v>
      </c>
      <c r="AL21" s="165">
        <v>0.026</v>
      </c>
      <c r="AM21" s="164" t="s">
        <v>117</v>
      </c>
      <c r="AN21" s="165">
        <v>0.068</v>
      </c>
      <c r="AO21" s="165">
        <v>0.052</v>
      </c>
    </row>
    <row r="22">
      <c r="A22" s="161" t="s">
        <v>92</v>
      </c>
      <c r="B22" s="164" t="s">
        <v>117</v>
      </c>
      <c r="C22" s="164" t="s">
        <v>117</v>
      </c>
      <c r="D22" s="164" t="s">
        <v>117</v>
      </c>
      <c r="E22" s="165">
        <v>0.097</v>
      </c>
      <c r="F22" s="165">
        <v>0.0</v>
      </c>
      <c r="G22" s="164" t="s">
        <v>117</v>
      </c>
      <c r="H22" s="165">
        <v>0.031</v>
      </c>
      <c r="I22" s="165">
        <v>0.03</v>
      </c>
      <c r="J22" s="164" t="s">
        <v>117</v>
      </c>
      <c r="K22" s="165">
        <v>0.014</v>
      </c>
      <c r="L22" s="164" t="s">
        <v>117</v>
      </c>
      <c r="M22" s="165">
        <v>0.0</v>
      </c>
      <c r="N22" s="164" t="s">
        <v>117</v>
      </c>
      <c r="O22" s="165">
        <v>0.0</v>
      </c>
      <c r="P22" s="164" t="s">
        <v>117</v>
      </c>
      <c r="Q22" s="165">
        <v>0.028</v>
      </c>
      <c r="R22" s="164" t="s">
        <v>117</v>
      </c>
      <c r="S22" s="165">
        <v>0.0</v>
      </c>
      <c r="T22" s="164" t="s">
        <v>117</v>
      </c>
      <c r="U22" s="164" t="s">
        <v>117</v>
      </c>
      <c r="V22" s="165">
        <v>0.0</v>
      </c>
      <c r="W22" s="164" t="s">
        <v>117</v>
      </c>
      <c r="X22" s="164" t="s">
        <v>117</v>
      </c>
      <c r="Y22" s="165">
        <v>0.036</v>
      </c>
      <c r="Z22" s="164" t="s">
        <v>117</v>
      </c>
      <c r="AA22" s="165">
        <v>0.041</v>
      </c>
      <c r="AB22" s="165">
        <v>0.027</v>
      </c>
      <c r="AC22" s="165">
        <v>0.072</v>
      </c>
      <c r="AD22" s="165">
        <v>0.0</v>
      </c>
      <c r="AE22" s="164" t="s">
        <v>117</v>
      </c>
      <c r="AF22" s="164" t="s">
        <v>117</v>
      </c>
      <c r="AG22" s="165">
        <v>0.0</v>
      </c>
      <c r="AH22" s="164" t="s">
        <v>117</v>
      </c>
      <c r="AI22" s="164" t="s">
        <v>117</v>
      </c>
      <c r="AJ22" s="165">
        <v>0.017</v>
      </c>
      <c r="AK22" s="165">
        <v>0.0</v>
      </c>
      <c r="AL22" s="165">
        <v>0.02</v>
      </c>
      <c r="AM22" s="165">
        <v>0.0</v>
      </c>
      <c r="AN22" s="165">
        <v>0.043</v>
      </c>
      <c r="AO22" s="165">
        <v>0.033</v>
      </c>
    </row>
    <row r="23">
      <c r="A23" s="161" t="s">
        <v>93</v>
      </c>
      <c r="B23" s="164" t="s">
        <v>117</v>
      </c>
      <c r="C23" s="164" t="s">
        <v>117</v>
      </c>
      <c r="D23" s="164" t="s">
        <v>117</v>
      </c>
      <c r="E23" s="165">
        <v>0.083</v>
      </c>
      <c r="F23" s="164" t="s">
        <v>117</v>
      </c>
      <c r="G23" s="164" t="s">
        <v>117</v>
      </c>
      <c r="H23" s="165">
        <v>0.032</v>
      </c>
      <c r="I23" s="165">
        <v>0.02</v>
      </c>
      <c r="J23" s="164" t="s">
        <v>117</v>
      </c>
      <c r="K23" s="165">
        <v>0.019</v>
      </c>
      <c r="L23" s="164" t="s">
        <v>117</v>
      </c>
      <c r="M23" s="165">
        <v>0.0</v>
      </c>
      <c r="N23" s="165">
        <v>0.0</v>
      </c>
      <c r="O23" s="165">
        <v>0.0</v>
      </c>
      <c r="P23" s="165">
        <v>0.0</v>
      </c>
      <c r="Q23" s="165">
        <v>0.037</v>
      </c>
      <c r="R23" s="165">
        <v>0.018</v>
      </c>
      <c r="S23" s="165">
        <v>0.0</v>
      </c>
      <c r="T23" s="164" t="s">
        <v>117</v>
      </c>
      <c r="U23" s="165">
        <v>0.0</v>
      </c>
      <c r="V23" s="165">
        <v>0.0</v>
      </c>
      <c r="W23" s="164" t="s">
        <v>117</v>
      </c>
      <c r="X23" s="164" t="s">
        <v>117</v>
      </c>
      <c r="Y23" s="165">
        <v>0.018</v>
      </c>
      <c r="Z23" s="165">
        <v>0.05</v>
      </c>
      <c r="AA23" s="165">
        <v>0.037</v>
      </c>
      <c r="AB23" s="165">
        <v>0.0</v>
      </c>
      <c r="AC23" s="165">
        <v>0.047</v>
      </c>
      <c r="AD23" s="165">
        <v>0.0</v>
      </c>
      <c r="AE23" s="164" t="s">
        <v>117</v>
      </c>
      <c r="AF23" s="164" t="s">
        <v>117</v>
      </c>
      <c r="AG23" s="164" t="s">
        <v>117</v>
      </c>
      <c r="AH23" s="164" t="s">
        <v>117</v>
      </c>
      <c r="AI23" s="164" t="s">
        <v>117</v>
      </c>
      <c r="AJ23" s="165">
        <v>0.011</v>
      </c>
      <c r="AK23" s="165">
        <v>0.0</v>
      </c>
      <c r="AL23" s="164" t="s">
        <v>117</v>
      </c>
      <c r="AM23" s="165">
        <v>0.0</v>
      </c>
      <c r="AN23" s="165">
        <v>0.037</v>
      </c>
      <c r="AO23" s="165">
        <v>0.027</v>
      </c>
    </row>
    <row r="24">
      <c r="A24" s="161" t="s">
        <v>94</v>
      </c>
      <c r="B24" s="165">
        <v>0.0</v>
      </c>
      <c r="C24" s="164" t="s">
        <v>117</v>
      </c>
      <c r="D24" s="164" t="s">
        <v>117</v>
      </c>
      <c r="E24" s="165">
        <v>0.074</v>
      </c>
      <c r="F24" s="164" t="s">
        <v>117</v>
      </c>
      <c r="G24" s="165">
        <v>0.0</v>
      </c>
      <c r="H24" s="165">
        <v>0.02</v>
      </c>
      <c r="I24" s="164" t="s">
        <v>117</v>
      </c>
      <c r="J24" s="164" t="s">
        <v>117</v>
      </c>
      <c r="K24" s="165">
        <v>0.014</v>
      </c>
      <c r="L24" s="165">
        <v>0.0</v>
      </c>
      <c r="M24" s="165">
        <v>0.0</v>
      </c>
      <c r="N24" s="165">
        <v>0.0</v>
      </c>
      <c r="O24" s="165">
        <v>0.0</v>
      </c>
      <c r="P24" s="164" t="s">
        <v>117</v>
      </c>
      <c r="Q24" s="165">
        <v>0.015</v>
      </c>
      <c r="R24" s="165">
        <v>0.024</v>
      </c>
      <c r="S24" s="165">
        <v>0.0</v>
      </c>
      <c r="T24" s="164" t="s">
        <v>117</v>
      </c>
      <c r="U24" s="164" t="s">
        <v>117</v>
      </c>
      <c r="V24" s="165">
        <v>0.0</v>
      </c>
      <c r="W24" s="165">
        <v>0.016</v>
      </c>
      <c r="X24" s="164" t="s">
        <v>117</v>
      </c>
      <c r="Y24" s="164" t="s">
        <v>117</v>
      </c>
      <c r="Z24" s="164" t="s">
        <v>117</v>
      </c>
      <c r="AA24" s="165">
        <v>0.032</v>
      </c>
      <c r="AB24" s="165">
        <v>0.0</v>
      </c>
      <c r="AC24" s="165">
        <v>0.04</v>
      </c>
      <c r="AD24" s="164" t="s">
        <v>117</v>
      </c>
      <c r="AE24" s="164" t="s">
        <v>117</v>
      </c>
      <c r="AF24" s="164" t="s">
        <v>117</v>
      </c>
      <c r="AG24" s="165">
        <v>0.0</v>
      </c>
      <c r="AH24" s="165">
        <v>0.0</v>
      </c>
      <c r="AI24" s="164" t="s">
        <v>117</v>
      </c>
      <c r="AJ24" s="165">
        <v>0.013</v>
      </c>
      <c r="AK24" s="165">
        <v>0.0</v>
      </c>
      <c r="AL24" s="165">
        <v>0.027</v>
      </c>
      <c r="AM24" s="164" t="s">
        <v>117</v>
      </c>
      <c r="AN24" s="165">
        <v>0.034</v>
      </c>
      <c r="AO24" s="165">
        <v>0.021</v>
      </c>
    </row>
    <row r="25">
      <c r="A25" s="161" t="s">
        <v>95</v>
      </c>
      <c r="B25" s="164" t="s">
        <v>117</v>
      </c>
      <c r="C25" s="164" t="s">
        <v>117</v>
      </c>
      <c r="D25" s="164" t="s">
        <v>117</v>
      </c>
      <c r="E25" s="165">
        <v>0.043</v>
      </c>
      <c r="F25" s="164" t="s">
        <v>117</v>
      </c>
      <c r="G25" s="164" t="s">
        <v>117</v>
      </c>
      <c r="H25" s="165">
        <v>0.012</v>
      </c>
      <c r="I25" s="165">
        <v>0.02</v>
      </c>
      <c r="J25" s="164" t="s">
        <v>117</v>
      </c>
      <c r="K25" s="165">
        <v>0.01</v>
      </c>
      <c r="L25" s="165">
        <v>0.0</v>
      </c>
      <c r="M25" s="164" t="s">
        <v>117</v>
      </c>
      <c r="N25" s="164" t="s">
        <v>117</v>
      </c>
      <c r="O25" s="164" t="s">
        <v>117</v>
      </c>
      <c r="P25" s="165">
        <v>0.0</v>
      </c>
      <c r="Q25" s="165">
        <v>0.021</v>
      </c>
      <c r="R25" s="165">
        <v>0.019</v>
      </c>
      <c r="S25" s="165">
        <v>0.0</v>
      </c>
      <c r="T25" s="165">
        <v>0.025</v>
      </c>
      <c r="U25" s="165">
        <v>0.0</v>
      </c>
      <c r="V25" s="165">
        <v>0.0</v>
      </c>
      <c r="W25" s="165">
        <v>0.029</v>
      </c>
      <c r="X25" s="164" t="s">
        <v>117</v>
      </c>
      <c r="Y25" s="165">
        <v>0.022</v>
      </c>
      <c r="Z25" s="164" t="s">
        <v>117</v>
      </c>
      <c r="AA25" s="165">
        <v>0.038</v>
      </c>
      <c r="AB25" s="164" t="s">
        <v>117</v>
      </c>
      <c r="AC25" s="165">
        <v>0.033</v>
      </c>
      <c r="AD25" s="165">
        <v>0.0</v>
      </c>
      <c r="AE25" s="164" t="s">
        <v>117</v>
      </c>
      <c r="AF25" s="164" t="s">
        <v>117</v>
      </c>
      <c r="AG25" s="164" t="s">
        <v>117</v>
      </c>
      <c r="AH25" s="164" t="s">
        <v>117</v>
      </c>
      <c r="AI25" s="164" t="s">
        <v>117</v>
      </c>
      <c r="AJ25" s="165">
        <v>0.009</v>
      </c>
      <c r="AK25" s="164" t="s">
        <v>117</v>
      </c>
      <c r="AL25" s="165">
        <v>0.024</v>
      </c>
      <c r="AM25" s="164" t="s">
        <v>117</v>
      </c>
      <c r="AN25" s="165">
        <v>0.026</v>
      </c>
      <c r="AO25" s="165">
        <v>0.02</v>
      </c>
    </row>
    <row r="26">
      <c r="A26" s="161" t="s">
        <v>96</v>
      </c>
      <c r="B26" s="164" t="s">
        <v>117</v>
      </c>
      <c r="C26" s="164" t="s">
        <v>117</v>
      </c>
      <c r="D26" s="164" t="s">
        <v>117</v>
      </c>
      <c r="E26" s="165">
        <v>0.024</v>
      </c>
      <c r="F26" s="164" t="s">
        <v>117</v>
      </c>
      <c r="G26" s="165">
        <v>0.021</v>
      </c>
      <c r="H26" s="165">
        <v>0.037</v>
      </c>
      <c r="I26" s="164" t="s">
        <v>117</v>
      </c>
      <c r="J26" s="164" t="s">
        <v>117</v>
      </c>
      <c r="K26" s="165">
        <v>0.009</v>
      </c>
      <c r="L26" s="165">
        <v>0.0</v>
      </c>
      <c r="M26" s="164" t="s">
        <v>117</v>
      </c>
      <c r="N26" s="164" t="s">
        <v>117</v>
      </c>
      <c r="O26" s="165">
        <v>0.0</v>
      </c>
      <c r="P26" s="164" t="s">
        <v>117</v>
      </c>
      <c r="Q26" s="165">
        <v>0.03</v>
      </c>
      <c r="R26" s="164" t="s">
        <v>117</v>
      </c>
      <c r="S26" s="164" t="s">
        <v>117</v>
      </c>
      <c r="T26" s="165">
        <v>0.019</v>
      </c>
      <c r="U26" s="165">
        <v>0.0</v>
      </c>
      <c r="V26" s="165">
        <v>0.0</v>
      </c>
      <c r="W26" s="165">
        <v>0.019</v>
      </c>
      <c r="X26" s="164" t="s">
        <v>117</v>
      </c>
      <c r="Y26" s="165">
        <v>0.026</v>
      </c>
      <c r="Z26" s="164" t="s">
        <v>117</v>
      </c>
      <c r="AA26" s="165">
        <v>0.015</v>
      </c>
      <c r="AB26" s="164" t="s">
        <v>117</v>
      </c>
      <c r="AC26" s="165">
        <v>0.028</v>
      </c>
      <c r="AD26" s="165">
        <v>0.0</v>
      </c>
      <c r="AE26" s="164" t="s">
        <v>117</v>
      </c>
      <c r="AF26" s="165">
        <v>0.024</v>
      </c>
      <c r="AG26" s="165">
        <v>0.0</v>
      </c>
      <c r="AH26" s="164" t="s">
        <v>117</v>
      </c>
      <c r="AI26" s="164" t="s">
        <v>117</v>
      </c>
      <c r="AJ26" s="165">
        <v>0.01</v>
      </c>
      <c r="AK26" s="165">
        <v>0.0</v>
      </c>
      <c r="AL26" s="165">
        <v>0.02</v>
      </c>
      <c r="AM26" s="165">
        <v>0.017</v>
      </c>
      <c r="AN26" s="165">
        <v>0.014</v>
      </c>
      <c r="AO26" s="165">
        <v>0.019</v>
      </c>
    </row>
    <row r="27">
      <c r="A27" s="161" t="s">
        <v>97</v>
      </c>
      <c r="B27" s="164" t="s">
        <v>117</v>
      </c>
      <c r="C27" s="165">
        <v>0.017</v>
      </c>
      <c r="D27" s="164" t="s">
        <v>117</v>
      </c>
      <c r="E27" s="165">
        <v>0.05</v>
      </c>
      <c r="F27" s="164" t="s">
        <v>117</v>
      </c>
      <c r="G27" s="165">
        <v>0.015</v>
      </c>
      <c r="H27" s="165">
        <v>0.019</v>
      </c>
      <c r="I27" s="164" t="s">
        <v>117</v>
      </c>
      <c r="J27" s="165">
        <v>0.016</v>
      </c>
      <c r="K27" s="165">
        <v>0.008</v>
      </c>
      <c r="L27" s="165">
        <v>0.0</v>
      </c>
      <c r="M27" s="165">
        <v>0.0</v>
      </c>
      <c r="N27" s="164" t="s">
        <v>117</v>
      </c>
      <c r="O27" s="164" t="s">
        <v>117</v>
      </c>
      <c r="P27" s="164" t="s">
        <v>117</v>
      </c>
      <c r="Q27" s="165">
        <v>0.014</v>
      </c>
      <c r="R27" s="165">
        <v>0.019</v>
      </c>
      <c r="S27" s="165">
        <v>0.0</v>
      </c>
      <c r="T27" s="165">
        <v>0.021</v>
      </c>
      <c r="U27" s="164" t="s">
        <v>117</v>
      </c>
      <c r="V27" s="164" t="s">
        <v>117</v>
      </c>
      <c r="W27" s="165">
        <v>0.017</v>
      </c>
      <c r="X27" s="165">
        <v>0.0</v>
      </c>
      <c r="Y27" s="165">
        <v>0.028</v>
      </c>
      <c r="Z27" s="165">
        <v>0.034</v>
      </c>
      <c r="AA27" s="165">
        <v>0.024</v>
      </c>
      <c r="AB27" s="164" t="s">
        <v>117</v>
      </c>
      <c r="AC27" s="165">
        <v>0.026</v>
      </c>
      <c r="AD27" s="165">
        <v>0.0</v>
      </c>
      <c r="AE27" s="164" t="s">
        <v>117</v>
      </c>
      <c r="AF27" s="165">
        <v>0.014</v>
      </c>
      <c r="AG27" s="164" t="s">
        <v>117</v>
      </c>
      <c r="AH27" s="164" t="s">
        <v>117</v>
      </c>
      <c r="AI27" s="164" t="s">
        <v>117</v>
      </c>
      <c r="AJ27" s="165">
        <v>0.014</v>
      </c>
      <c r="AK27" s="164" t="s">
        <v>117</v>
      </c>
      <c r="AL27" s="165">
        <v>0.026</v>
      </c>
      <c r="AM27" s="164" t="s">
        <v>117</v>
      </c>
      <c r="AN27" s="165">
        <v>0.021</v>
      </c>
      <c r="AO27" s="165">
        <v>0.018</v>
      </c>
    </row>
    <row r="28">
      <c r="A28" s="161" t="s">
        <v>98</v>
      </c>
      <c r="B28" s="164" t="s">
        <v>117</v>
      </c>
      <c r="C28" s="165">
        <v>0.023</v>
      </c>
      <c r="D28" s="164" t="s">
        <v>117</v>
      </c>
      <c r="E28" s="165">
        <v>0.065</v>
      </c>
      <c r="F28" s="164" t="s">
        <v>117</v>
      </c>
      <c r="G28" s="164" t="s">
        <v>117</v>
      </c>
      <c r="H28" s="165">
        <v>0.031</v>
      </c>
      <c r="I28" s="165">
        <v>0.023</v>
      </c>
      <c r="J28" s="164" t="s">
        <v>117</v>
      </c>
      <c r="K28" s="165">
        <v>0.02</v>
      </c>
      <c r="L28" s="165">
        <v>0.0</v>
      </c>
      <c r="M28" s="165">
        <v>0.0</v>
      </c>
      <c r="N28" s="165">
        <v>0.0</v>
      </c>
      <c r="O28" s="165">
        <v>0.0</v>
      </c>
      <c r="P28" s="165">
        <v>0.0</v>
      </c>
      <c r="Q28" s="165">
        <v>0.028</v>
      </c>
      <c r="R28" s="165">
        <v>0.017</v>
      </c>
      <c r="S28" s="164" t="s">
        <v>117</v>
      </c>
      <c r="T28" s="164" t="s">
        <v>117</v>
      </c>
      <c r="U28" s="164" t="s">
        <v>117</v>
      </c>
      <c r="V28" s="165">
        <v>0.0</v>
      </c>
      <c r="W28" s="164" t="s">
        <v>117</v>
      </c>
      <c r="X28" s="164" t="s">
        <v>117</v>
      </c>
      <c r="Y28" s="165">
        <v>0.027</v>
      </c>
      <c r="Z28" s="164" t="s">
        <v>117</v>
      </c>
      <c r="AA28" s="165">
        <v>0.045</v>
      </c>
      <c r="AB28" s="164" t="s">
        <v>117</v>
      </c>
      <c r="AC28" s="165">
        <v>0.034</v>
      </c>
      <c r="AD28" s="165">
        <v>0.0</v>
      </c>
      <c r="AE28" s="164" t="s">
        <v>117</v>
      </c>
      <c r="AF28" s="165">
        <v>0.042</v>
      </c>
      <c r="AG28" s="165">
        <v>0.0</v>
      </c>
      <c r="AH28" s="164" t="s">
        <v>117</v>
      </c>
      <c r="AI28" s="164" t="s">
        <v>117</v>
      </c>
      <c r="AJ28" s="165">
        <v>0.017</v>
      </c>
      <c r="AK28" s="165">
        <v>0.0</v>
      </c>
      <c r="AL28" s="165">
        <v>0.019</v>
      </c>
      <c r="AM28" s="164" t="s">
        <v>117</v>
      </c>
      <c r="AN28" s="165">
        <v>0.029</v>
      </c>
      <c r="AO28" s="165">
        <v>0.024</v>
      </c>
    </row>
    <row r="29">
      <c r="A29" s="166" t="s">
        <v>99</v>
      </c>
      <c r="B29" s="165">
        <v>0.0</v>
      </c>
      <c r="C29" s="165">
        <v>0.017</v>
      </c>
      <c r="D29" s="164" t="s">
        <v>117</v>
      </c>
      <c r="E29" s="165">
        <v>0.079</v>
      </c>
      <c r="F29" s="164" t="s">
        <v>117</v>
      </c>
      <c r="G29" s="165">
        <v>0.013</v>
      </c>
      <c r="H29" s="165">
        <v>0.029</v>
      </c>
      <c r="I29" s="165">
        <v>0.02</v>
      </c>
      <c r="J29" s="165">
        <v>0.011</v>
      </c>
      <c r="K29" s="165">
        <v>0.019</v>
      </c>
      <c r="L29" s="164" t="s">
        <v>117</v>
      </c>
      <c r="M29" s="165">
        <v>0.0</v>
      </c>
      <c r="N29" s="164" t="s">
        <v>117</v>
      </c>
      <c r="O29" s="164" t="s">
        <v>117</v>
      </c>
      <c r="P29" s="164" t="s">
        <v>117</v>
      </c>
      <c r="Q29" s="165">
        <v>0.036</v>
      </c>
      <c r="R29" s="165">
        <v>0.015</v>
      </c>
      <c r="S29" s="165">
        <v>0.0</v>
      </c>
      <c r="T29" s="164" t="s">
        <v>117</v>
      </c>
      <c r="U29" s="164" t="s">
        <v>117</v>
      </c>
      <c r="V29" s="164" t="s">
        <v>117</v>
      </c>
      <c r="W29" s="165">
        <v>0.011</v>
      </c>
      <c r="X29" s="165">
        <v>0.008</v>
      </c>
      <c r="Y29" s="165">
        <v>0.051</v>
      </c>
      <c r="Z29" s="164" t="s">
        <v>117</v>
      </c>
      <c r="AA29" s="165">
        <v>0.057</v>
      </c>
      <c r="AB29" s="164" t="s">
        <v>117</v>
      </c>
      <c r="AC29" s="165">
        <v>0.037</v>
      </c>
      <c r="AD29" s="165">
        <v>0.0</v>
      </c>
      <c r="AE29" s="164" t="s">
        <v>117</v>
      </c>
      <c r="AF29" s="165">
        <v>0.025</v>
      </c>
      <c r="AG29" s="165">
        <v>0.0</v>
      </c>
      <c r="AH29" s="164" t="s">
        <v>117</v>
      </c>
      <c r="AI29" s="165">
        <v>0.038</v>
      </c>
      <c r="AJ29" s="165">
        <v>0.023</v>
      </c>
      <c r="AK29" s="164" t="s">
        <v>117</v>
      </c>
      <c r="AL29" s="165">
        <v>0.017</v>
      </c>
      <c r="AM29" s="164" t="s">
        <v>117</v>
      </c>
      <c r="AN29" s="165">
        <v>0.023</v>
      </c>
      <c r="AO29" s="165">
        <v>0.027</v>
      </c>
    </row>
    <row r="30">
      <c r="A30" s="161" t="s">
        <v>100</v>
      </c>
      <c r="B30" s="164" t="s">
        <v>117</v>
      </c>
      <c r="C30" s="165">
        <v>0.012</v>
      </c>
      <c r="D30" s="165">
        <v>0.035</v>
      </c>
      <c r="E30" s="165">
        <v>0.075</v>
      </c>
      <c r="F30" s="164" t="s">
        <v>117</v>
      </c>
      <c r="G30" s="165">
        <v>0.008</v>
      </c>
      <c r="H30" s="165">
        <v>0.054</v>
      </c>
      <c r="I30" s="165">
        <v>0.017</v>
      </c>
      <c r="J30" s="165">
        <v>0.022</v>
      </c>
      <c r="K30" s="165">
        <v>0.012</v>
      </c>
      <c r="L30" s="164" t="s">
        <v>117</v>
      </c>
      <c r="M30" s="164" t="s">
        <v>117</v>
      </c>
      <c r="N30" s="164" t="s">
        <v>117</v>
      </c>
      <c r="O30" s="165">
        <v>0.0</v>
      </c>
      <c r="P30" s="164" t="s">
        <v>117</v>
      </c>
      <c r="Q30" s="165">
        <v>0.023</v>
      </c>
      <c r="R30" s="165">
        <v>0.041</v>
      </c>
      <c r="S30" s="165">
        <v>0.0</v>
      </c>
      <c r="T30" s="165">
        <v>0.018</v>
      </c>
      <c r="U30" s="165">
        <v>0.0</v>
      </c>
      <c r="V30" s="164" t="s">
        <v>117</v>
      </c>
      <c r="W30" s="165">
        <v>0.013</v>
      </c>
      <c r="X30" s="165">
        <v>0.011</v>
      </c>
      <c r="Y30" s="165">
        <v>0.055</v>
      </c>
      <c r="Z30" s="164" t="s">
        <v>117</v>
      </c>
      <c r="AA30" s="165">
        <v>0.058</v>
      </c>
      <c r="AB30" s="165">
        <v>0.0</v>
      </c>
      <c r="AC30" s="165">
        <v>0.041</v>
      </c>
      <c r="AD30" s="164" t="s">
        <v>117</v>
      </c>
      <c r="AE30" s="164" t="s">
        <v>117</v>
      </c>
      <c r="AF30" s="164" t="s">
        <v>117</v>
      </c>
      <c r="AG30" s="164" t="s">
        <v>117</v>
      </c>
      <c r="AH30" s="164" t="s">
        <v>117</v>
      </c>
      <c r="AI30" s="164" t="s">
        <v>117</v>
      </c>
      <c r="AJ30" s="165">
        <v>0.021</v>
      </c>
      <c r="AK30" s="164" t="s">
        <v>117</v>
      </c>
      <c r="AL30" s="165">
        <v>0.034</v>
      </c>
      <c r="AM30" s="164" t="s">
        <v>117</v>
      </c>
      <c r="AN30" s="165">
        <v>0.023</v>
      </c>
      <c r="AO30" s="165">
        <v>0.029</v>
      </c>
    </row>
    <row r="31">
      <c r="A31" s="167" t="s">
        <v>101</v>
      </c>
      <c r="B31" s="164" t="s">
        <v>117</v>
      </c>
      <c r="C31" s="165">
        <v>0.005</v>
      </c>
      <c r="D31" s="164" t="s">
        <v>117</v>
      </c>
      <c r="E31" s="165">
        <v>0.073</v>
      </c>
      <c r="F31" s="165">
        <v>0.0</v>
      </c>
      <c r="G31" s="165">
        <v>0.011</v>
      </c>
      <c r="H31" s="165">
        <v>0.061</v>
      </c>
      <c r="I31" s="165">
        <v>0.018</v>
      </c>
      <c r="J31" s="164" t="s">
        <v>117</v>
      </c>
      <c r="K31" s="165">
        <v>0.017</v>
      </c>
      <c r="L31" s="164" t="s">
        <v>117</v>
      </c>
      <c r="M31" s="164" t="s">
        <v>117</v>
      </c>
      <c r="N31" s="164" t="s">
        <v>117</v>
      </c>
      <c r="O31" s="164" t="s">
        <v>117</v>
      </c>
      <c r="P31" s="165">
        <v>0.0</v>
      </c>
      <c r="Q31" s="165">
        <v>0.031</v>
      </c>
      <c r="R31" s="165">
        <v>0.036</v>
      </c>
      <c r="S31" s="165">
        <v>0.0</v>
      </c>
      <c r="T31" s="164" t="s">
        <v>117</v>
      </c>
      <c r="U31" s="164" t="s">
        <v>117</v>
      </c>
      <c r="V31" s="164" t="s">
        <v>117</v>
      </c>
      <c r="W31" s="165">
        <v>0.008</v>
      </c>
      <c r="X31" s="165">
        <v>0.015</v>
      </c>
      <c r="Y31" s="165">
        <v>0.04</v>
      </c>
      <c r="Z31" s="164" t="s">
        <v>117</v>
      </c>
      <c r="AA31" s="165">
        <v>0.052</v>
      </c>
      <c r="AB31" s="164" t="s">
        <v>117</v>
      </c>
      <c r="AC31" s="165">
        <v>0.044</v>
      </c>
      <c r="AD31" s="164" t="s">
        <v>117</v>
      </c>
      <c r="AE31" s="165">
        <v>0.024</v>
      </c>
      <c r="AF31" s="165">
        <v>0.022</v>
      </c>
      <c r="AG31" s="164" t="s">
        <v>117</v>
      </c>
      <c r="AH31" s="165">
        <v>0.0</v>
      </c>
      <c r="AI31" s="165">
        <v>0.0</v>
      </c>
      <c r="AJ31" s="165">
        <v>0.021</v>
      </c>
      <c r="AK31" s="165">
        <v>0.0</v>
      </c>
      <c r="AL31" s="165">
        <v>0.021</v>
      </c>
      <c r="AM31" s="165">
        <v>0.013</v>
      </c>
      <c r="AN31" s="165">
        <v>0.027</v>
      </c>
      <c r="AO31" s="165">
        <v>0.026</v>
      </c>
    </row>
    <row r="32">
      <c r="A32" s="167" t="s">
        <v>102</v>
      </c>
      <c r="B32" s="164" t="s">
        <v>117</v>
      </c>
      <c r="C32" s="165">
        <v>0.007</v>
      </c>
      <c r="D32" s="164" t="s">
        <v>117</v>
      </c>
      <c r="E32" s="165">
        <v>0.067</v>
      </c>
      <c r="F32" s="164" t="s">
        <v>117</v>
      </c>
      <c r="G32" s="165">
        <v>0.011</v>
      </c>
      <c r="H32" s="165">
        <v>0.024</v>
      </c>
      <c r="I32" s="165">
        <v>0.02</v>
      </c>
      <c r="J32" s="165">
        <v>0.014</v>
      </c>
      <c r="K32" s="165">
        <v>0.013</v>
      </c>
      <c r="L32" s="164" t="s">
        <v>117</v>
      </c>
      <c r="M32" s="164" t="s">
        <v>117</v>
      </c>
      <c r="N32" s="164" t="s">
        <v>117</v>
      </c>
      <c r="O32" s="165">
        <v>0.0</v>
      </c>
      <c r="P32" s="164" t="s">
        <v>117</v>
      </c>
      <c r="Q32" s="165">
        <v>0.022</v>
      </c>
      <c r="R32" s="165">
        <v>0.015</v>
      </c>
      <c r="S32" s="165">
        <v>0.0</v>
      </c>
      <c r="T32" s="165">
        <v>0.0</v>
      </c>
      <c r="U32" s="165">
        <v>0.07</v>
      </c>
      <c r="V32" s="164" t="s">
        <v>117</v>
      </c>
      <c r="W32" s="164" t="s">
        <v>117</v>
      </c>
      <c r="X32" s="165">
        <v>0.023</v>
      </c>
      <c r="Y32" s="165">
        <v>0.027</v>
      </c>
      <c r="Z32" s="165">
        <v>0.0</v>
      </c>
      <c r="AA32" s="165">
        <v>0.034</v>
      </c>
      <c r="AB32" s="164" t="s">
        <v>117</v>
      </c>
      <c r="AC32" s="165">
        <v>0.047</v>
      </c>
      <c r="AD32" s="164" t="s">
        <v>117</v>
      </c>
      <c r="AE32" s="164" t="s">
        <v>117</v>
      </c>
      <c r="AF32" s="165">
        <v>0.024</v>
      </c>
      <c r="AG32" s="165">
        <v>0.032</v>
      </c>
      <c r="AH32" s="164" t="s">
        <v>117</v>
      </c>
      <c r="AI32" s="165">
        <v>0.0</v>
      </c>
      <c r="AJ32" s="165">
        <v>0.014</v>
      </c>
      <c r="AK32" s="164" t="s">
        <v>117</v>
      </c>
      <c r="AL32" s="165">
        <v>0.028</v>
      </c>
      <c r="AM32" s="165">
        <v>0.0</v>
      </c>
      <c r="AN32" s="165">
        <v>0.023</v>
      </c>
      <c r="AO32" s="165">
        <v>0.024</v>
      </c>
    </row>
    <row r="33">
      <c r="A33" s="167" t="s">
        <v>103</v>
      </c>
      <c r="B33" s="165">
        <v>0.0</v>
      </c>
      <c r="C33" s="165">
        <v>0.004</v>
      </c>
      <c r="D33" s="164" t="s">
        <v>117</v>
      </c>
      <c r="E33" s="165">
        <v>0.086</v>
      </c>
      <c r="F33" s="165">
        <v>0.0</v>
      </c>
      <c r="G33" s="165">
        <v>0.016</v>
      </c>
      <c r="H33" s="165">
        <v>0.036</v>
      </c>
      <c r="I33" s="165">
        <v>0.025</v>
      </c>
      <c r="J33" s="165">
        <v>0.022</v>
      </c>
      <c r="K33" s="165">
        <v>0.013</v>
      </c>
      <c r="L33" s="164" t="s">
        <v>117</v>
      </c>
      <c r="M33" s="164" t="s">
        <v>117</v>
      </c>
      <c r="N33" s="164" t="s">
        <v>117</v>
      </c>
      <c r="O33" s="164" t="s">
        <v>117</v>
      </c>
      <c r="P33" s="164" t="s">
        <v>117</v>
      </c>
      <c r="Q33" s="165">
        <v>0.047</v>
      </c>
      <c r="R33" s="165">
        <v>0.02</v>
      </c>
      <c r="S33" s="165">
        <v>0.0</v>
      </c>
      <c r="T33" s="165">
        <v>0.018</v>
      </c>
      <c r="U33" s="165">
        <v>0.028</v>
      </c>
      <c r="V33" s="165">
        <v>0.0</v>
      </c>
      <c r="W33" s="164" t="s">
        <v>117</v>
      </c>
      <c r="X33" s="165">
        <v>0.031</v>
      </c>
      <c r="Y33" s="165">
        <v>0.031</v>
      </c>
      <c r="Z33" s="164" t="s">
        <v>117</v>
      </c>
      <c r="AA33" s="165">
        <v>0.034</v>
      </c>
      <c r="AB33" s="164" t="s">
        <v>117</v>
      </c>
      <c r="AC33" s="165">
        <v>0.04</v>
      </c>
      <c r="AD33" s="165">
        <v>0.0</v>
      </c>
      <c r="AE33" s="164" t="s">
        <v>117</v>
      </c>
      <c r="AF33" s="165">
        <v>0.004</v>
      </c>
      <c r="AG33" s="165">
        <v>0.013</v>
      </c>
      <c r="AH33" s="165">
        <v>0.028</v>
      </c>
      <c r="AI33" s="164" t="s">
        <v>117</v>
      </c>
      <c r="AJ33" s="165">
        <v>0.024</v>
      </c>
      <c r="AK33" s="164" t="s">
        <v>117</v>
      </c>
      <c r="AL33" s="164" t="s">
        <v>117</v>
      </c>
      <c r="AM33" s="164" t="s">
        <v>117</v>
      </c>
      <c r="AN33" s="165">
        <v>0.02</v>
      </c>
      <c r="AO33" s="165">
        <v>0.021</v>
      </c>
    </row>
    <row r="34">
      <c r="A34" s="167" t="s">
        <v>104</v>
      </c>
      <c r="B34" s="164" t="s">
        <v>117</v>
      </c>
      <c r="C34" s="165">
        <v>0.001</v>
      </c>
      <c r="D34" s="164" t="s">
        <v>117</v>
      </c>
      <c r="E34" s="165">
        <v>0.048</v>
      </c>
      <c r="F34" s="164" t="s">
        <v>117</v>
      </c>
      <c r="G34" s="165">
        <v>0.013</v>
      </c>
      <c r="H34" s="165">
        <v>0.027</v>
      </c>
      <c r="I34" s="165">
        <v>0.014</v>
      </c>
      <c r="J34" s="165">
        <v>0.017</v>
      </c>
      <c r="K34" s="165">
        <v>0.005</v>
      </c>
      <c r="L34" s="165">
        <v>0.0</v>
      </c>
      <c r="M34" s="164" t="s">
        <v>117</v>
      </c>
      <c r="N34" s="164" t="s">
        <v>117</v>
      </c>
      <c r="O34" s="164" t="s">
        <v>117</v>
      </c>
      <c r="P34" s="165">
        <v>0.0</v>
      </c>
      <c r="Q34" s="165">
        <v>0.027</v>
      </c>
      <c r="R34" s="165">
        <v>0.017</v>
      </c>
      <c r="S34" s="165">
        <v>0.0</v>
      </c>
      <c r="T34" s="164" t="s">
        <v>117</v>
      </c>
      <c r="U34" s="165">
        <v>0.021</v>
      </c>
      <c r="V34" s="165">
        <v>0.0</v>
      </c>
      <c r="W34" s="165">
        <v>0.006</v>
      </c>
      <c r="X34" s="165">
        <v>0.012</v>
      </c>
      <c r="Y34" s="165">
        <v>0.025</v>
      </c>
      <c r="Z34" s="164" t="s">
        <v>117</v>
      </c>
      <c r="AA34" s="165">
        <v>0.025</v>
      </c>
      <c r="AB34" s="165">
        <v>0.02</v>
      </c>
      <c r="AC34" s="165">
        <v>0.026</v>
      </c>
      <c r="AD34" s="164" t="s">
        <v>117</v>
      </c>
      <c r="AE34" s="164" t="s">
        <v>117</v>
      </c>
      <c r="AF34" s="165">
        <v>0.002</v>
      </c>
      <c r="AG34" s="164" t="s">
        <v>117</v>
      </c>
      <c r="AH34" s="165">
        <v>0.022</v>
      </c>
      <c r="AI34" s="164" t="s">
        <v>117</v>
      </c>
      <c r="AJ34" s="165">
        <v>0.009</v>
      </c>
      <c r="AK34" s="164" t="s">
        <v>117</v>
      </c>
      <c r="AL34" s="165">
        <v>0.011</v>
      </c>
      <c r="AM34" s="164" t="s">
        <v>117</v>
      </c>
      <c r="AN34" s="165">
        <v>0.021</v>
      </c>
      <c r="AO34" s="165">
        <v>0.013</v>
      </c>
    </row>
    <row r="35">
      <c r="A35" s="167" t="s">
        <v>105</v>
      </c>
      <c r="B35" s="164" t="s">
        <v>117</v>
      </c>
      <c r="C35" s="164" t="s">
        <v>117</v>
      </c>
      <c r="D35" s="164" t="s">
        <v>117</v>
      </c>
      <c r="E35" s="165">
        <v>0.014</v>
      </c>
      <c r="F35" s="165">
        <v>0.0</v>
      </c>
      <c r="G35" s="164" t="s">
        <v>117</v>
      </c>
      <c r="H35" s="165">
        <v>0.021</v>
      </c>
      <c r="I35" s="165">
        <v>0.016</v>
      </c>
      <c r="J35" s="165">
        <v>0.0</v>
      </c>
      <c r="K35" s="165">
        <v>0.009</v>
      </c>
      <c r="L35" s="165">
        <v>0.0</v>
      </c>
      <c r="M35" s="164" t="s">
        <v>117</v>
      </c>
      <c r="N35" s="164" t="s">
        <v>117</v>
      </c>
      <c r="O35" s="165">
        <v>0.0</v>
      </c>
      <c r="P35" s="164" t="s">
        <v>117</v>
      </c>
      <c r="Q35" s="165">
        <v>0.023</v>
      </c>
      <c r="R35" s="165">
        <v>0.011</v>
      </c>
      <c r="S35" s="165">
        <v>0.0</v>
      </c>
      <c r="T35" s="164" t="s">
        <v>117</v>
      </c>
      <c r="U35" s="164" t="s">
        <v>117</v>
      </c>
      <c r="V35" s="165">
        <v>0.0</v>
      </c>
      <c r="W35" s="165">
        <v>0.005</v>
      </c>
      <c r="X35" s="165">
        <v>0.009</v>
      </c>
      <c r="Y35" s="165">
        <v>0.039</v>
      </c>
      <c r="Z35" s="164" t="s">
        <v>117</v>
      </c>
      <c r="AA35" s="165">
        <v>0.021</v>
      </c>
      <c r="AB35" s="164" t="s">
        <v>117</v>
      </c>
      <c r="AC35" s="165">
        <v>0.014</v>
      </c>
      <c r="AD35" s="165">
        <v>0.0</v>
      </c>
      <c r="AE35" s="164" t="s">
        <v>117</v>
      </c>
      <c r="AF35" s="165">
        <v>0.002</v>
      </c>
      <c r="AG35" s="165">
        <v>0.0</v>
      </c>
      <c r="AH35" s="165">
        <v>0.022</v>
      </c>
      <c r="AI35" s="164" t="s">
        <v>117</v>
      </c>
      <c r="AJ35" s="165">
        <v>0.017</v>
      </c>
      <c r="AK35" s="165">
        <v>0.0</v>
      </c>
      <c r="AL35" s="164" t="s">
        <v>117</v>
      </c>
      <c r="AM35" s="164" t="s">
        <v>117</v>
      </c>
      <c r="AN35" s="165">
        <v>0.011</v>
      </c>
      <c r="AO35" s="165">
        <v>0.01</v>
      </c>
    </row>
    <row r="36">
      <c r="A36" s="167" t="s">
        <v>106</v>
      </c>
      <c r="B36" s="165">
        <v>0.01</v>
      </c>
      <c r="C36" s="165">
        <v>0.001</v>
      </c>
      <c r="D36" s="165">
        <v>0.027</v>
      </c>
      <c r="E36" s="165">
        <v>0.054</v>
      </c>
      <c r="F36" s="164" t="s">
        <v>117</v>
      </c>
      <c r="G36" s="164" t="s">
        <v>117</v>
      </c>
      <c r="H36" s="165">
        <v>0.021</v>
      </c>
      <c r="I36" s="165">
        <v>0.04</v>
      </c>
      <c r="J36" s="164" t="s">
        <v>117</v>
      </c>
      <c r="K36" s="165">
        <v>0.015</v>
      </c>
      <c r="L36" s="165">
        <v>0.0</v>
      </c>
      <c r="M36" s="164" t="s">
        <v>117</v>
      </c>
      <c r="N36" s="165">
        <v>0.0</v>
      </c>
      <c r="O36" s="165">
        <v>0.0</v>
      </c>
      <c r="P36" s="165">
        <v>0.0</v>
      </c>
      <c r="Q36" s="165">
        <v>0.019</v>
      </c>
      <c r="R36" s="164" t="s">
        <v>117</v>
      </c>
      <c r="S36" s="165">
        <v>0.0</v>
      </c>
      <c r="T36" s="164" t="s">
        <v>117</v>
      </c>
      <c r="U36" s="165">
        <v>0.019</v>
      </c>
      <c r="V36" s="165">
        <v>0.0</v>
      </c>
      <c r="W36" s="165">
        <v>0.008</v>
      </c>
      <c r="X36" s="165">
        <v>0.013</v>
      </c>
      <c r="Y36" s="165">
        <v>0.018</v>
      </c>
      <c r="Z36" s="164" t="s">
        <v>117</v>
      </c>
      <c r="AA36" s="165">
        <v>0.033</v>
      </c>
      <c r="AB36" s="164" t="s">
        <v>117</v>
      </c>
      <c r="AC36" s="165">
        <v>0.014</v>
      </c>
      <c r="AD36" s="165">
        <v>0.0</v>
      </c>
      <c r="AE36" s="164" t="s">
        <v>117</v>
      </c>
      <c r="AF36" s="165">
        <v>0.002</v>
      </c>
      <c r="AG36" s="164" t="s">
        <v>117</v>
      </c>
      <c r="AH36" s="164" t="s">
        <v>117</v>
      </c>
      <c r="AI36" s="165">
        <v>0.0</v>
      </c>
      <c r="AJ36" s="165">
        <v>0.016</v>
      </c>
      <c r="AK36" s="164" t="s">
        <v>117</v>
      </c>
      <c r="AL36" s="165">
        <v>0.024</v>
      </c>
      <c r="AM36" s="165">
        <v>0.015</v>
      </c>
      <c r="AN36" s="165">
        <v>0.023</v>
      </c>
      <c r="AO36" s="165">
        <v>0.011</v>
      </c>
    </row>
    <row r="37">
      <c r="A37" s="167" t="s">
        <v>107</v>
      </c>
      <c r="B37" s="165">
        <v>0.009</v>
      </c>
      <c r="C37" s="165">
        <v>0.001</v>
      </c>
      <c r="D37" s="165">
        <v>0.032</v>
      </c>
      <c r="E37" s="165">
        <v>0.054</v>
      </c>
      <c r="F37" s="164" t="s">
        <v>117</v>
      </c>
      <c r="G37" s="165">
        <v>0.028</v>
      </c>
      <c r="H37" s="165">
        <v>0.022</v>
      </c>
      <c r="I37" s="165">
        <v>0.019</v>
      </c>
      <c r="J37" s="164" t="s">
        <v>117</v>
      </c>
      <c r="K37" s="165">
        <v>0.008</v>
      </c>
      <c r="L37" s="164" t="s">
        <v>117</v>
      </c>
      <c r="M37" s="165">
        <v>0.0</v>
      </c>
      <c r="N37" s="165">
        <v>0.0</v>
      </c>
      <c r="O37" s="165">
        <v>0.0</v>
      </c>
      <c r="P37" s="164" t="s">
        <v>117</v>
      </c>
      <c r="Q37" s="165">
        <v>0.031</v>
      </c>
      <c r="R37" s="165">
        <v>0.008</v>
      </c>
      <c r="S37" s="165">
        <v>0.0</v>
      </c>
      <c r="T37" s="165">
        <v>0.0</v>
      </c>
      <c r="U37" s="165">
        <v>0.094</v>
      </c>
      <c r="V37" s="165">
        <v>0.0</v>
      </c>
      <c r="W37" s="165">
        <v>0.009</v>
      </c>
      <c r="X37" s="165">
        <v>0.007</v>
      </c>
      <c r="Y37" s="165">
        <v>0.028</v>
      </c>
      <c r="Z37" s="165">
        <v>0.018</v>
      </c>
      <c r="AA37" s="165">
        <v>0.023</v>
      </c>
      <c r="AB37" s="164" t="s">
        <v>117</v>
      </c>
      <c r="AC37" s="165">
        <v>0.023</v>
      </c>
      <c r="AD37" s="165">
        <v>0.0</v>
      </c>
      <c r="AE37" s="164" t="s">
        <v>117</v>
      </c>
      <c r="AF37" s="165">
        <v>0.003</v>
      </c>
      <c r="AG37" s="165">
        <v>0.01</v>
      </c>
      <c r="AH37" s="165">
        <v>0.018</v>
      </c>
      <c r="AI37" s="164" t="s">
        <v>117</v>
      </c>
      <c r="AJ37" s="165">
        <v>0.02</v>
      </c>
      <c r="AK37" s="164" t="s">
        <v>117</v>
      </c>
      <c r="AL37" s="165">
        <v>0.017</v>
      </c>
      <c r="AM37" s="165">
        <v>0.019</v>
      </c>
      <c r="AN37" s="165">
        <v>0.017</v>
      </c>
      <c r="AO37" s="165">
        <v>0.015</v>
      </c>
    </row>
    <row r="38">
      <c r="A38" s="167" t="s">
        <v>108</v>
      </c>
      <c r="B38" s="164" t="s">
        <v>117</v>
      </c>
      <c r="C38" s="164" t="s">
        <v>117</v>
      </c>
      <c r="D38" s="165">
        <v>0.018</v>
      </c>
      <c r="E38" s="165">
        <v>0.069</v>
      </c>
      <c r="F38" s="164" t="s">
        <v>117</v>
      </c>
      <c r="G38" s="165">
        <v>0.007</v>
      </c>
      <c r="H38" s="165">
        <v>0.022</v>
      </c>
      <c r="I38" s="165">
        <v>0.014</v>
      </c>
      <c r="J38" s="164" t="s">
        <v>117</v>
      </c>
      <c r="K38" s="165">
        <v>0.006</v>
      </c>
      <c r="L38" s="164" t="s">
        <v>117</v>
      </c>
      <c r="M38" s="165">
        <v>0.0</v>
      </c>
      <c r="N38" s="164" t="s">
        <v>117</v>
      </c>
      <c r="O38" s="164" t="s">
        <v>117</v>
      </c>
      <c r="P38" s="164" t="s">
        <v>117</v>
      </c>
      <c r="Q38" s="165">
        <v>0.038</v>
      </c>
      <c r="R38" s="165">
        <v>0.021</v>
      </c>
      <c r="S38" s="165">
        <v>0.0</v>
      </c>
      <c r="T38" s="164" t="s">
        <v>117</v>
      </c>
      <c r="U38" s="165">
        <v>0.081</v>
      </c>
      <c r="V38" s="165">
        <v>0.0</v>
      </c>
      <c r="W38" s="164" t="s">
        <v>117</v>
      </c>
      <c r="X38" s="165">
        <v>0.006</v>
      </c>
      <c r="Y38" s="165">
        <v>0.023</v>
      </c>
      <c r="Z38" s="165">
        <v>0.019</v>
      </c>
      <c r="AA38" s="165">
        <v>0.039</v>
      </c>
      <c r="AB38" s="165">
        <v>0.0</v>
      </c>
      <c r="AC38" s="165">
        <v>0.018</v>
      </c>
      <c r="AD38" s="164" t="s">
        <v>117</v>
      </c>
      <c r="AE38" s="164" t="s">
        <v>117</v>
      </c>
      <c r="AF38" s="165">
        <v>0.003</v>
      </c>
      <c r="AG38" s="164" t="s">
        <v>117</v>
      </c>
      <c r="AH38" s="164" t="s">
        <v>117</v>
      </c>
      <c r="AI38" s="165">
        <v>0.025</v>
      </c>
      <c r="AJ38" s="165">
        <v>0.013</v>
      </c>
      <c r="AK38" s="164" t="s">
        <v>117</v>
      </c>
      <c r="AL38" s="165">
        <v>0.015</v>
      </c>
      <c r="AM38" s="165">
        <v>0.018</v>
      </c>
      <c r="AN38" s="165">
        <v>0.012</v>
      </c>
      <c r="AO38" s="165">
        <v>0.013</v>
      </c>
    </row>
    <row r="39">
      <c r="A39" s="167" t="s">
        <v>109</v>
      </c>
      <c r="B39" s="164" t="s">
        <v>117</v>
      </c>
      <c r="C39" s="165">
        <v>0.001</v>
      </c>
      <c r="D39" s="164" t="s">
        <v>117</v>
      </c>
      <c r="E39" s="165">
        <v>0.057</v>
      </c>
      <c r="F39" s="164" t="s">
        <v>117</v>
      </c>
      <c r="G39" s="165">
        <v>0.015</v>
      </c>
      <c r="H39" s="165">
        <v>0.03</v>
      </c>
      <c r="I39" s="165">
        <v>0.022</v>
      </c>
      <c r="J39" s="165">
        <v>0.017</v>
      </c>
      <c r="K39" s="165">
        <v>0.022</v>
      </c>
      <c r="L39" s="164" t="s">
        <v>117</v>
      </c>
      <c r="M39" s="164" t="s">
        <v>117</v>
      </c>
      <c r="N39" s="164" t="s">
        <v>117</v>
      </c>
      <c r="O39" s="165">
        <v>0.0</v>
      </c>
      <c r="P39" s="164" t="s">
        <v>117</v>
      </c>
      <c r="Q39" s="165">
        <v>0.03</v>
      </c>
      <c r="R39" s="165">
        <v>0.022</v>
      </c>
      <c r="S39" s="164" t="s">
        <v>117</v>
      </c>
      <c r="T39" s="164" t="s">
        <v>117</v>
      </c>
      <c r="U39" s="165">
        <v>0.092</v>
      </c>
      <c r="V39" s="165">
        <v>0.0</v>
      </c>
      <c r="W39" s="164" t="s">
        <v>117</v>
      </c>
      <c r="X39" s="165">
        <v>0.015</v>
      </c>
      <c r="Y39" s="165">
        <v>0.035</v>
      </c>
      <c r="Z39" s="165">
        <v>0.015</v>
      </c>
      <c r="AA39" s="165">
        <v>0.049</v>
      </c>
      <c r="AB39" s="165">
        <v>0.014</v>
      </c>
      <c r="AC39" s="165">
        <v>0.02</v>
      </c>
      <c r="AD39" s="165">
        <v>0.0</v>
      </c>
      <c r="AE39" s="164" t="s">
        <v>117</v>
      </c>
      <c r="AF39" s="165">
        <v>0.004</v>
      </c>
      <c r="AG39" s="165">
        <v>0.013</v>
      </c>
      <c r="AH39" s="164" t="s">
        <v>117</v>
      </c>
      <c r="AI39" s="165">
        <v>0.0</v>
      </c>
      <c r="AJ39" s="165">
        <v>0.021</v>
      </c>
      <c r="AK39" s="164" t="s">
        <v>117</v>
      </c>
      <c r="AL39" s="165">
        <v>0.022</v>
      </c>
      <c r="AM39" s="165">
        <v>0.021</v>
      </c>
      <c r="AN39" s="165">
        <v>0.026</v>
      </c>
      <c r="AO39" s="165">
        <v>0.018</v>
      </c>
    </row>
    <row r="40">
      <c r="A40" s="167" t="s">
        <v>110</v>
      </c>
      <c r="B40" s="165">
        <v>0.008</v>
      </c>
      <c r="C40" s="165">
        <v>0.002</v>
      </c>
      <c r="D40" s="165">
        <v>0.016</v>
      </c>
      <c r="E40" s="165">
        <v>0.081</v>
      </c>
      <c r="F40" s="164" t="s">
        <v>117</v>
      </c>
      <c r="G40" s="165">
        <v>0.019</v>
      </c>
      <c r="H40" s="165">
        <v>0.04</v>
      </c>
      <c r="I40" s="165">
        <v>0.026</v>
      </c>
      <c r="J40" s="165">
        <v>0.009</v>
      </c>
      <c r="K40" s="165">
        <v>0.022</v>
      </c>
      <c r="L40" s="165">
        <v>0.023</v>
      </c>
      <c r="M40" s="165">
        <v>0.031</v>
      </c>
      <c r="N40" s="164" t="s">
        <v>117</v>
      </c>
      <c r="O40" s="165">
        <v>0.0</v>
      </c>
      <c r="P40" s="165">
        <v>0.024</v>
      </c>
      <c r="Q40" s="165">
        <v>0.025</v>
      </c>
      <c r="R40" s="165">
        <v>0.023</v>
      </c>
      <c r="S40" s="164" t="s">
        <v>117</v>
      </c>
      <c r="T40" s="164" t="s">
        <v>117</v>
      </c>
      <c r="U40" s="165">
        <v>0.188</v>
      </c>
      <c r="V40" s="165">
        <v>0.0</v>
      </c>
      <c r="W40" s="165">
        <v>0.008</v>
      </c>
      <c r="X40" s="165">
        <v>0.016</v>
      </c>
      <c r="Y40" s="165">
        <v>0.042</v>
      </c>
      <c r="Z40" s="165">
        <v>0.021</v>
      </c>
      <c r="AA40" s="165">
        <v>0.048</v>
      </c>
      <c r="AB40" s="165">
        <v>0.01</v>
      </c>
      <c r="AC40" s="165">
        <v>0.018</v>
      </c>
      <c r="AD40" s="164" t="s">
        <v>117</v>
      </c>
      <c r="AE40" s="164" t="s">
        <v>117</v>
      </c>
      <c r="AF40" s="165">
        <v>0.003</v>
      </c>
      <c r="AG40" s="165">
        <v>0.017</v>
      </c>
      <c r="AH40" s="165">
        <v>0.038</v>
      </c>
      <c r="AI40" s="165">
        <v>0.019</v>
      </c>
      <c r="AJ40" s="165">
        <v>0.029</v>
      </c>
      <c r="AK40" s="165">
        <v>0.021</v>
      </c>
      <c r="AL40" s="165">
        <v>0.037</v>
      </c>
      <c r="AM40" s="165">
        <v>0.029</v>
      </c>
      <c r="AN40" s="165">
        <v>0.039</v>
      </c>
      <c r="AO40" s="165">
        <v>0.021</v>
      </c>
    </row>
    <row r="41">
      <c r="A41" s="167" t="s">
        <v>111</v>
      </c>
      <c r="B41" s="165">
        <v>0.009</v>
      </c>
      <c r="C41" s="165">
        <v>0.003</v>
      </c>
      <c r="D41" s="165">
        <v>0.03</v>
      </c>
      <c r="E41" s="165">
        <v>0.109</v>
      </c>
      <c r="F41" s="164" t="s">
        <v>117</v>
      </c>
      <c r="G41" s="165">
        <v>0.027</v>
      </c>
      <c r="H41" s="165">
        <v>0.056</v>
      </c>
      <c r="I41" s="165">
        <v>0.035</v>
      </c>
      <c r="J41" s="165">
        <v>0.016</v>
      </c>
      <c r="K41" s="165">
        <v>0.027</v>
      </c>
      <c r="L41" s="164" t="s">
        <v>117</v>
      </c>
      <c r="M41" s="164" t="s">
        <v>117</v>
      </c>
      <c r="N41" s="165">
        <v>0.0</v>
      </c>
      <c r="O41" s="165">
        <v>0.0</v>
      </c>
      <c r="P41" s="164" t="s">
        <v>117</v>
      </c>
      <c r="Q41" s="165">
        <v>0.049</v>
      </c>
      <c r="R41" s="165">
        <v>0.028</v>
      </c>
      <c r="S41" s="164" t="s">
        <v>117</v>
      </c>
      <c r="T41" s="164" t="s">
        <v>117</v>
      </c>
      <c r="U41" s="165">
        <v>0.08</v>
      </c>
      <c r="V41" s="164" t="s">
        <v>117</v>
      </c>
      <c r="W41" s="165">
        <v>0.012</v>
      </c>
      <c r="X41" s="165">
        <v>0.013</v>
      </c>
      <c r="Y41" s="165">
        <v>0.056</v>
      </c>
      <c r="Z41" s="165">
        <v>0.036</v>
      </c>
      <c r="AA41" s="165">
        <v>0.065</v>
      </c>
      <c r="AB41" s="165">
        <v>0.022</v>
      </c>
      <c r="AC41" s="165">
        <v>0.024</v>
      </c>
      <c r="AD41" s="164" t="s">
        <v>117</v>
      </c>
      <c r="AE41" s="164" t="s">
        <v>117</v>
      </c>
      <c r="AF41" s="165">
        <v>0.006</v>
      </c>
      <c r="AG41" s="165">
        <v>0.009</v>
      </c>
      <c r="AH41" s="165">
        <v>0.033</v>
      </c>
      <c r="AI41" s="164" t="s">
        <v>117</v>
      </c>
      <c r="AJ41" s="165">
        <v>0.023</v>
      </c>
      <c r="AK41" s="165">
        <v>0.048</v>
      </c>
      <c r="AL41" s="165">
        <v>0.031</v>
      </c>
      <c r="AM41" s="165">
        <v>0.019</v>
      </c>
      <c r="AN41" s="165">
        <v>0.043</v>
      </c>
      <c r="AO41" s="165">
        <v>0.025</v>
      </c>
    </row>
    <row r="42">
      <c r="A42" s="167" t="s">
        <v>112</v>
      </c>
      <c r="B42" s="165">
        <v>0.026</v>
      </c>
      <c r="C42" s="165">
        <v>0.003</v>
      </c>
      <c r="D42" s="165">
        <v>0.036</v>
      </c>
      <c r="E42" s="165">
        <v>0.106</v>
      </c>
      <c r="F42" s="165">
        <v>0.022</v>
      </c>
      <c r="G42" s="165">
        <v>0.038</v>
      </c>
      <c r="H42" s="165">
        <v>0.069</v>
      </c>
      <c r="I42" s="165">
        <v>0.04</v>
      </c>
      <c r="J42" s="165">
        <v>0.039</v>
      </c>
      <c r="K42" s="165">
        <v>0.038</v>
      </c>
      <c r="L42" s="164" t="s">
        <v>117</v>
      </c>
      <c r="M42" s="164" t="s">
        <v>117</v>
      </c>
      <c r="N42" s="165">
        <v>0.06</v>
      </c>
      <c r="O42" s="164" t="s">
        <v>117</v>
      </c>
      <c r="P42" s="165">
        <v>0.0</v>
      </c>
      <c r="Q42" s="165">
        <v>0.064</v>
      </c>
      <c r="R42" s="165">
        <v>0.039</v>
      </c>
      <c r="S42" s="164" t="s">
        <v>117</v>
      </c>
      <c r="T42" s="165">
        <v>0.012</v>
      </c>
      <c r="U42" s="165">
        <v>0.074</v>
      </c>
      <c r="V42" s="165">
        <v>0.0</v>
      </c>
      <c r="W42" s="165">
        <v>0.013</v>
      </c>
      <c r="X42" s="165">
        <v>0.022</v>
      </c>
      <c r="Y42" s="165">
        <v>0.064</v>
      </c>
      <c r="Z42" s="165">
        <v>0.046</v>
      </c>
      <c r="AA42" s="165">
        <v>0.08</v>
      </c>
      <c r="AB42" s="165">
        <v>0.016</v>
      </c>
      <c r="AC42" s="165">
        <v>0.036</v>
      </c>
      <c r="AD42" s="164" t="s">
        <v>117</v>
      </c>
      <c r="AE42" s="165">
        <v>0.024</v>
      </c>
      <c r="AF42" s="165">
        <v>0.009</v>
      </c>
      <c r="AG42" s="165">
        <v>0.012</v>
      </c>
      <c r="AH42" s="165">
        <v>0.027</v>
      </c>
      <c r="AI42" s="165">
        <v>0.031</v>
      </c>
      <c r="AJ42" s="165">
        <v>0.047</v>
      </c>
      <c r="AK42" s="165">
        <v>0.073</v>
      </c>
      <c r="AL42" s="165">
        <v>0.056</v>
      </c>
      <c r="AM42" s="165">
        <v>0.015</v>
      </c>
      <c r="AN42" s="165">
        <v>0.048</v>
      </c>
      <c r="AO42" s="165">
        <v>0.035</v>
      </c>
    </row>
    <row r="43">
      <c r="A43" s="167" t="s">
        <v>113</v>
      </c>
      <c r="B43" s="165">
        <v>0.032</v>
      </c>
      <c r="C43" s="165">
        <v>0.005</v>
      </c>
      <c r="D43" s="165">
        <v>0.043</v>
      </c>
      <c r="E43" s="165">
        <v>0.156</v>
      </c>
      <c r="F43" s="164" t="s">
        <v>117</v>
      </c>
      <c r="G43" s="165">
        <v>0.034</v>
      </c>
      <c r="H43" s="165">
        <v>0.083</v>
      </c>
      <c r="I43" s="165">
        <v>0.049</v>
      </c>
      <c r="J43" s="165">
        <v>0.031</v>
      </c>
      <c r="K43" s="165">
        <v>0.045</v>
      </c>
      <c r="L43" s="164" t="s">
        <v>117</v>
      </c>
      <c r="M43" s="165">
        <v>0.056</v>
      </c>
      <c r="N43" s="165">
        <v>0.053</v>
      </c>
      <c r="O43" s="164" t="s">
        <v>117</v>
      </c>
      <c r="P43" s="165">
        <v>0.029</v>
      </c>
      <c r="Q43" s="165">
        <v>0.086</v>
      </c>
      <c r="R43" s="165">
        <v>0.044</v>
      </c>
      <c r="S43" s="164" t="s">
        <v>117</v>
      </c>
      <c r="T43" s="165">
        <v>0.031</v>
      </c>
      <c r="U43" s="165">
        <v>0.033</v>
      </c>
      <c r="V43" s="164" t="s">
        <v>117</v>
      </c>
      <c r="W43" s="165">
        <v>0.018</v>
      </c>
      <c r="X43" s="165">
        <v>0.023</v>
      </c>
      <c r="Y43" s="165">
        <v>0.085</v>
      </c>
      <c r="Z43" s="165">
        <v>0.024</v>
      </c>
      <c r="AA43" s="165">
        <v>0.082</v>
      </c>
      <c r="AB43" s="165">
        <v>0.04</v>
      </c>
      <c r="AC43" s="165">
        <v>0.037</v>
      </c>
      <c r="AD43" s="164" t="s">
        <v>117</v>
      </c>
      <c r="AE43" s="165">
        <v>0.034</v>
      </c>
      <c r="AF43" s="165">
        <v>0.008</v>
      </c>
      <c r="AG43" s="165">
        <v>0.009</v>
      </c>
      <c r="AH43" s="165">
        <v>0.048</v>
      </c>
      <c r="AI43" s="165">
        <v>0.065</v>
      </c>
      <c r="AJ43" s="165">
        <v>0.064</v>
      </c>
      <c r="AK43" s="165">
        <v>0.031</v>
      </c>
      <c r="AL43" s="165">
        <v>0.073</v>
      </c>
      <c r="AM43" s="165">
        <v>0.021</v>
      </c>
      <c r="AN43" s="165">
        <v>0.043</v>
      </c>
      <c r="AO43" s="165">
        <v>0.04</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226</v>
      </c>
      <c r="B1" s="169" t="s">
        <v>227</v>
      </c>
      <c r="C1" s="170" t="s">
        <v>125</v>
      </c>
      <c r="D1" s="170" t="s">
        <v>126</v>
      </c>
      <c r="E1" s="170" t="s">
        <v>127</v>
      </c>
      <c r="F1" s="170" t="s">
        <v>128</v>
      </c>
      <c r="G1" s="170" t="s">
        <v>25</v>
      </c>
      <c r="H1" s="170" t="s">
        <v>129</v>
      </c>
    </row>
    <row r="2" ht="14.25" customHeight="1">
      <c r="A2" s="171" t="s">
        <v>130</v>
      </c>
      <c r="B2" s="169" t="s">
        <v>175</v>
      </c>
      <c r="C2" s="172">
        <f>Municipality!B2</f>
        <v>152</v>
      </c>
      <c r="D2" s="172">
        <f>Municipality!C2</f>
        <v>940</v>
      </c>
      <c r="E2" s="172">
        <f>Municipality!D2</f>
        <v>12</v>
      </c>
      <c r="F2" s="172">
        <f>Municipality!E2</f>
        <v>74</v>
      </c>
      <c r="G2" s="172">
        <f>Municipality!F2</f>
        <v>0</v>
      </c>
      <c r="H2" s="172">
        <f>Municipality!G2</f>
        <v>0</v>
      </c>
    </row>
    <row r="3" ht="14.25" customHeight="1">
      <c r="A3" s="171" t="s">
        <v>131</v>
      </c>
      <c r="B3" s="169" t="s">
        <v>176</v>
      </c>
      <c r="C3" s="172">
        <f>Municipality!B3</f>
        <v>323</v>
      </c>
      <c r="D3" s="172">
        <f>Municipality!C3</f>
        <v>1453</v>
      </c>
      <c r="E3" s="172">
        <f>Municipality!D3</f>
        <v>19</v>
      </c>
      <c r="F3" s="172">
        <f>Municipality!E3</f>
        <v>85</v>
      </c>
      <c r="G3" s="172">
        <f>Municipality!F3</f>
        <v>9</v>
      </c>
      <c r="H3" s="172">
        <f>Municipality!G3</f>
        <v>40</v>
      </c>
    </row>
    <row r="4" ht="14.25" customHeight="1">
      <c r="A4" s="171" t="s">
        <v>132</v>
      </c>
      <c r="B4" s="169" t="s">
        <v>177</v>
      </c>
      <c r="C4" s="172">
        <f>Municipality!B4</f>
        <v>242</v>
      </c>
      <c r="D4" s="172">
        <f>Municipality!C4</f>
        <v>1471</v>
      </c>
      <c r="E4" s="172">
        <f>Municipality!D4</f>
        <v>22</v>
      </c>
      <c r="F4" s="172">
        <f>Municipality!E4</f>
        <v>134</v>
      </c>
      <c r="G4" s="172">
        <f>Municipality!F4</f>
        <v>23</v>
      </c>
      <c r="H4" s="172">
        <f>Municipality!G4</f>
        <v>140</v>
      </c>
    </row>
    <row r="5" ht="14.25" customHeight="1">
      <c r="A5" s="171" t="s">
        <v>133</v>
      </c>
      <c r="B5" s="169" t="s">
        <v>178</v>
      </c>
      <c r="C5" s="172">
        <f>Municipality!B5</f>
        <v>1844</v>
      </c>
      <c r="D5" s="172">
        <f>Municipality!C5</f>
        <v>9514</v>
      </c>
      <c r="E5" s="172">
        <f>Municipality!D5</f>
        <v>118</v>
      </c>
      <c r="F5" s="172">
        <f>Municipality!E5</f>
        <v>609</v>
      </c>
      <c r="G5" s="172">
        <f>Municipality!F5</f>
        <v>12</v>
      </c>
      <c r="H5" s="172">
        <f>Municipality!G5</f>
        <v>62</v>
      </c>
    </row>
    <row r="6" ht="14.25" customHeight="1">
      <c r="A6" s="171" t="s">
        <v>134</v>
      </c>
      <c r="B6" s="169" t="s">
        <v>179</v>
      </c>
      <c r="C6" s="172">
        <f>Municipality!B6</f>
        <v>56</v>
      </c>
      <c r="D6" s="172">
        <f>Municipality!C6</f>
        <v>720</v>
      </c>
      <c r="E6" s="172">
        <f>Municipality!D6</f>
        <v>6</v>
      </c>
      <c r="F6" s="172">
        <f>Municipality!E6</f>
        <v>77</v>
      </c>
      <c r="G6" s="172" t="str">
        <f>Municipality!F6</f>
        <v>&lt;5</v>
      </c>
      <c r="H6" s="172" t="str">
        <f>Municipality!G6</f>
        <v>--</v>
      </c>
    </row>
    <row r="7" ht="14.25" customHeight="1">
      <c r="A7" s="171" t="s">
        <v>135</v>
      </c>
      <c r="B7" s="169" t="s">
        <v>180</v>
      </c>
      <c r="C7" s="172">
        <f>Municipality!B7</f>
        <v>530</v>
      </c>
      <c r="D7" s="172">
        <f>Municipality!C7</f>
        <v>1533</v>
      </c>
      <c r="E7" s="172">
        <f>Municipality!D7</f>
        <v>50</v>
      </c>
      <c r="F7" s="172">
        <f>Municipality!E7</f>
        <v>145</v>
      </c>
      <c r="G7" s="172">
        <f>Municipality!F7</f>
        <v>21</v>
      </c>
      <c r="H7" s="172">
        <f>Municipality!G7</f>
        <v>61</v>
      </c>
    </row>
    <row r="8" ht="14.25" customHeight="1">
      <c r="A8" s="171" t="s">
        <v>136</v>
      </c>
      <c r="B8" s="169" t="s">
        <v>181</v>
      </c>
      <c r="C8" s="172">
        <f>Municipality!B8</f>
        <v>2405</v>
      </c>
      <c r="D8" s="172">
        <f>Municipality!C8</f>
        <v>2962</v>
      </c>
      <c r="E8" s="172">
        <f>Municipality!D8</f>
        <v>215</v>
      </c>
      <c r="F8" s="172">
        <f>Municipality!E8</f>
        <v>265</v>
      </c>
      <c r="G8" s="172">
        <f>Municipality!F8</f>
        <v>35</v>
      </c>
      <c r="H8" s="172">
        <f>Municipality!G8</f>
        <v>43</v>
      </c>
    </row>
    <row r="9" ht="14.25" customHeight="1">
      <c r="A9" s="171" t="s">
        <v>137</v>
      </c>
      <c r="B9" s="169" t="s">
        <v>182</v>
      </c>
      <c r="C9" s="172">
        <f>Municipality!B9</f>
        <v>749</v>
      </c>
      <c r="D9" s="172">
        <f>Municipality!C9</f>
        <v>2161</v>
      </c>
      <c r="E9" s="172">
        <f>Municipality!D9</f>
        <v>78</v>
      </c>
      <c r="F9" s="172">
        <f>Municipality!E9</f>
        <v>225</v>
      </c>
      <c r="G9" s="172">
        <f>Municipality!F9</f>
        <v>40</v>
      </c>
      <c r="H9" s="172">
        <f>Municipality!G9</f>
        <v>115</v>
      </c>
    </row>
    <row r="10" ht="14.25" customHeight="1">
      <c r="A10" s="171" t="s">
        <v>138</v>
      </c>
      <c r="B10" s="169" t="s">
        <v>183</v>
      </c>
      <c r="C10" s="172">
        <f>Municipality!B10</f>
        <v>236</v>
      </c>
      <c r="D10" s="172">
        <f>Municipality!C10</f>
        <v>1805</v>
      </c>
      <c r="E10" s="172">
        <f>Municipality!D10</f>
        <v>16</v>
      </c>
      <c r="F10" s="172">
        <f>Municipality!E10</f>
        <v>122</v>
      </c>
      <c r="G10" s="172" t="str">
        <f>Municipality!F10</f>
        <v>&lt;5</v>
      </c>
      <c r="H10" s="172" t="str">
        <f>Municipality!G10</f>
        <v>--</v>
      </c>
    </row>
    <row r="11" ht="14.25" customHeight="1">
      <c r="A11" s="171" t="s">
        <v>139</v>
      </c>
      <c r="B11" s="169" t="s">
        <v>184</v>
      </c>
      <c r="C11" s="172">
        <f>Municipality!B11</f>
        <v>1187</v>
      </c>
      <c r="D11" s="172">
        <f>Municipality!C11</f>
        <v>2502</v>
      </c>
      <c r="E11" s="172">
        <f>Municipality!D11</f>
        <v>112</v>
      </c>
      <c r="F11" s="172">
        <f>Municipality!E11</f>
        <v>236</v>
      </c>
      <c r="G11" s="172">
        <f>Municipality!F11</f>
        <v>113</v>
      </c>
      <c r="H11" s="172">
        <f>Municipality!G11</f>
        <v>238</v>
      </c>
    </row>
    <row r="12" ht="14.25" customHeight="1">
      <c r="A12" s="171" t="s">
        <v>140</v>
      </c>
      <c r="B12" s="169" t="s">
        <v>185</v>
      </c>
      <c r="C12" s="172">
        <f>Municipality!B12</f>
        <v>66</v>
      </c>
      <c r="D12" s="172">
        <f>Municipality!C12</f>
        <v>973</v>
      </c>
      <c r="E12" s="172">
        <f>Municipality!D12</f>
        <v>8</v>
      </c>
      <c r="F12" s="172">
        <f>Municipality!E12</f>
        <v>118</v>
      </c>
      <c r="G12" s="172" t="str">
        <f>Municipality!F12</f>
        <v>&lt;5</v>
      </c>
      <c r="H12" s="172" t="str">
        <f>Municipality!G12</f>
        <v>--</v>
      </c>
    </row>
    <row r="13" ht="14.25" customHeight="1">
      <c r="A13" s="171" t="s">
        <v>141</v>
      </c>
      <c r="B13" s="169" t="s">
        <v>186</v>
      </c>
      <c r="C13" s="172">
        <f>Municipality!B13</f>
        <v>60</v>
      </c>
      <c r="D13" s="172">
        <f>Municipality!C13</f>
        <v>1280</v>
      </c>
      <c r="E13" s="172" t="str">
        <f>Municipality!D13</f>
        <v>&lt;5</v>
      </c>
      <c r="F13" s="172" t="str">
        <f>Municipality!E13</f>
        <v>--</v>
      </c>
      <c r="G13" s="172">
        <f>Municipality!F13</f>
        <v>0</v>
      </c>
      <c r="H13" s="172">
        <f>Municipality!G13</f>
        <v>0</v>
      </c>
    </row>
    <row r="14" ht="14.25" customHeight="1">
      <c r="A14" s="171" t="s">
        <v>142</v>
      </c>
      <c r="B14" s="169" t="s">
        <v>187</v>
      </c>
      <c r="C14" s="172">
        <f>Municipality!B14</f>
        <v>112</v>
      </c>
      <c r="D14" s="172">
        <f>Municipality!C14</f>
        <v>1113</v>
      </c>
      <c r="E14" s="172">
        <f>Municipality!D14</f>
        <v>9</v>
      </c>
      <c r="F14" s="172">
        <f>Municipality!E14</f>
        <v>89</v>
      </c>
      <c r="G14" s="172">
        <f>Municipality!F14</f>
        <v>0</v>
      </c>
      <c r="H14" s="172">
        <f>Municipality!G14</f>
        <v>0</v>
      </c>
    </row>
    <row r="15" ht="14.25" customHeight="1">
      <c r="A15" s="171" t="s">
        <v>143</v>
      </c>
      <c r="B15" s="169" t="s">
        <v>188</v>
      </c>
      <c r="C15" s="172">
        <f>Municipality!B15</f>
        <v>27</v>
      </c>
      <c r="D15" s="172">
        <f>Municipality!C15</f>
        <v>333</v>
      </c>
      <c r="E15" s="172" t="str">
        <f>Municipality!D15</f>
        <v>&lt;5</v>
      </c>
      <c r="F15" s="172" t="str">
        <f>Municipality!E15</f>
        <v>--</v>
      </c>
      <c r="G15" s="172" t="str">
        <f>Municipality!F15</f>
        <v>&lt;5</v>
      </c>
      <c r="H15" s="172" t="str">
        <f>Municipality!G15</f>
        <v>--</v>
      </c>
    </row>
    <row r="16" ht="14.25" customHeight="1">
      <c r="A16" s="171" t="s">
        <v>144</v>
      </c>
      <c r="B16" s="169" t="s">
        <v>189</v>
      </c>
      <c r="C16" s="172">
        <f>Municipality!B16</f>
        <v>48</v>
      </c>
      <c r="D16" s="172">
        <f>Municipality!C16</f>
        <v>873</v>
      </c>
      <c r="E16" s="172" t="str">
        <f>Municipality!D16</f>
        <v>&lt;5</v>
      </c>
      <c r="F16" s="172" t="str">
        <f>Municipality!E16</f>
        <v>--</v>
      </c>
      <c r="G16" s="172">
        <f>Municipality!F16</f>
        <v>0</v>
      </c>
      <c r="H16" s="172">
        <f>Municipality!G16</f>
        <v>0</v>
      </c>
    </row>
    <row r="17" ht="14.25" customHeight="1">
      <c r="A17" s="171" t="s">
        <v>145</v>
      </c>
      <c r="B17" s="169" t="s">
        <v>190</v>
      </c>
      <c r="C17" s="172">
        <f>Municipality!B17</f>
        <v>1003</v>
      </c>
      <c r="D17" s="172">
        <f>Municipality!C17</f>
        <v>3431</v>
      </c>
      <c r="E17" s="172">
        <f>Municipality!D17</f>
        <v>93</v>
      </c>
      <c r="F17" s="172">
        <f>Municipality!E17</f>
        <v>318</v>
      </c>
      <c r="G17" s="172">
        <f>Municipality!F17</f>
        <v>91</v>
      </c>
      <c r="H17" s="172">
        <f>Municipality!G17</f>
        <v>311</v>
      </c>
    </row>
    <row r="18" ht="14.25" customHeight="1">
      <c r="A18" s="171" t="s">
        <v>146</v>
      </c>
      <c r="B18" s="169" t="s">
        <v>191</v>
      </c>
      <c r="C18" s="172">
        <f>Municipality!B18</f>
        <v>518</v>
      </c>
      <c r="D18" s="172">
        <f>Municipality!C18</f>
        <v>2393</v>
      </c>
      <c r="E18" s="172">
        <f>Municipality!D18</f>
        <v>47</v>
      </c>
      <c r="F18" s="172">
        <f>Municipality!E18</f>
        <v>217</v>
      </c>
      <c r="G18" s="172">
        <f>Municipality!F18</f>
        <v>37</v>
      </c>
      <c r="H18" s="172">
        <f>Municipality!G18</f>
        <v>171</v>
      </c>
    </row>
    <row r="19" ht="14.25" customHeight="1">
      <c r="A19" s="171" t="s">
        <v>147</v>
      </c>
      <c r="B19" s="169" t="s">
        <v>192</v>
      </c>
      <c r="C19" s="172">
        <f>Municipality!B19</f>
        <v>26</v>
      </c>
      <c r="D19" s="172">
        <f>Municipality!C19</f>
        <v>742</v>
      </c>
      <c r="E19" s="172">
        <f>Municipality!D19</f>
        <v>0</v>
      </c>
      <c r="F19" s="172">
        <f>Municipality!E19</f>
        <v>0</v>
      </c>
      <c r="G19" s="172" t="str">
        <f>Municipality!F19</f>
        <v>&lt;5</v>
      </c>
      <c r="H19" s="172" t="str">
        <f>Municipality!G19</f>
        <v>--</v>
      </c>
    </row>
    <row r="20" ht="14.25" customHeight="1">
      <c r="A20" s="171" t="s">
        <v>148</v>
      </c>
      <c r="B20" s="169" t="s">
        <v>193</v>
      </c>
      <c r="C20" s="172">
        <f>Municipality!B20</f>
        <v>130</v>
      </c>
      <c r="D20" s="172">
        <f>Municipality!C20</f>
        <v>809</v>
      </c>
      <c r="E20" s="172">
        <f>Municipality!D20</f>
        <v>10</v>
      </c>
      <c r="F20" s="172">
        <f>Municipality!E20</f>
        <v>62</v>
      </c>
      <c r="G20" s="172" t="str">
        <f>Municipality!F20</f>
        <v>&lt;5</v>
      </c>
      <c r="H20" s="172" t="str">
        <f>Municipality!G20</f>
        <v>--</v>
      </c>
    </row>
    <row r="21" ht="14.25" customHeight="1">
      <c r="A21" s="171" t="s">
        <v>149</v>
      </c>
      <c r="B21" s="169" t="s">
        <v>194</v>
      </c>
      <c r="C21" s="172">
        <f>Municipality!B21</f>
        <v>380</v>
      </c>
      <c r="D21" s="172">
        <f>Municipality!C21</f>
        <v>2444</v>
      </c>
      <c r="E21" s="172">
        <f>Municipality!D21</f>
        <v>9</v>
      </c>
      <c r="F21" s="172">
        <f>Municipality!E21</f>
        <v>58</v>
      </c>
      <c r="G21" s="172" t="str">
        <f>Municipality!F21</f>
        <v>&lt;5</v>
      </c>
      <c r="H21" s="172" t="str">
        <f>Municipality!G21</f>
        <v>--</v>
      </c>
    </row>
    <row r="22" ht="14.25" customHeight="1">
      <c r="A22" s="171" t="s">
        <v>150</v>
      </c>
      <c r="B22" s="169" t="s">
        <v>195</v>
      </c>
      <c r="C22" s="172">
        <f>Municipality!B22</f>
        <v>8</v>
      </c>
      <c r="D22" s="172">
        <f>Municipality!C22</f>
        <v>967</v>
      </c>
      <c r="E22" s="172">
        <f>Municipality!D22</f>
        <v>0</v>
      </c>
      <c r="F22" s="172">
        <f>Municipality!E22</f>
        <v>0</v>
      </c>
      <c r="G22" s="172">
        <f>Municipality!F22</f>
        <v>0</v>
      </c>
      <c r="H22" s="172">
        <f>Municipality!G22</f>
        <v>0</v>
      </c>
    </row>
    <row r="23" ht="14.25" customHeight="1">
      <c r="A23" s="171" t="s">
        <v>151</v>
      </c>
      <c r="B23" s="169" t="s">
        <v>196</v>
      </c>
      <c r="C23" s="172">
        <f>Municipality!B23</f>
        <v>243</v>
      </c>
      <c r="D23" s="172">
        <f>Municipality!C23</f>
        <v>981</v>
      </c>
      <c r="E23" s="172">
        <f>Municipality!D23</f>
        <v>20</v>
      </c>
      <c r="F23" s="172">
        <f>Municipality!E23</f>
        <v>81</v>
      </c>
      <c r="G23" s="172" t="str">
        <f>Municipality!F23</f>
        <v>&lt;5</v>
      </c>
      <c r="H23" s="172" t="str">
        <f>Municipality!G23</f>
        <v>--</v>
      </c>
    </row>
    <row r="24" ht="14.25" customHeight="1">
      <c r="A24" s="171" t="s">
        <v>152</v>
      </c>
      <c r="B24" s="169" t="s">
        <v>197</v>
      </c>
      <c r="C24" s="172">
        <f>Municipality!B24</f>
        <v>433</v>
      </c>
      <c r="D24" s="172">
        <f>Municipality!C24</f>
        <v>1652</v>
      </c>
      <c r="E24" s="172">
        <f>Municipality!D24</f>
        <v>41</v>
      </c>
      <c r="F24" s="172">
        <f>Municipality!E24</f>
        <v>156</v>
      </c>
      <c r="G24" s="172">
        <f>Municipality!F24</f>
        <v>53</v>
      </c>
      <c r="H24" s="172">
        <f>Municipality!G24</f>
        <v>202</v>
      </c>
    </row>
    <row r="25" ht="15.75" customHeight="1">
      <c r="A25" s="171" t="s">
        <v>153</v>
      </c>
      <c r="B25" s="169" t="s">
        <v>198</v>
      </c>
      <c r="C25" s="172">
        <f>Municipality!B25</f>
        <v>1364</v>
      </c>
      <c r="D25" s="172">
        <f>Municipality!C25</f>
        <v>4202</v>
      </c>
      <c r="E25" s="172">
        <f>Municipality!D25</f>
        <v>114</v>
      </c>
      <c r="F25" s="172">
        <f>Municipality!E25</f>
        <v>351</v>
      </c>
      <c r="G25" s="172">
        <f>Municipality!F25</f>
        <v>82</v>
      </c>
      <c r="H25" s="172">
        <f>Municipality!G25</f>
        <v>253</v>
      </c>
    </row>
    <row r="26" ht="14.25" customHeight="1">
      <c r="A26" s="171" t="s">
        <v>154</v>
      </c>
      <c r="B26" s="169" t="s">
        <v>199</v>
      </c>
      <c r="C26" s="172">
        <f>Municipality!B26</f>
        <v>246</v>
      </c>
      <c r="D26" s="172">
        <f>Municipality!C26</f>
        <v>1992</v>
      </c>
      <c r="E26" s="172">
        <f>Municipality!D26</f>
        <v>22</v>
      </c>
      <c r="F26" s="172">
        <f>Municipality!E26</f>
        <v>178</v>
      </c>
      <c r="G26" s="172">
        <f>Municipality!F26</f>
        <v>28</v>
      </c>
      <c r="H26" s="172">
        <f>Municipality!G26</f>
        <v>227</v>
      </c>
    </row>
    <row r="27" ht="14.25" customHeight="1">
      <c r="A27" s="171" t="s">
        <v>155</v>
      </c>
      <c r="B27" s="169" t="s">
        <v>200</v>
      </c>
      <c r="C27" s="172">
        <f>Municipality!B27</f>
        <v>3309</v>
      </c>
      <c r="D27" s="172">
        <f>Municipality!C27</f>
        <v>4611</v>
      </c>
      <c r="E27" s="172">
        <f>Municipality!D27</f>
        <v>257</v>
      </c>
      <c r="F27" s="172">
        <f>Municipality!E27</f>
        <v>358</v>
      </c>
      <c r="G27" s="172">
        <f>Municipality!F27</f>
        <v>56</v>
      </c>
      <c r="H27" s="172">
        <f>Municipality!G27</f>
        <v>78</v>
      </c>
    </row>
    <row r="28" ht="14.25" customHeight="1">
      <c r="A28" s="171" t="s">
        <v>156</v>
      </c>
      <c r="B28" s="169" t="s">
        <v>201</v>
      </c>
      <c r="C28" s="172">
        <f>Municipality!B28</f>
        <v>140</v>
      </c>
      <c r="D28" s="172">
        <f>Municipality!C28</f>
        <v>804</v>
      </c>
      <c r="E28" s="172" t="str">
        <f>Municipality!D28</f>
        <v>&lt;5</v>
      </c>
      <c r="F28" s="172" t="str">
        <f>Municipality!E28</f>
        <v>--</v>
      </c>
      <c r="G28" s="172">
        <f>Municipality!F28</f>
        <v>0</v>
      </c>
      <c r="H28" s="172">
        <f>Municipality!G28</f>
        <v>0</v>
      </c>
    </row>
    <row r="29" ht="14.25" customHeight="1">
      <c r="A29" s="171" t="s">
        <v>157</v>
      </c>
      <c r="B29" s="169" t="s">
        <v>202</v>
      </c>
      <c r="C29" s="172">
        <f>Municipality!B29</f>
        <v>10522</v>
      </c>
      <c r="D29" s="172">
        <f>Municipality!C29</f>
        <v>5864</v>
      </c>
      <c r="E29" s="172">
        <f>Municipality!D29</f>
        <v>1015</v>
      </c>
      <c r="F29" s="172">
        <f>Municipality!E29</f>
        <v>566</v>
      </c>
      <c r="G29" s="172">
        <f>Municipality!F29</f>
        <v>307</v>
      </c>
      <c r="H29" s="172">
        <f>Municipality!G29</f>
        <v>171</v>
      </c>
    </row>
    <row r="30" ht="14.25" customHeight="1">
      <c r="A30" s="171" t="s">
        <v>158</v>
      </c>
      <c r="B30" s="169" t="s">
        <v>203</v>
      </c>
      <c r="C30" s="172">
        <f>Municipality!B30</f>
        <v>44</v>
      </c>
      <c r="D30" s="172">
        <f>Municipality!C30</f>
        <v>577</v>
      </c>
      <c r="E30" s="172">
        <f>Municipality!D30</f>
        <v>6</v>
      </c>
      <c r="F30" s="172">
        <f>Municipality!E30</f>
        <v>79</v>
      </c>
      <c r="G30" s="172">
        <f>Municipality!F30</f>
        <v>0</v>
      </c>
      <c r="H30" s="172">
        <f>Municipality!G30</f>
        <v>0</v>
      </c>
    </row>
    <row r="31" ht="14.25" customHeight="1">
      <c r="A31" s="171" t="s">
        <v>159</v>
      </c>
      <c r="B31" s="169" t="s">
        <v>204</v>
      </c>
      <c r="C31" s="172">
        <f>Municipality!B31</f>
        <v>116</v>
      </c>
      <c r="D31" s="172">
        <f>Municipality!C31</f>
        <v>1094</v>
      </c>
      <c r="E31" s="172" t="str">
        <f>Municipality!D31</f>
        <v>&lt;5</v>
      </c>
      <c r="F31" s="172" t="str">
        <f>Municipality!E31</f>
        <v>--</v>
      </c>
      <c r="G31" s="172" t="str">
        <f>Municipality!F31</f>
        <v>&lt;5</v>
      </c>
      <c r="H31" s="172" t="str">
        <f>Municipality!G31</f>
        <v>--</v>
      </c>
    </row>
    <row r="32" ht="14.25" customHeight="1">
      <c r="A32" s="171" t="s">
        <v>160</v>
      </c>
      <c r="B32" s="169" t="s">
        <v>205</v>
      </c>
      <c r="C32" s="172">
        <f>Municipality!B32</f>
        <v>520</v>
      </c>
      <c r="D32" s="172">
        <f>Municipality!C32</f>
        <v>2404</v>
      </c>
      <c r="E32" s="172">
        <f>Municipality!D32</f>
        <v>80</v>
      </c>
      <c r="F32" s="172">
        <f>Municipality!E32</f>
        <v>370</v>
      </c>
      <c r="G32" s="172">
        <f>Municipality!F32</f>
        <v>58</v>
      </c>
      <c r="H32" s="172">
        <f>Municipality!G32</f>
        <v>268</v>
      </c>
    </row>
    <row r="33" ht="14.25" customHeight="1">
      <c r="A33" s="171" t="s">
        <v>161</v>
      </c>
      <c r="B33" s="169" t="s">
        <v>206</v>
      </c>
      <c r="C33" s="172">
        <f>Municipality!B33</f>
        <v>221</v>
      </c>
      <c r="D33" s="172">
        <f>Municipality!C33</f>
        <v>719</v>
      </c>
      <c r="E33" s="172">
        <f>Municipality!D33</f>
        <v>17</v>
      </c>
      <c r="F33" s="172">
        <f>Municipality!E33</f>
        <v>55</v>
      </c>
      <c r="G33" s="172">
        <f>Municipality!F33</f>
        <v>19</v>
      </c>
      <c r="H33" s="172">
        <f>Municipality!G33</f>
        <v>62</v>
      </c>
    </row>
    <row r="34" ht="14.25" customHeight="1">
      <c r="A34" s="171" t="s">
        <v>162</v>
      </c>
      <c r="B34" s="169" t="s">
        <v>207</v>
      </c>
      <c r="C34" s="172">
        <f>Municipality!B34</f>
        <v>210</v>
      </c>
      <c r="D34" s="172">
        <f>Municipality!C34</f>
        <v>1328</v>
      </c>
      <c r="E34" s="172" t="str">
        <f>Municipality!D34</f>
        <v>&lt;5</v>
      </c>
      <c r="F34" s="172" t="str">
        <f>Municipality!E34</f>
        <v>--</v>
      </c>
      <c r="G34" s="172">
        <f>Municipality!F34</f>
        <v>5</v>
      </c>
      <c r="H34" s="172">
        <f>Municipality!G34</f>
        <v>32</v>
      </c>
    </row>
    <row r="35" ht="14.25" customHeight="1">
      <c r="A35" s="171" t="s">
        <v>163</v>
      </c>
      <c r="B35" s="169" t="s">
        <v>208</v>
      </c>
      <c r="C35" s="172">
        <f>Municipality!B35</f>
        <v>186</v>
      </c>
      <c r="D35" s="172">
        <f>Municipality!C35</f>
        <v>1773</v>
      </c>
      <c r="E35" s="172">
        <f>Municipality!D35</f>
        <v>20</v>
      </c>
      <c r="F35" s="172">
        <f>Municipality!E35</f>
        <v>191</v>
      </c>
      <c r="G35" s="172">
        <f>Municipality!F35</f>
        <v>11</v>
      </c>
      <c r="H35" s="172">
        <f>Municipality!G35</f>
        <v>105</v>
      </c>
    </row>
    <row r="36" ht="14.25" customHeight="1">
      <c r="A36" s="171" t="s">
        <v>164</v>
      </c>
      <c r="B36" s="169" t="s">
        <v>209</v>
      </c>
      <c r="C36" s="172">
        <f>Municipality!B36</f>
        <v>1443</v>
      </c>
      <c r="D36" s="172">
        <f>Municipality!C36</f>
        <v>1780</v>
      </c>
      <c r="E36" s="172">
        <f>Municipality!D36</f>
        <v>115</v>
      </c>
      <c r="F36" s="172">
        <f>Municipality!E36</f>
        <v>142</v>
      </c>
      <c r="G36" s="172">
        <f>Municipality!F36</f>
        <v>80</v>
      </c>
      <c r="H36" s="172">
        <f>Municipality!G36</f>
        <v>99</v>
      </c>
    </row>
    <row r="37" ht="14.25" customHeight="1">
      <c r="A37" s="171" t="s">
        <v>165</v>
      </c>
      <c r="B37" s="169" t="s">
        <v>210</v>
      </c>
      <c r="C37" s="172">
        <f>Municipality!B37</f>
        <v>76</v>
      </c>
      <c r="D37" s="172">
        <f>Municipality!C37</f>
        <v>1230</v>
      </c>
      <c r="E37" s="172" t="str">
        <f>Municipality!D37</f>
        <v>&lt;5</v>
      </c>
      <c r="F37" s="172" t="str">
        <f>Municipality!E37</f>
        <v>--</v>
      </c>
      <c r="G37" s="172">
        <f>Municipality!F37</f>
        <v>0</v>
      </c>
      <c r="H37" s="172">
        <f>Municipality!G37</f>
        <v>0</v>
      </c>
    </row>
    <row r="38" ht="14.25" customHeight="1">
      <c r="A38" s="171" t="s">
        <v>166</v>
      </c>
      <c r="B38" s="169" t="s">
        <v>211</v>
      </c>
      <c r="C38" s="172">
        <f>Municipality!B38</f>
        <v>623</v>
      </c>
      <c r="D38" s="172">
        <f>Municipality!C38</f>
        <v>2152</v>
      </c>
      <c r="E38" s="172">
        <f>Municipality!D38</f>
        <v>56</v>
      </c>
      <c r="F38" s="172">
        <f>Municipality!E38</f>
        <v>193</v>
      </c>
      <c r="G38" s="172">
        <f>Municipality!F38</f>
        <v>22</v>
      </c>
      <c r="H38" s="172">
        <f>Municipality!G38</f>
        <v>76</v>
      </c>
    </row>
    <row r="39" ht="14.25" customHeight="1">
      <c r="A39" s="171" t="s">
        <v>167</v>
      </c>
      <c r="B39" s="169" t="s">
        <v>212</v>
      </c>
      <c r="C39" s="172">
        <f>Municipality!B39</f>
        <v>203</v>
      </c>
      <c r="D39" s="172">
        <f>Municipality!C39</f>
        <v>897</v>
      </c>
      <c r="E39" s="172">
        <f>Municipality!D39</f>
        <v>11</v>
      </c>
      <c r="F39" s="172">
        <f>Municipality!E39</f>
        <v>49</v>
      </c>
      <c r="G39" s="172" t="str">
        <f>Municipality!F39</f>
        <v>&lt;5</v>
      </c>
      <c r="H39" s="172" t="str">
        <f>Municipality!G39</f>
        <v>--</v>
      </c>
    </row>
    <row r="40" ht="14.25" customHeight="1">
      <c r="A40" s="171" t="s">
        <v>168</v>
      </c>
      <c r="B40" s="169" t="s">
        <v>213</v>
      </c>
      <c r="C40" s="172">
        <f>Municipality!B40</f>
        <v>1112</v>
      </c>
      <c r="D40" s="172">
        <f>Municipality!C40</f>
        <v>2677</v>
      </c>
      <c r="E40" s="172">
        <f>Municipality!D40</f>
        <v>127</v>
      </c>
      <c r="F40" s="172">
        <f>Municipality!E40</f>
        <v>306</v>
      </c>
      <c r="G40" s="172">
        <f>Municipality!F40</f>
        <v>87</v>
      </c>
      <c r="H40" s="172">
        <f>Municipality!G40</f>
        <v>209</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228</v>
      </c>
      <c r="B1" s="174" t="s">
        <v>229</v>
      </c>
      <c r="C1" s="115" t="s">
        <v>126</v>
      </c>
    </row>
    <row r="2" ht="14.25" customHeight="1">
      <c r="A2" s="175" t="s">
        <v>230</v>
      </c>
      <c r="B2" s="176">
        <v>15.0</v>
      </c>
      <c r="C2" s="177">
        <v>2235.0</v>
      </c>
    </row>
    <row r="3" ht="14.25" customHeight="1">
      <c r="A3" s="178" t="s">
        <v>231</v>
      </c>
      <c r="B3" s="179">
        <v>10.0</v>
      </c>
      <c r="C3" s="180">
        <v>499.0</v>
      </c>
    </row>
    <row r="4" ht="14.25" customHeight="1">
      <c r="A4" s="178" t="s">
        <v>232</v>
      </c>
      <c r="B4" s="179">
        <v>153.0</v>
      </c>
      <c r="C4" s="180">
        <v>945.0</v>
      </c>
    </row>
    <row r="5" ht="14.25" customHeight="1">
      <c r="A5" s="178" t="s">
        <v>233</v>
      </c>
      <c r="B5" s="179">
        <v>9.0</v>
      </c>
      <c r="C5" s="180">
        <v>1088.0</v>
      </c>
    </row>
    <row r="6" ht="14.25" customHeight="1">
      <c r="A6" s="178" t="s">
        <v>234</v>
      </c>
      <c r="B6" s="179">
        <v>25.0</v>
      </c>
      <c r="C6" s="180">
        <v>975.0</v>
      </c>
    </row>
    <row r="7" ht="14.25" customHeight="1">
      <c r="A7" s="178" t="s">
        <v>235</v>
      </c>
      <c r="B7" s="179">
        <v>317.0</v>
      </c>
      <c r="C7" s="180">
        <v>1424.0</v>
      </c>
    </row>
    <row r="8" ht="14.25" customHeight="1">
      <c r="A8" s="178" t="s">
        <v>236</v>
      </c>
      <c r="B8" s="179">
        <v>13.0</v>
      </c>
      <c r="C8" s="180">
        <v>1076.0</v>
      </c>
    </row>
    <row r="9" ht="14.25" customHeight="1">
      <c r="A9" s="178" t="s">
        <v>237</v>
      </c>
      <c r="B9" s="179">
        <v>56.0</v>
      </c>
      <c r="C9" s="180">
        <v>720.0</v>
      </c>
    </row>
    <row r="10" ht="14.25" customHeight="1">
      <c r="A10" s="178" t="s">
        <v>238</v>
      </c>
      <c r="B10" s="179">
        <v>95.0</v>
      </c>
      <c r="C10" s="180">
        <v>1238.0</v>
      </c>
    </row>
    <row r="11" ht="14.25" customHeight="1">
      <c r="A11" s="178" t="s">
        <v>239</v>
      </c>
      <c r="B11" s="179">
        <v>0.0</v>
      </c>
      <c r="C11" s="180">
        <v>0.0</v>
      </c>
    </row>
    <row r="12" ht="14.25" customHeight="1">
      <c r="A12" s="178" t="s">
        <v>240</v>
      </c>
      <c r="B12" s="179">
        <v>491.0</v>
      </c>
      <c r="C12" s="180">
        <v>1496.0</v>
      </c>
    </row>
    <row r="13" ht="14.25" customHeight="1">
      <c r="A13" s="178" t="s">
        <v>241</v>
      </c>
      <c r="B13" s="179">
        <v>77.0</v>
      </c>
      <c r="C13" s="180">
        <v>1276.0</v>
      </c>
    </row>
    <row r="14" ht="14.25" customHeight="1">
      <c r="A14" s="178" t="s">
        <v>242</v>
      </c>
      <c r="B14" s="179">
        <v>240.0</v>
      </c>
      <c r="C14" s="180">
        <v>1319.0</v>
      </c>
    </row>
    <row r="15" ht="14.25" customHeight="1">
      <c r="A15" s="178" t="s">
        <v>243</v>
      </c>
      <c r="B15" s="179">
        <v>64.0</v>
      </c>
      <c r="C15" s="180">
        <v>972.0</v>
      </c>
    </row>
    <row r="16" ht="14.25" customHeight="1">
      <c r="A16" s="178" t="s">
        <v>244</v>
      </c>
      <c r="B16" s="179">
        <v>64.0</v>
      </c>
      <c r="C16" s="180">
        <v>1164.0</v>
      </c>
    </row>
    <row r="17" ht="14.25" customHeight="1">
      <c r="A17" s="178" t="s">
        <v>245</v>
      </c>
      <c r="B17" s="179">
        <v>6.0</v>
      </c>
      <c r="C17" s="180">
        <v>1198.0</v>
      </c>
    </row>
    <row r="18" ht="14.25" customHeight="1">
      <c r="A18" s="178" t="s">
        <v>246</v>
      </c>
      <c r="B18" s="179">
        <v>24.0</v>
      </c>
      <c r="C18" s="180">
        <v>1165.0</v>
      </c>
    </row>
    <row r="19" ht="14.25" customHeight="1">
      <c r="A19" s="178" t="s">
        <v>247</v>
      </c>
      <c r="B19" s="179">
        <v>292.0</v>
      </c>
      <c r="C19" s="180">
        <v>3714.0</v>
      </c>
    </row>
    <row r="20" ht="14.25" customHeight="1">
      <c r="A20" s="178" t="s">
        <v>248</v>
      </c>
      <c r="B20" s="179">
        <v>65.0</v>
      </c>
      <c r="C20" s="180">
        <v>1095.0</v>
      </c>
    </row>
    <row r="21" ht="14.25" customHeight="1">
      <c r="A21" s="178" t="s">
        <v>249</v>
      </c>
      <c r="B21" s="179">
        <v>61.0</v>
      </c>
      <c r="C21" s="180">
        <v>1742.0</v>
      </c>
    </row>
    <row r="22" ht="14.25" customHeight="1">
      <c r="A22" s="178" t="s">
        <v>250</v>
      </c>
      <c r="B22" s="179">
        <v>28.0</v>
      </c>
      <c r="C22" s="180">
        <v>648.0</v>
      </c>
    </row>
    <row r="23" ht="14.25" customHeight="1">
      <c r="A23" s="178" t="s">
        <v>251</v>
      </c>
      <c r="B23" s="179">
        <v>0.0</v>
      </c>
      <c r="C23" s="180">
        <v>0.0</v>
      </c>
    </row>
    <row r="24" ht="14.25" customHeight="1">
      <c r="A24" s="178" t="s">
        <v>252</v>
      </c>
      <c r="B24" s="179">
        <v>47.0</v>
      </c>
      <c r="C24" s="180">
        <v>855.0</v>
      </c>
    </row>
    <row r="25" ht="14.25" customHeight="1">
      <c r="A25" s="178" t="s">
        <v>253</v>
      </c>
      <c r="B25" s="181">
        <v>0.0</v>
      </c>
      <c r="C25" s="180">
        <v>0.0</v>
      </c>
    </row>
    <row r="26" ht="14.25" customHeight="1">
      <c r="A26" s="178" t="s">
        <v>254</v>
      </c>
      <c r="B26" s="179">
        <v>26.0</v>
      </c>
      <c r="C26" s="180">
        <v>742.0</v>
      </c>
    </row>
    <row r="27" ht="14.25" customHeight="1">
      <c r="A27" s="178" t="s">
        <v>255</v>
      </c>
      <c r="B27" s="179">
        <v>158.0</v>
      </c>
      <c r="C27" s="180">
        <v>4490.0</v>
      </c>
    </row>
    <row r="28" ht="14.25" customHeight="1">
      <c r="A28" s="178" t="s">
        <v>256</v>
      </c>
      <c r="B28" s="179">
        <v>26.0</v>
      </c>
      <c r="C28" s="180">
        <v>1261.0</v>
      </c>
    </row>
    <row r="29" ht="14.25" customHeight="1">
      <c r="A29" s="178" t="s">
        <v>257</v>
      </c>
      <c r="B29" s="179">
        <v>224.0</v>
      </c>
      <c r="C29" s="180">
        <v>965.0</v>
      </c>
    </row>
    <row r="30" ht="14.25" customHeight="1">
      <c r="A30" s="178" t="s">
        <v>258</v>
      </c>
      <c r="B30" s="179">
        <v>12.0</v>
      </c>
      <c r="C30" s="180">
        <v>735.0</v>
      </c>
    </row>
    <row r="31" ht="14.25" customHeight="1">
      <c r="A31" s="178" t="s">
        <v>259</v>
      </c>
      <c r="B31" s="179">
        <v>128.0</v>
      </c>
      <c r="C31" s="180">
        <v>800.0</v>
      </c>
    </row>
    <row r="32" ht="14.25" customHeight="1">
      <c r="A32" s="178" t="s">
        <v>260</v>
      </c>
      <c r="B32" s="179">
        <v>401.0</v>
      </c>
      <c r="C32" s="180">
        <v>1820.0</v>
      </c>
    </row>
    <row r="33" ht="14.25" customHeight="1">
      <c r="A33" s="178" t="s">
        <v>261</v>
      </c>
      <c r="B33" s="179">
        <v>95.0</v>
      </c>
      <c r="C33" s="180">
        <v>1088.0</v>
      </c>
    </row>
    <row r="34" ht="14.25" customHeight="1">
      <c r="A34" s="178" t="s">
        <v>262</v>
      </c>
      <c r="B34" s="181">
        <v>8.0</v>
      </c>
      <c r="C34" s="180">
        <v>1099.0</v>
      </c>
    </row>
    <row r="35" ht="14.25" customHeight="1">
      <c r="A35" s="178" t="s">
        <v>263</v>
      </c>
      <c r="B35" s="179">
        <v>142.0</v>
      </c>
      <c r="C35" s="180">
        <v>1965.0</v>
      </c>
    </row>
    <row r="36" ht="14.25" customHeight="1">
      <c r="A36" s="178" t="s">
        <v>264</v>
      </c>
      <c r="B36" s="179">
        <v>2416.0</v>
      </c>
      <c r="C36" s="180">
        <v>5127.0</v>
      </c>
    </row>
    <row r="37" ht="14.25" customHeight="1">
      <c r="A37" s="178" t="s">
        <v>265</v>
      </c>
      <c r="B37" s="179">
        <v>860.0</v>
      </c>
      <c r="C37" s="180">
        <v>3434.0</v>
      </c>
    </row>
    <row r="38" ht="14.25" customHeight="1">
      <c r="A38" s="178" t="s">
        <v>266</v>
      </c>
      <c r="B38" s="179">
        <v>1841.0</v>
      </c>
      <c r="C38" s="180">
        <v>9516.0</v>
      </c>
    </row>
    <row r="39" ht="14.25" customHeight="1">
      <c r="A39" s="178" t="s">
        <v>267</v>
      </c>
      <c r="B39" s="179">
        <v>736.0</v>
      </c>
      <c r="C39" s="180">
        <v>2126.0</v>
      </c>
    </row>
    <row r="40" ht="14.25" customHeight="1">
      <c r="A40" s="178" t="s">
        <v>268</v>
      </c>
      <c r="B40" s="179">
        <v>343.0</v>
      </c>
      <c r="C40" s="180">
        <v>1966.0</v>
      </c>
    </row>
    <row r="41" ht="14.25" customHeight="1">
      <c r="A41" s="178" t="s">
        <v>269</v>
      </c>
      <c r="B41" s="179">
        <v>141.0</v>
      </c>
      <c r="C41" s="180">
        <v>823.0</v>
      </c>
    </row>
    <row r="42" ht="14.25" customHeight="1">
      <c r="A42" s="178" t="s">
        <v>270</v>
      </c>
      <c r="B42" s="179">
        <v>0.0</v>
      </c>
      <c r="C42" s="180">
        <v>0.0</v>
      </c>
    </row>
    <row r="43" ht="14.25" customHeight="1">
      <c r="A43" s="178" t="s">
        <v>271</v>
      </c>
      <c r="B43" s="179">
        <v>0.0</v>
      </c>
      <c r="C43" s="180">
        <v>0.0</v>
      </c>
    </row>
    <row r="44" ht="14.25" customHeight="1">
      <c r="A44" s="178" t="s">
        <v>272</v>
      </c>
      <c r="B44" s="179">
        <v>79.0</v>
      </c>
      <c r="C44" s="180">
        <v>1326.0</v>
      </c>
    </row>
    <row r="45" ht="14.25" customHeight="1">
      <c r="A45" s="178" t="s">
        <v>273</v>
      </c>
      <c r="B45" s="179">
        <v>0.0</v>
      </c>
      <c r="C45" s="180">
        <v>0.0</v>
      </c>
    </row>
    <row r="46" ht="14.25" customHeight="1">
      <c r="A46" s="178" t="s">
        <v>274</v>
      </c>
      <c r="B46" s="179">
        <v>8.0</v>
      </c>
      <c r="C46" s="180">
        <v>2749.0</v>
      </c>
    </row>
    <row r="47" ht="14.25" customHeight="1">
      <c r="A47" s="178" t="s">
        <v>275</v>
      </c>
      <c r="B47" s="179">
        <v>209.0</v>
      </c>
      <c r="C47" s="180">
        <v>1321.0</v>
      </c>
    </row>
    <row r="48" ht="14.25" customHeight="1">
      <c r="A48" s="178" t="s">
        <v>276</v>
      </c>
      <c r="B48" s="179">
        <v>227.0</v>
      </c>
      <c r="C48" s="180">
        <v>1106.0</v>
      </c>
    </row>
    <row r="49" ht="14.25" customHeight="1">
      <c r="A49" s="178" t="s">
        <v>277</v>
      </c>
      <c r="B49" s="179">
        <v>96.0</v>
      </c>
      <c r="C49" s="180">
        <v>1225.0</v>
      </c>
    </row>
    <row r="50" ht="14.25" customHeight="1">
      <c r="A50" s="178" t="s">
        <v>278</v>
      </c>
      <c r="B50" s="179">
        <v>357.0</v>
      </c>
      <c r="C50" s="180">
        <v>2559.0</v>
      </c>
    </row>
    <row r="51" ht="14.25" customHeight="1">
      <c r="A51" s="178" t="s">
        <v>279</v>
      </c>
      <c r="B51" s="179">
        <v>186.0</v>
      </c>
      <c r="C51" s="180">
        <v>1778.0</v>
      </c>
    </row>
    <row r="52" ht="14.25" customHeight="1">
      <c r="A52" s="178" t="s">
        <v>280</v>
      </c>
      <c r="B52" s="179">
        <v>467.0</v>
      </c>
      <c r="C52" s="180">
        <v>1610.0</v>
      </c>
    </row>
    <row r="53" ht="14.25" customHeight="1">
      <c r="A53" s="178" t="s">
        <v>281</v>
      </c>
      <c r="B53" s="179">
        <v>331.0</v>
      </c>
      <c r="C53" s="180">
        <v>1727.0</v>
      </c>
    </row>
    <row r="54" ht="14.25" customHeight="1">
      <c r="A54" s="178" t="s">
        <v>282</v>
      </c>
      <c r="B54" s="179">
        <v>601.0</v>
      </c>
      <c r="C54" s="180">
        <v>2199.0</v>
      </c>
    </row>
    <row r="55" ht="14.25" customHeight="1">
      <c r="A55" s="178" t="s">
        <v>283</v>
      </c>
      <c r="B55" s="179">
        <v>188.0</v>
      </c>
      <c r="C55" s="180">
        <v>892.0</v>
      </c>
    </row>
    <row r="56" ht="14.25" customHeight="1">
      <c r="A56" s="178" t="s">
        <v>284</v>
      </c>
      <c r="B56" s="179">
        <v>51.0</v>
      </c>
      <c r="C56" s="180">
        <v>983.0</v>
      </c>
    </row>
    <row r="57" ht="14.25" customHeight="1">
      <c r="A57" s="178" t="s">
        <v>285</v>
      </c>
      <c r="B57" s="179">
        <v>619.0</v>
      </c>
      <c r="C57" s="180">
        <v>2123.0</v>
      </c>
    </row>
    <row r="58" ht="14.25" customHeight="1">
      <c r="A58" s="178" t="s">
        <v>286</v>
      </c>
      <c r="B58" s="179">
        <v>7.0</v>
      </c>
      <c r="C58" s="180">
        <v>1039.0</v>
      </c>
    </row>
    <row r="59" ht="14.25" customHeight="1">
      <c r="A59" s="178" t="s">
        <v>287</v>
      </c>
      <c r="B59" s="179">
        <v>1100.0</v>
      </c>
      <c r="C59" s="180">
        <v>2648.0</v>
      </c>
    </row>
    <row r="60" ht="14.25" customHeight="1">
      <c r="A60" s="178" t="s">
        <v>288</v>
      </c>
      <c r="B60" s="179">
        <v>241.0</v>
      </c>
      <c r="C60" s="180">
        <v>1999.0</v>
      </c>
    </row>
    <row r="61" ht="14.25" customHeight="1">
      <c r="A61" s="178" t="s">
        <v>289</v>
      </c>
      <c r="B61" s="179">
        <v>22.0</v>
      </c>
      <c r="C61" s="180">
        <v>1339.0</v>
      </c>
    </row>
    <row r="62" ht="14.25" customHeight="1">
      <c r="A62" s="178" t="s">
        <v>290</v>
      </c>
      <c r="B62" s="179">
        <v>329.0</v>
      </c>
      <c r="C62" s="180">
        <v>3121.0</v>
      </c>
    </row>
    <row r="63" ht="14.25" customHeight="1">
      <c r="A63" s="178" t="s">
        <v>291</v>
      </c>
      <c r="B63" s="179">
        <v>1513.0</v>
      </c>
      <c r="C63" s="180">
        <v>4957.0</v>
      </c>
    </row>
    <row r="64" ht="14.25" customHeight="1">
      <c r="A64" s="178" t="s">
        <v>292</v>
      </c>
      <c r="B64" s="179">
        <v>1160.0</v>
      </c>
      <c r="C64" s="180">
        <v>4551.0</v>
      </c>
    </row>
    <row r="65" ht="14.25" customHeight="1">
      <c r="A65" s="178" t="s">
        <v>293</v>
      </c>
      <c r="B65" s="179">
        <v>601.0</v>
      </c>
      <c r="C65" s="180">
        <v>2132.0</v>
      </c>
    </row>
    <row r="66" ht="14.25" customHeight="1">
      <c r="A66" s="178" t="s">
        <v>294</v>
      </c>
      <c r="B66" s="179">
        <v>2299.0</v>
      </c>
      <c r="C66" s="180">
        <v>7469.0</v>
      </c>
    </row>
    <row r="67" ht="14.25" customHeight="1">
      <c r="A67" s="178" t="s">
        <v>295</v>
      </c>
      <c r="B67" s="179">
        <v>2530.0</v>
      </c>
      <c r="C67" s="180">
        <v>6738.0</v>
      </c>
    </row>
    <row r="68" ht="14.25" customHeight="1">
      <c r="A68" s="178" t="s">
        <v>296</v>
      </c>
      <c r="B68" s="179">
        <v>3150.0</v>
      </c>
      <c r="C68" s="180">
        <v>7764.0</v>
      </c>
    </row>
    <row r="69" ht="14.25" customHeight="1">
      <c r="A69" s="178" t="s">
        <v>297</v>
      </c>
      <c r="B69" s="179">
        <v>611.0</v>
      </c>
      <c r="C69" s="180">
        <v>2759.0</v>
      </c>
    </row>
    <row r="70" ht="14.25" customHeight="1">
      <c r="A70" s="178" t="s">
        <v>298</v>
      </c>
      <c r="B70" s="179">
        <v>468.0</v>
      </c>
      <c r="C70" s="180">
        <v>2950.0</v>
      </c>
    </row>
    <row r="71" ht="14.25" customHeight="1">
      <c r="A71" s="178" t="s">
        <v>299</v>
      </c>
      <c r="B71" s="179">
        <v>7.0</v>
      </c>
      <c r="C71" s="180">
        <v>515.0</v>
      </c>
    </row>
    <row r="72" ht="14.25" customHeight="1">
      <c r="A72" s="178" t="s">
        <v>300</v>
      </c>
      <c r="B72" s="179">
        <v>684.0</v>
      </c>
      <c r="C72" s="180">
        <v>3166.0</v>
      </c>
    </row>
    <row r="73" ht="14.25" customHeight="1">
      <c r="A73" s="178" t="s">
        <v>301</v>
      </c>
      <c r="B73" s="179">
        <v>340.0</v>
      </c>
      <c r="C73" s="180">
        <v>2043.0</v>
      </c>
    </row>
    <row r="74" ht="14.25" customHeight="1">
      <c r="A74" s="178" t="s">
        <v>302</v>
      </c>
      <c r="B74" s="179">
        <v>153.0</v>
      </c>
      <c r="C74" s="180">
        <v>1686.0</v>
      </c>
    </row>
    <row r="75" ht="14.25" customHeight="1">
      <c r="A75" s="178" t="s">
        <v>303</v>
      </c>
      <c r="B75" s="179">
        <v>224.0</v>
      </c>
      <c r="C75" s="180">
        <v>1623.0</v>
      </c>
    </row>
    <row r="76" ht="14.25" customHeight="1">
      <c r="A76" s="178" t="s">
        <v>304</v>
      </c>
      <c r="B76" s="179">
        <v>1006.0</v>
      </c>
      <c r="C76" s="180">
        <v>3439.0</v>
      </c>
    </row>
    <row r="77" ht="14.25" customHeight="1">
      <c r="A77" s="178" t="s">
        <v>305</v>
      </c>
      <c r="B77" s="179">
        <v>1234.0</v>
      </c>
      <c r="C77" s="180">
        <v>3317.0</v>
      </c>
    </row>
    <row r="78" ht="14.25" customHeight="1">
      <c r="A78" s="178" t="s">
        <v>306</v>
      </c>
      <c r="B78" s="179">
        <v>256.0</v>
      </c>
      <c r="C78" s="180">
        <v>2062.0</v>
      </c>
    </row>
    <row r="79" ht="14.25" customHeight="1">
      <c r="A79" s="182" t="s">
        <v>307</v>
      </c>
      <c r="B79" s="179">
        <v>1585.0</v>
      </c>
      <c r="C79" s="180" t="s">
        <v>30</v>
      </c>
    </row>
    <row r="80" ht="14.25" customHeight="1">
      <c r="A80" s="182" t="s">
        <v>169</v>
      </c>
      <c r="B80" s="179">
        <v>32657.0</v>
      </c>
      <c r="C80" s="180">
        <v>3091.0</v>
      </c>
    </row>
    <row r="81" ht="14.25" customHeight="1">
      <c r="A81" s="183" t="s">
        <v>308</v>
      </c>
    </row>
    <row r="82" ht="14.25" customHeight="1">
      <c r="A82" s="123" t="s">
        <v>309</v>
      </c>
    </row>
    <row r="83" ht="14.25" customHeight="1"/>
    <row r="84" ht="14.25" customHeight="1"/>
    <row r="85" ht="14.25" customHeight="1"/>
    <row r="86" ht="14.25" customHeight="1">
      <c r="A86" s="71" t="s">
        <v>0</v>
      </c>
      <c r="B86" s="72">
        <v>44139.0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310</v>
      </c>
    </row>
    <row r="2">
      <c r="A2" s="186" t="s">
        <v>311</v>
      </c>
      <c r="B2" s="187"/>
      <c r="C2" s="187"/>
      <c r="D2" s="187"/>
    </row>
    <row r="3">
      <c r="A3" s="188" t="s">
        <v>312</v>
      </c>
      <c r="B3" s="189" t="s">
        <v>313</v>
      </c>
      <c r="C3" s="189" t="s">
        <v>314</v>
      </c>
      <c r="D3" s="190" t="s">
        <v>315</v>
      </c>
    </row>
    <row r="4">
      <c r="A4" s="191" t="s">
        <v>316</v>
      </c>
      <c r="B4" s="86"/>
      <c r="C4" s="86"/>
      <c r="D4" s="35"/>
    </row>
    <row r="5">
      <c r="A5" s="192" t="s">
        <v>317</v>
      </c>
      <c r="B5" s="193" t="s">
        <v>318</v>
      </c>
      <c r="C5" s="194">
        <v>0.0</v>
      </c>
      <c r="D5" s="195">
        <v>0.0</v>
      </c>
    </row>
    <row r="6">
      <c r="A6" s="192" t="s">
        <v>319</v>
      </c>
      <c r="B6" s="193" t="s">
        <v>320</v>
      </c>
      <c r="C6" s="194">
        <v>0.0</v>
      </c>
      <c r="D6" s="195" t="s">
        <v>321</v>
      </c>
    </row>
    <row r="7">
      <c r="A7" s="192" t="s">
        <v>322</v>
      </c>
      <c r="B7" s="193" t="s">
        <v>323</v>
      </c>
      <c r="C7" s="194">
        <v>0.0</v>
      </c>
      <c r="D7" s="195" t="s">
        <v>324</v>
      </c>
    </row>
    <row r="8">
      <c r="A8" s="192" t="s">
        <v>325</v>
      </c>
      <c r="B8" s="193" t="s">
        <v>321</v>
      </c>
      <c r="C8" s="194">
        <v>0.0</v>
      </c>
      <c r="D8" s="195" t="s">
        <v>318</v>
      </c>
    </row>
    <row r="9">
      <c r="A9" s="192" t="s">
        <v>326</v>
      </c>
      <c r="B9" s="193" t="s">
        <v>324</v>
      </c>
      <c r="C9" s="194">
        <v>0.0</v>
      </c>
      <c r="D9" s="195" t="s">
        <v>327</v>
      </c>
    </row>
    <row r="10">
      <c r="A10" s="192" t="s">
        <v>328</v>
      </c>
      <c r="B10" s="193" t="s">
        <v>329</v>
      </c>
      <c r="C10" s="194">
        <v>0.0</v>
      </c>
      <c r="D10" s="195" t="s">
        <v>330</v>
      </c>
    </row>
    <row r="11">
      <c r="A11" s="192" t="s">
        <v>331</v>
      </c>
      <c r="B11" s="193" t="s">
        <v>327</v>
      </c>
      <c r="C11" s="194">
        <v>0.0</v>
      </c>
      <c r="D11" s="195" t="s">
        <v>332</v>
      </c>
    </row>
    <row r="12">
      <c r="A12" s="192" t="s">
        <v>333</v>
      </c>
      <c r="B12" s="193" t="s">
        <v>321</v>
      </c>
      <c r="C12" s="194">
        <v>0.0</v>
      </c>
      <c r="D12" s="195" t="s">
        <v>318</v>
      </c>
    </row>
    <row r="13">
      <c r="A13" s="192" t="s">
        <v>334</v>
      </c>
      <c r="B13" s="193" t="s">
        <v>321</v>
      </c>
      <c r="C13" s="194">
        <v>0.0</v>
      </c>
      <c r="D13" s="195" t="s">
        <v>332</v>
      </c>
    </row>
    <row r="14">
      <c r="A14" s="192" t="s">
        <v>335</v>
      </c>
      <c r="B14" s="193" t="s">
        <v>336</v>
      </c>
      <c r="C14" s="194">
        <v>0.0</v>
      </c>
      <c r="D14" s="195" t="s">
        <v>321</v>
      </c>
    </row>
    <row r="15">
      <c r="A15" s="192" t="s">
        <v>337</v>
      </c>
      <c r="B15" s="193" t="s">
        <v>338</v>
      </c>
      <c r="C15" s="194" t="s">
        <v>332</v>
      </c>
      <c r="D15" s="195" t="s">
        <v>339</v>
      </c>
    </row>
    <row r="16">
      <c r="A16" s="192" t="s">
        <v>340</v>
      </c>
      <c r="B16" s="193" t="s">
        <v>339</v>
      </c>
      <c r="C16" s="194" t="s">
        <v>318</v>
      </c>
      <c r="D16" s="195" t="s">
        <v>318</v>
      </c>
    </row>
    <row r="17">
      <c r="A17" s="192" t="s">
        <v>341</v>
      </c>
      <c r="B17" s="193" t="s">
        <v>339</v>
      </c>
      <c r="C17" s="194">
        <v>0.0</v>
      </c>
      <c r="D17" s="195" t="s">
        <v>321</v>
      </c>
    </row>
    <row r="18">
      <c r="A18" s="192" t="s">
        <v>342</v>
      </c>
      <c r="B18" s="193" t="s">
        <v>339</v>
      </c>
      <c r="C18" s="194">
        <v>0.0</v>
      </c>
      <c r="D18" s="195" t="s">
        <v>327</v>
      </c>
    </row>
    <row r="19">
      <c r="A19" s="192" t="s">
        <v>343</v>
      </c>
      <c r="B19" s="193" t="s">
        <v>344</v>
      </c>
      <c r="C19" s="194" t="s">
        <v>318</v>
      </c>
      <c r="D19" s="195" t="s">
        <v>345</v>
      </c>
    </row>
    <row r="20">
      <c r="A20" s="192" t="s">
        <v>346</v>
      </c>
      <c r="B20" s="193" t="s">
        <v>347</v>
      </c>
      <c r="C20" s="194">
        <v>0.0</v>
      </c>
      <c r="D20" s="195" t="s">
        <v>318</v>
      </c>
    </row>
    <row r="21">
      <c r="A21" s="192" t="s">
        <v>348</v>
      </c>
      <c r="B21" s="193" t="s">
        <v>349</v>
      </c>
      <c r="C21" s="194" t="s">
        <v>332</v>
      </c>
      <c r="D21" s="195" t="s">
        <v>350</v>
      </c>
    </row>
    <row r="22">
      <c r="A22" s="192" t="s">
        <v>351</v>
      </c>
      <c r="B22" s="193" t="s">
        <v>352</v>
      </c>
      <c r="C22" s="194">
        <v>0.0</v>
      </c>
      <c r="D22" s="195" t="s">
        <v>321</v>
      </c>
    </row>
    <row r="23">
      <c r="A23" s="192" t="s">
        <v>353</v>
      </c>
      <c r="B23" s="193" t="s">
        <v>354</v>
      </c>
      <c r="C23" s="194">
        <v>0.0</v>
      </c>
      <c r="D23" s="195" t="s">
        <v>324</v>
      </c>
    </row>
    <row r="24">
      <c r="A24" s="192" t="s">
        <v>355</v>
      </c>
      <c r="B24" s="193" t="s">
        <v>356</v>
      </c>
      <c r="C24" s="194">
        <v>0.0</v>
      </c>
      <c r="D24" s="195">
        <v>0.0</v>
      </c>
    </row>
    <row r="25">
      <c r="A25" s="192" t="s">
        <v>357</v>
      </c>
      <c r="B25" s="193" t="s">
        <v>356</v>
      </c>
      <c r="C25" s="194">
        <v>0.0</v>
      </c>
      <c r="D25" s="195" t="s">
        <v>332</v>
      </c>
    </row>
    <row r="26">
      <c r="A26" s="192" t="s">
        <v>358</v>
      </c>
      <c r="B26" s="193" t="s">
        <v>359</v>
      </c>
      <c r="C26" s="194">
        <v>0.0</v>
      </c>
      <c r="D26" s="196" t="s">
        <v>327</v>
      </c>
    </row>
    <row r="27">
      <c r="A27" s="192" t="s">
        <v>360</v>
      </c>
      <c r="B27" s="193" t="s">
        <v>336</v>
      </c>
      <c r="C27" s="194">
        <v>0.0</v>
      </c>
      <c r="D27" s="195" t="s">
        <v>350</v>
      </c>
    </row>
    <row r="28">
      <c r="A28" s="192" t="s">
        <v>361</v>
      </c>
      <c r="B28" s="193" t="s">
        <v>318</v>
      </c>
      <c r="C28" s="194">
        <v>0.0</v>
      </c>
      <c r="D28" s="195">
        <v>0.0</v>
      </c>
    </row>
    <row r="29">
      <c r="A29" s="192" t="s">
        <v>362</v>
      </c>
      <c r="B29" s="193" t="s">
        <v>330</v>
      </c>
      <c r="C29" s="194">
        <v>0.0</v>
      </c>
      <c r="D29" s="195" t="s">
        <v>327</v>
      </c>
    </row>
    <row r="30">
      <c r="A30" s="192" t="s">
        <v>363</v>
      </c>
      <c r="B30" s="193" t="s">
        <v>350</v>
      </c>
      <c r="C30" s="194">
        <v>0.0</v>
      </c>
      <c r="D30" s="195" t="s">
        <v>332</v>
      </c>
    </row>
    <row r="31">
      <c r="A31" s="192" t="s">
        <v>364</v>
      </c>
      <c r="B31" s="193" t="s">
        <v>356</v>
      </c>
      <c r="C31" s="194">
        <v>0.0</v>
      </c>
      <c r="D31" s="195">
        <v>0.0</v>
      </c>
    </row>
    <row r="32">
      <c r="A32" s="192" t="s">
        <v>365</v>
      </c>
      <c r="B32" s="193" t="s">
        <v>356</v>
      </c>
      <c r="C32" s="194">
        <v>0.0</v>
      </c>
      <c r="D32" s="195">
        <v>0.0</v>
      </c>
    </row>
    <row r="33">
      <c r="A33" s="192" t="s">
        <v>366</v>
      </c>
      <c r="B33" s="193" t="s">
        <v>318</v>
      </c>
      <c r="C33" s="194">
        <v>0.0</v>
      </c>
      <c r="D33" s="195">
        <v>0.0</v>
      </c>
    </row>
    <row r="34">
      <c r="A34" s="192" t="s">
        <v>367</v>
      </c>
      <c r="B34" s="193" t="s">
        <v>320</v>
      </c>
      <c r="C34" s="194">
        <v>0.0</v>
      </c>
      <c r="D34" s="195" t="s">
        <v>330</v>
      </c>
    </row>
    <row r="35">
      <c r="A35" s="192" t="s">
        <v>368</v>
      </c>
      <c r="B35" s="193" t="s">
        <v>354</v>
      </c>
      <c r="C35" s="194" t="s">
        <v>332</v>
      </c>
      <c r="D35" s="195" t="s">
        <v>350</v>
      </c>
    </row>
    <row r="36">
      <c r="A36" s="192" t="s">
        <v>369</v>
      </c>
      <c r="B36" s="193" t="s">
        <v>345</v>
      </c>
      <c r="C36" s="194" t="s">
        <v>318</v>
      </c>
      <c r="D36" s="195" t="s">
        <v>332</v>
      </c>
    </row>
    <row r="37">
      <c r="A37" s="192" t="s">
        <v>370</v>
      </c>
      <c r="B37" s="193" t="s">
        <v>356</v>
      </c>
      <c r="C37" s="194" t="s">
        <v>332</v>
      </c>
      <c r="D37" s="195">
        <v>0.0</v>
      </c>
    </row>
    <row r="38">
      <c r="A38" s="192" t="s">
        <v>371</v>
      </c>
      <c r="B38" s="193" t="s">
        <v>324</v>
      </c>
      <c r="C38" s="194">
        <v>0.0</v>
      </c>
      <c r="D38" s="195" t="s">
        <v>321</v>
      </c>
    </row>
    <row r="39">
      <c r="A39" s="192" t="s">
        <v>372</v>
      </c>
      <c r="B39" s="193" t="s">
        <v>318</v>
      </c>
      <c r="C39" s="194" t="s">
        <v>318</v>
      </c>
      <c r="D39" s="195">
        <v>0.0</v>
      </c>
    </row>
    <row r="40">
      <c r="A40" s="192" t="s">
        <v>373</v>
      </c>
      <c r="B40" s="193" t="s">
        <v>330</v>
      </c>
      <c r="C40" s="194">
        <v>0.0</v>
      </c>
      <c r="D40" s="195" t="s">
        <v>318</v>
      </c>
    </row>
    <row r="41">
      <c r="A41" s="192" t="s">
        <v>374</v>
      </c>
      <c r="B41" s="193" t="s">
        <v>375</v>
      </c>
      <c r="C41" s="194" t="s">
        <v>332</v>
      </c>
      <c r="D41" s="195" t="s">
        <v>350</v>
      </c>
    </row>
    <row r="42">
      <c r="A42" s="192" t="s">
        <v>376</v>
      </c>
      <c r="B42" s="193" t="s">
        <v>375</v>
      </c>
      <c r="C42" s="194">
        <v>0.0</v>
      </c>
      <c r="D42" s="195" t="s">
        <v>330</v>
      </c>
    </row>
    <row r="43">
      <c r="A43" s="192" t="s">
        <v>377</v>
      </c>
      <c r="B43" s="193" t="s">
        <v>336</v>
      </c>
      <c r="C43" s="194" t="s">
        <v>332</v>
      </c>
      <c r="D43" s="195" t="s">
        <v>350</v>
      </c>
    </row>
    <row r="44">
      <c r="A44" s="192" t="s">
        <v>378</v>
      </c>
      <c r="B44" s="193" t="s">
        <v>379</v>
      </c>
      <c r="C44" s="194">
        <v>0.0</v>
      </c>
      <c r="D44" s="195" t="s">
        <v>347</v>
      </c>
    </row>
    <row r="45">
      <c r="A45" s="192" t="s">
        <v>380</v>
      </c>
      <c r="B45" s="193" t="s">
        <v>347</v>
      </c>
      <c r="C45" s="194">
        <v>0.0</v>
      </c>
      <c r="D45" s="195" t="s">
        <v>318</v>
      </c>
    </row>
    <row r="46">
      <c r="A46" s="192" t="s">
        <v>381</v>
      </c>
      <c r="B46" s="193" t="s">
        <v>350</v>
      </c>
      <c r="C46" s="194">
        <v>0.0</v>
      </c>
      <c r="D46" s="195" t="s">
        <v>318</v>
      </c>
    </row>
    <row r="47">
      <c r="A47" s="192" t="s">
        <v>382</v>
      </c>
      <c r="B47" s="193" t="s">
        <v>338</v>
      </c>
      <c r="C47" s="194" t="s">
        <v>318</v>
      </c>
      <c r="D47" s="195" t="s">
        <v>321</v>
      </c>
    </row>
    <row r="48">
      <c r="A48" s="192" t="s">
        <v>383</v>
      </c>
      <c r="B48" s="193" t="s">
        <v>330</v>
      </c>
      <c r="C48" s="194" t="s">
        <v>330</v>
      </c>
      <c r="D48" s="195">
        <v>0.0</v>
      </c>
    </row>
    <row r="49">
      <c r="A49" s="192" t="s">
        <v>384</v>
      </c>
      <c r="B49" s="193" t="s">
        <v>327</v>
      </c>
      <c r="C49" s="194" t="s">
        <v>318</v>
      </c>
      <c r="D49" s="195">
        <v>0.0</v>
      </c>
    </row>
    <row r="50">
      <c r="A50" s="192" t="s">
        <v>385</v>
      </c>
      <c r="B50" s="193" t="s">
        <v>386</v>
      </c>
      <c r="C50" s="194" t="s">
        <v>332</v>
      </c>
      <c r="D50" s="195" t="s">
        <v>350</v>
      </c>
    </row>
    <row r="51">
      <c r="A51" s="192" t="s">
        <v>387</v>
      </c>
      <c r="B51" s="193" t="s">
        <v>356</v>
      </c>
      <c r="C51" s="194" t="s">
        <v>332</v>
      </c>
      <c r="D51" s="195">
        <v>0.0</v>
      </c>
    </row>
    <row r="52">
      <c r="A52" s="192" t="s">
        <v>388</v>
      </c>
      <c r="B52" s="193" t="s">
        <v>327</v>
      </c>
      <c r="C52" s="194">
        <v>0.0</v>
      </c>
      <c r="D52" s="195" t="s">
        <v>332</v>
      </c>
    </row>
    <row r="53">
      <c r="A53" s="192" t="s">
        <v>389</v>
      </c>
      <c r="B53" s="193" t="s">
        <v>329</v>
      </c>
      <c r="C53" s="194">
        <v>0.0</v>
      </c>
      <c r="D53" s="195" t="s">
        <v>350</v>
      </c>
    </row>
    <row r="54">
      <c r="A54" s="197" t="s">
        <v>390</v>
      </c>
      <c r="B54" s="198" t="s">
        <v>350</v>
      </c>
      <c r="C54" s="198">
        <v>0.0</v>
      </c>
      <c r="D54" s="198" t="s">
        <v>332</v>
      </c>
    </row>
    <row r="55">
      <c r="A55" s="192" t="s">
        <v>391</v>
      </c>
      <c r="B55" s="193" t="s">
        <v>356</v>
      </c>
      <c r="C55" s="194">
        <v>0.0</v>
      </c>
      <c r="D55" s="195">
        <v>0.0</v>
      </c>
    </row>
    <row r="56">
      <c r="A56" s="192" t="s">
        <v>392</v>
      </c>
      <c r="B56" s="193" t="s">
        <v>375</v>
      </c>
      <c r="C56" s="194">
        <v>0.0</v>
      </c>
      <c r="D56" s="195" t="s">
        <v>330</v>
      </c>
    </row>
    <row r="57">
      <c r="A57" s="192" t="s">
        <v>393</v>
      </c>
      <c r="B57" s="193" t="s">
        <v>350</v>
      </c>
      <c r="C57" s="194">
        <v>0.0</v>
      </c>
      <c r="D57" s="195" t="s">
        <v>318</v>
      </c>
    </row>
    <row r="58">
      <c r="A58" s="192" t="s">
        <v>394</v>
      </c>
      <c r="B58" s="193" t="s">
        <v>336</v>
      </c>
      <c r="C58" s="194">
        <v>0.0</v>
      </c>
      <c r="D58" s="195" t="s">
        <v>330</v>
      </c>
    </row>
    <row r="59">
      <c r="A59" s="192" t="s">
        <v>395</v>
      </c>
      <c r="B59" s="193" t="s">
        <v>386</v>
      </c>
      <c r="C59" s="194" t="s">
        <v>332</v>
      </c>
      <c r="D59" s="195" t="s">
        <v>350</v>
      </c>
    </row>
    <row r="60">
      <c r="A60" s="192" t="s">
        <v>396</v>
      </c>
      <c r="B60" s="193" t="s">
        <v>354</v>
      </c>
      <c r="C60" s="194">
        <v>0.0</v>
      </c>
      <c r="D60" s="195" t="s">
        <v>345</v>
      </c>
    </row>
    <row r="61">
      <c r="A61" s="192" t="s">
        <v>397</v>
      </c>
      <c r="B61" s="193" t="s">
        <v>350</v>
      </c>
      <c r="C61" s="194">
        <v>0.0</v>
      </c>
      <c r="D61" s="195" t="s">
        <v>332</v>
      </c>
    </row>
    <row r="62">
      <c r="A62" s="192" t="s">
        <v>398</v>
      </c>
      <c r="B62" s="193" t="s">
        <v>356</v>
      </c>
      <c r="C62" s="194">
        <v>0.0</v>
      </c>
      <c r="D62" s="195">
        <v>0.0</v>
      </c>
    </row>
    <row r="63">
      <c r="A63" s="192" t="s">
        <v>399</v>
      </c>
      <c r="B63" s="193" t="s">
        <v>318</v>
      </c>
      <c r="C63" s="194" t="s">
        <v>318</v>
      </c>
      <c r="D63" s="195">
        <v>0.0</v>
      </c>
    </row>
    <row r="64">
      <c r="A64" s="192" t="s">
        <v>400</v>
      </c>
      <c r="B64" s="193" t="s">
        <v>347</v>
      </c>
      <c r="C64" s="194">
        <v>0.0</v>
      </c>
      <c r="D64" s="195" t="s">
        <v>327</v>
      </c>
    </row>
    <row r="65">
      <c r="A65" s="192" t="s">
        <v>401</v>
      </c>
      <c r="B65" s="193" t="s">
        <v>402</v>
      </c>
      <c r="C65" s="194">
        <v>0.0</v>
      </c>
      <c r="D65" s="195" t="s">
        <v>347</v>
      </c>
    </row>
    <row r="66">
      <c r="A66" s="192" t="s">
        <v>403</v>
      </c>
      <c r="B66" s="193" t="s">
        <v>386</v>
      </c>
      <c r="C66" s="194">
        <v>0.0</v>
      </c>
      <c r="D66" s="195" t="s">
        <v>321</v>
      </c>
    </row>
    <row r="67">
      <c r="A67" s="192" t="s">
        <v>404</v>
      </c>
      <c r="B67" s="193" t="s">
        <v>405</v>
      </c>
      <c r="C67" s="194">
        <v>0.0</v>
      </c>
      <c r="D67" s="195" t="s">
        <v>350</v>
      </c>
    </row>
    <row r="68">
      <c r="A68" s="199" t="s">
        <v>78</v>
      </c>
      <c r="B68" s="200" t="s">
        <v>406</v>
      </c>
      <c r="C68" s="201" t="s">
        <v>320</v>
      </c>
      <c r="D68" s="202" t="s">
        <v>407</v>
      </c>
    </row>
    <row r="69">
      <c r="A69" s="191" t="s">
        <v>408</v>
      </c>
      <c r="B69" s="86"/>
      <c r="C69" s="86"/>
      <c r="D69" s="35"/>
    </row>
    <row r="70">
      <c r="A70" s="203" t="s">
        <v>409</v>
      </c>
      <c r="B70" s="204" t="s">
        <v>318</v>
      </c>
      <c r="C70" s="205">
        <v>0.0</v>
      </c>
      <c r="D70" s="206" t="s">
        <v>332</v>
      </c>
    </row>
    <row r="71">
      <c r="A71" s="203" t="s">
        <v>410</v>
      </c>
      <c r="B71" s="204" t="s">
        <v>356</v>
      </c>
      <c r="C71" s="205">
        <v>0.0</v>
      </c>
      <c r="D71" s="206" t="s">
        <v>332</v>
      </c>
    </row>
    <row r="72">
      <c r="A72" s="192" t="s">
        <v>411</v>
      </c>
      <c r="B72" s="193" t="s">
        <v>356</v>
      </c>
      <c r="C72" s="194">
        <v>0.0</v>
      </c>
      <c r="D72" s="195">
        <v>0.0</v>
      </c>
    </row>
    <row r="73">
      <c r="A73" s="192" t="s">
        <v>412</v>
      </c>
      <c r="B73" s="193" t="s">
        <v>330</v>
      </c>
      <c r="C73" s="194" t="s">
        <v>332</v>
      </c>
      <c r="D73" s="195" t="s">
        <v>318</v>
      </c>
    </row>
    <row r="74">
      <c r="A74" s="192" t="s">
        <v>413</v>
      </c>
      <c r="B74" s="193" t="s">
        <v>318</v>
      </c>
      <c r="C74" s="194" t="s">
        <v>332</v>
      </c>
      <c r="D74" s="195">
        <v>0.0</v>
      </c>
    </row>
    <row r="75">
      <c r="A75" s="192" t="s">
        <v>414</v>
      </c>
      <c r="B75" s="193" t="s">
        <v>356</v>
      </c>
      <c r="C75" s="194">
        <v>0.0</v>
      </c>
      <c r="D75" s="195" t="s">
        <v>332</v>
      </c>
    </row>
    <row r="76">
      <c r="A76" s="192" t="s">
        <v>415</v>
      </c>
      <c r="B76" s="193" t="s">
        <v>350</v>
      </c>
      <c r="C76" s="194">
        <v>0.0</v>
      </c>
      <c r="D76" s="207" t="s">
        <v>318</v>
      </c>
    </row>
    <row r="77">
      <c r="A77" s="208" t="s">
        <v>416</v>
      </c>
      <c r="B77" s="193" t="s">
        <v>359</v>
      </c>
      <c r="C77" s="194">
        <v>0.0</v>
      </c>
      <c r="D77" s="195" t="s">
        <v>327</v>
      </c>
    </row>
    <row r="78">
      <c r="A78" s="192" t="s">
        <v>417</v>
      </c>
      <c r="B78" s="193" t="s">
        <v>324</v>
      </c>
      <c r="C78" s="194">
        <v>0.0</v>
      </c>
      <c r="D78" s="195" t="s">
        <v>318</v>
      </c>
    </row>
    <row r="79">
      <c r="A79" s="192" t="s">
        <v>418</v>
      </c>
      <c r="B79" s="193" t="s">
        <v>321</v>
      </c>
      <c r="C79" s="194">
        <v>0.0</v>
      </c>
      <c r="D79" s="195" t="s">
        <v>332</v>
      </c>
    </row>
    <row r="80">
      <c r="A80" s="192" t="s">
        <v>419</v>
      </c>
      <c r="B80" s="193" t="s">
        <v>327</v>
      </c>
      <c r="C80" s="194">
        <v>0.0</v>
      </c>
      <c r="D80" s="195" t="s">
        <v>332</v>
      </c>
    </row>
    <row r="81">
      <c r="A81" s="192" t="s">
        <v>420</v>
      </c>
      <c r="B81" s="193" t="s">
        <v>321</v>
      </c>
      <c r="C81" s="194">
        <v>0.0</v>
      </c>
      <c r="D81" s="195" t="s">
        <v>332</v>
      </c>
    </row>
    <row r="82">
      <c r="A82" s="192" t="s">
        <v>421</v>
      </c>
      <c r="B82" s="193" t="s">
        <v>318</v>
      </c>
      <c r="C82" s="194">
        <v>0.0</v>
      </c>
      <c r="D82" s="195" t="s">
        <v>332</v>
      </c>
    </row>
    <row r="83">
      <c r="A83" s="192" t="s">
        <v>422</v>
      </c>
      <c r="B83" s="193" t="s">
        <v>356</v>
      </c>
      <c r="C83" s="194">
        <v>0.0</v>
      </c>
      <c r="D83" s="195">
        <v>0.0</v>
      </c>
    </row>
    <row r="84">
      <c r="A84" s="192" t="s">
        <v>423</v>
      </c>
      <c r="B84" s="193" t="s">
        <v>347</v>
      </c>
      <c r="C84" s="194" t="s">
        <v>332</v>
      </c>
      <c r="D84" s="195" t="s">
        <v>327</v>
      </c>
    </row>
    <row r="85">
      <c r="A85" s="208" t="s">
        <v>424</v>
      </c>
      <c r="B85" s="193" t="s">
        <v>350</v>
      </c>
      <c r="C85" s="194">
        <v>0.0</v>
      </c>
      <c r="D85" s="195" t="s">
        <v>327</v>
      </c>
    </row>
    <row r="86">
      <c r="A86" s="208" t="s">
        <v>425</v>
      </c>
      <c r="B86" s="193" t="s">
        <v>321</v>
      </c>
      <c r="C86" s="194">
        <v>0.0</v>
      </c>
      <c r="D86" s="195" t="s">
        <v>332</v>
      </c>
    </row>
    <row r="87">
      <c r="A87" s="199" t="s">
        <v>78</v>
      </c>
      <c r="B87" s="200" t="s">
        <v>426</v>
      </c>
      <c r="C87" s="201" t="s">
        <v>332</v>
      </c>
      <c r="D87" s="202" t="s">
        <v>336</v>
      </c>
    </row>
    <row r="88" ht="44.25" customHeight="1">
      <c r="A88" s="209" t="s">
        <v>427</v>
      </c>
      <c r="B88" s="210"/>
      <c r="C88" s="210"/>
      <c r="D88" s="210"/>
    </row>
  </sheetData>
  <mergeCells count="4">
    <mergeCell ref="A1:D1"/>
    <mergeCell ref="A4:D4"/>
    <mergeCell ref="A69:D69"/>
    <mergeCell ref="A88:D8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19.75"/>
  </cols>
  <sheetData>
    <row r="1">
      <c r="A1" s="211" t="s">
        <v>428</v>
      </c>
      <c r="B1" s="86"/>
      <c r="C1" s="86"/>
      <c r="D1" s="35"/>
      <c r="E1" s="212"/>
      <c r="F1" s="213"/>
      <c r="G1" s="213"/>
      <c r="H1" s="213"/>
      <c r="I1" s="213"/>
      <c r="J1" s="213"/>
      <c r="K1" s="213"/>
      <c r="L1" s="213"/>
      <c r="M1" s="213"/>
      <c r="N1" s="213"/>
      <c r="O1" s="213"/>
      <c r="P1" s="213"/>
      <c r="Q1" s="213"/>
      <c r="R1" s="213"/>
      <c r="S1" s="213"/>
      <c r="T1" s="213"/>
      <c r="U1" s="213"/>
      <c r="V1" s="213"/>
      <c r="W1" s="213"/>
      <c r="X1" s="213"/>
      <c r="Y1" s="213"/>
      <c r="Z1" s="213"/>
    </row>
    <row r="2">
      <c r="A2" s="214" t="s">
        <v>429</v>
      </c>
      <c r="B2" s="86"/>
      <c r="C2" s="86"/>
      <c r="D2" s="35"/>
      <c r="E2" s="78"/>
    </row>
    <row r="3" ht="29.25" customHeight="1">
      <c r="A3" s="215" t="s">
        <v>430</v>
      </c>
      <c r="B3" s="216" t="s">
        <v>431</v>
      </c>
      <c r="C3" s="217" t="s">
        <v>432</v>
      </c>
      <c r="D3" s="218" t="s">
        <v>433</v>
      </c>
      <c r="E3" s="93"/>
    </row>
    <row r="4">
      <c r="A4" s="219" t="s">
        <v>434</v>
      </c>
      <c r="B4" s="220"/>
      <c r="C4" s="220"/>
      <c r="D4" s="221"/>
      <c r="E4" s="93"/>
    </row>
    <row r="5">
      <c r="A5" s="222" t="s">
        <v>435</v>
      </c>
      <c r="B5" s="223" t="s">
        <v>436</v>
      </c>
      <c r="C5" s="224" t="s">
        <v>332</v>
      </c>
      <c r="D5" s="224" t="s">
        <v>332</v>
      </c>
      <c r="E5" s="93"/>
    </row>
    <row r="6">
      <c r="A6" s="225" t="s">
        <v>437</v>
      </c>
      <c r="B6" s="226" t="s">
        <v>436</v>
      </c>
      <c r="C6" s="227">
        <v>0.0</v>
      </c>
      <c r="D6" s="227" t="s">
        <v>332</v>
      </c>
      <c r="E6" s="93"/>
    </row>
    <row r="7">
      <c r="A7" s="225" t="s">
        <v>438</v>
      </c>
      <c r="B7" s="226" t="s">
        <v>436</v>
      </c>
      <c r="C7" s="227" t="s">
        <v>332</v>
      </c>
      <c r="D7" s="227" t="s">
        <v>318</v>
      </c>
      <c r="E7" s="93"/>
    </row>
    <row r="8">
      <c r="A8" s="225" t="s">
        <v>439</v>
      </c>
      <c r="B8" s="226" t="s">
        <v>130</v>
      </c>
      <c r="C8" s="227" t="s">
        <v>332</v>
      </c>
      <c r="D8" s="227" t="s">
        <v>332</v>
      </c>
      <c r="E8" s="93"/>
    </row>
    <row r="9">
      <c r="A9" s="225" t="s">
        <v>440</v>
      </c>
      <c r="B9" s="226" t="s">
        <v>130</v>
      </c>
      <c r="C9" s="227">
        <v>0.0</v>
      </c>
      <c r="D9" s="227" t="s">
        <v>332</v>
      </c>
      <c r="E9" s="93"/>
    </row>
    <row r="10">
      <c r="A10" s="225" t="s">
        <v>441</v>
      </c>
      <c r="B10" s="226" t="s">
        <v>130</v>
      </c>
      <c r="C10" s="227" t="s">
        <v>332</v>
      </c>
      <c r="D10" s="227" t="s">
        <v>332</v>
      </c>
      <c r="E10" s="93"/>
    </row>
    <row r="11">
      <c r="A11" s="225" t="s">
        <v>442</v>
      </c>
      <c r="B11" s="226" t="s">
        <v>130</v>
      </c>
      <c r="C11" s="227">
        <v>0.0</v>
      </c>
      <c r="D11" s="227" t="s">
        <v>332</v>
      </c>
      <c r="E11" s="93"/>
    </row>
    <row r="12">
      <c r="A12" s="225" t="s">
        <v>443</v>
      </c>
      <c r="B12" s="226" t="s">
        <v>444</v>
      </c>
      <c r="C12" s="227">
        <v>0.0</v>
      </c>
      <c r="D12" s="227" t="s">
        <v>332</v>
      </c>
      <c r="E12" s="93"/>
    </row>
    <row r="13">
      <c r="A13" s="225" t="s">
        <v>445</v>
      </c>
      <c r="B13" s="226" t="s">
        <v>446</v>
      </c>
      <c r="C13" s="227">
        <v>0.0</v>
      </c>
      <c r="D13" s="227" t="s">
        <v>332</v>
      </c>
      <c r="E13" s="93"/>
    </row>
    <row r="14">
      <c r="A14" s="225" t="s">
        <v>447</v>
      </c>
      <c r="B14" s="226" t="s">
        <v>448</v>
      </c>
      <c r="C14" s="227">
        <v>0.0</v>
      </c>
      <c r="D14" s="227" t="s">
        <v>332</v>
      </c>
      <c r="E14" s="93"/>
    </row>
    <row r="15">
      <c r="A15" s="225" t="s">
        <v>449</v>
      </c>
      <c r="B15" s="226" t="s">
        <v>448</v>
      </c>
      <c r="C15" s="227" t="s">
        <v>332</v>
      </c>
      <c r="D15" s="227" t="s">
        <v>332</v>
      </c>
      <c r="E15" s="93"/>
    </row>
    <row r="16">
      <c r="A16" s="225" t="s">
        <v>450</v>
      </c>
      <c r="B16" s="226" t="s">
        <v>448</v>
      </c>
      <c r="C16" s="227">
        <v>0.0</v>
      </c>
      <c r="D16" s="227" t="s">
        <v>332</v>
      </c>
      <c r="E16" s="93"/>
    </row>
    <row r="17">
      <c r="A17" s="225" t="s">
        <v>451</v>
      </c>
      <c r="B17" s="226" t="s">
        <v>448</v>
      </c>
      <c r="C17" s="227">
        <v>0.0</v>
      </c>
      <c r="D17" s="227" t="s">
        <v>332</v>
      </c>
      <c r="E17" s="93"/>
    </row>
    <row r="18">
      <c r="A18" s="225" t="s">
        <v>452</v>
      </c>
      <c r="B18" s="226" t="s">
        <v>453</v>
      </c>
      <c r="C18" s="227" t="s">
        <v>332</v>
      </c>
      <c r="D18" s="227" t="s">
        <v>332</v>
      </c>
      <c r="E18" s="93"/>
    </row>
    <row r="19">
      <c r="A19" s="225" t="s">
        <v>454</v>
      </c>
      <c r="B19" s="226" t="s">
        <v>453</v>
      </c>
      <c r="C19" s="227" t="s">
        <v>332</v>
      </c>
      <c r="D19" s="227" t="s">
        <v>332</v>
      </c>
      <c r="E19" s="93"/>
    </row>
    <row r="20">
      <c r="A20" s="225" t="s">
        <v>455</v>
      </c>
      <c r="B20" s="226" t="s">
        <v>453</v>
      </c>
      <c r="C20" s="227">
        <v>0.0</v>
      </c>
      <c r="D20" s="227" t="s">
        <v>332</v>
      </c>
      <c r="E20" s="93"/>
    </row>
    <row r="21">
      <c r="A21" s="225" t="s">
        <v>456</v>
      </c>
      <c r="B21" s="226" t="s">
        <v>453</v>
      </c>
      <c r="C21" s="227" t="s">
        <v>332</v>
      </c>
      <c r="D21" s="227" t="s">
        <v>332</v>
      </c>
      <c r="E21" s="93"/>
    </row>
    <row r="22">
      <c r="A22" s="225" t="s">
        <v>457</v>
      </c>
      <c r="B22" s="226" t="s">
        <v>453</v>
      </c>
      <c r="C22" s="227" t="s">
        <v>318</v>
      </c>
      <c r="D22" s="227" t="s">
        <v>318</v>
      </c>
      <c r="E22" s="93"/>
    </row>
    <row r="23">
      <c r="A23" s="225" t="s">
        <v>458</v>
      </c>
      <c r="B23" s="226" t="s">
        <v>132</v>
      </c>
      <c r="C23" s="227">
        <v>0.0</v>
      </c>
      <c r="D23" s="227" t="s">
        <v>332</v>
      </c>
      <c r="E23" s="93"/>
    </row>
    <row r="24">
      <c r="A24" s="225" t="s">
        <v>459</v>
      </c>
      <c r="B24" s="226" t="s">
        <v>132</v>
      </c>
      <c r="C24" s="227">
        <v>0.0</v>
      </c>
      <c r="D24" s="227" t="s">
        <v>332</v>
      </c>
      <c r="E24" s="93"/>
    </row>
    <row r="25">
      <c r="A25" s="225" t="s">
        <v>460</v>
      </c>
      <c r="B25" s="226" t="s">
        <v>132</v>
      </c>
      <c r="C25" s="227">
        <v>0.0</v>
      </c>
      <c r="D25" s="227" t="s">
        <v>332</v>
      </c>
      <c r="E25" s="93"/>
    </row>
    <row r="26">
      <c r="A26" s="225" t="s">
        <v>461</v>
      </c>
      <c r="B26" s="226" t="s">
        <v>132</v>
      </c>
      <c r="C26" s="227">
        <v>0.0</v>
      </c>
      <c r="D26" s="227" t="s">
        <v>332</v>
      </c>
      <c r="E26" s="93"/>
    </row>
    <row r="27">
      <c r="A27" s="225" t="s">
        <v>462</v>
      </c>
      <c r="B27" s="226" t="s">
        <v>463</v>
      </c>
      <c r="C27" s="227">
        <v>0.0</v>
      </c>
      <c r="D27" s="227" t="s">
        <v>327</v>
      </c>
      <c r="E27" s="93"/>
    </row>
    <row r="28">
      <c r="A28" s="225" t="s">
        <v>464</v>
      </c>
      <c r="B28" s="226" t="s">
        <v>463</v>
      </c>
      <c r="C28" s="227">
        <v>0.0</v>
      </c>
      <c r="D28" s="227" t="s">
        <v>332</v>
      </c>
      <c r="E28" s="93"/>
    </row>
    <row r="29">
      <c r="A29" s="225" t="s">
        <v>465</v>
      </c>
      <c r="B29" s="226" t="s">
        <v>463</v>
      </c>
      <c r="C29" s="227" t="s">
        <v>332</v>
      </c>
      <c r="D29" s="227" t="s">
        <v>332</v>
      </c>
      <c r="E29" s="93"/>
    </row>
    <row r="30">
      <c r="A30" s="225" t="s">
        <v>466</v>
      </c>
      <c r="B30" s="226" t="s">
        <v>463</v>
      </c>
      <c r="C30" s="227">
        <v>0.0</v>
      </c>
      <c r="D30" s="227" t="s">
        <v>332</v>
      </c>
      <c r="E30" s="93"/>
    </row>
    <row r="31">
      <c r="A31" s="225" t="s">
        <v>467</v>
      </c>
      <c r="B31" s="226" t="s">
        <v>463</v>
      </c>
      <c r="C31" s="227">
        <v>0.0</v>
      </c>
      <c r="D31" s="227" t="s">
        <v>332</v>
      </c>
      <c r="E31" s="93"/>
    </row>
    <row r="32">
      <c r="A32" s="225" t="s">
        <v>468</v>
      </c>
      <c r="B32" s="226" t="s">
        <v>463</v>
      </c>
      <c r="C32" s="227" t="s">
        <v>332</v>
      </c>
      <c r="D32" s="227" t="s">
        <v>327</v>
      </c>
      <c r="E32" s="93"/>
    </row>
    <row r="33">
      <c r="A33" s="225" t="s">
        <v>469</v>
      </c>
      <c r="B33" s="226" t="s">
        <v>463</v>
      </c>
      <c r="C33" s="227" t="s">
        <v>332</v>
      </c>
      <c r="D33" s="227" t="s">
        <v>318</v>
      </c>
      <c r="E33" s="93"/>
    </row>
    <row r="34">
      <c r="A34" s="225" t="s">
        <v>470</v>
      </c>
      <c r="B34" s="226" t="s">
        <v>463</v>
      </c>
      <c r="C34" s="227" t="s">
        <v>332</v>
      </c>
      <c r="D34" s="227" t="s">
        <v>327</v>
      </c>
      <c r="E34" s="93"/>
    </row>
    <row r="35">
      <c r="A35" s="225" t="s">
        <v>471</v>
      </c>
      <c r="B35" s="226" t="s">
        <v>463</v>
      </c>
      <c r="C35" s="227" t="s">
        <v>332</v>
      </c>
      <c r="D35" s="227" t="s">
        <v>332</v>
      </c>
      <c r="E35" s="93"/>
    </row>
    <row r="36">
      <c r="A36" s="225" t="s">
        <v>472</v>
      </c>
      <c r="B36" s="226" t="s">
        <v>463</v>
      </c>
      <c r="C36" s="227">
        <v>0.0</v>
      </c>
      <c r="D36" s="227" t="s">
        <v>332</v>
      </c>
      <c r="E36" s="93"/>
    </row>
    <row r="37">
      <c r="A37" s="225" t="s">
        <v>473</v>
      </c>
      <c r="B37" s="226" t="s">
        <v>463</v>
      </c>
      <c r="C37" s="227" t="s">
        <v>332</v>
      </c>
      <c r="D37" s="227" t="s">
        <v>332</v>
      </c>
      <c r="E37" s="93"/>
    </row>
    <row r="38">
      <c r="A38" s="225" t="s">
        <v>474</v>
      </c>
      <c r="B38" s="226" t="s">
        <v>463</v>
      </c>
      <c r="C38" s="227" t="s">
        <v>332</v>
      </c>
      <c r="D38" s="227" t="s">
        <v>332</v>
      </c>
      <c r="E38" s="93"/>
    </row>
    <row r="39">
      <c r="A39" s="225" t="s">
        <v>475</v>
      </c>
      <c r="B39" s="226" t="s">
        <v>463</v>
      </c>
      <c r="C39" s="227">
        <v>0.0</v>
      </c>
      <c r="D39" s="227" t="s">
        <v>332</v>
      </c>
      <c r="E39" s="93"/>
    </row>
    <row r="40">
      <c r="A40" s="225" t="s">
        <v>476</v>
      </c>
      <c r="B40" s="226" t="s">
        <v>463</v>
      </c>
      <c r="C40" s="227">
        <v>0.0</v>
      </c>
      <c r="D40" s="227" t="s">
        <v>332</v>
      </c>
      <c r="E40" s="93"/>
    </row>
    <row r="41">
      <c r="A41" s="225" t="s">
        <v>477</v>
      </c>
      <c r="B41" s="226" t="s">
        <v>463</v>
      </c>
      <c r="C41" s="227">
        <v>0.0</v>
      </c>
      <c r="D41" s="227" t="s">
        <v>332</v>
      </c>
      <c r="E41" s="93"/>
    </row>
    <row r="42">
      <c r="A42" s="225" t="s">
        <v>478</v>
      </c>
      <c r="B42" s="226" t="s">
        <v>463</v>
      </c>
      <c r="C42" s="227" t="s">
        <v>332</v>
      </c>
      <c r="D42" s="227" t="s">
        <v>332</v>
      </c>
      <c r="E42" s="93"/>
    </row>
    <row r="43">
      <c r="A43" s="225" t="s">
        <v>479</v>
      </c>
      <c r="B43" s="226" t="s">
        <v>463</v>
      </c>
      <c r="C43" s="227" t="s">
        <v>332</v>
      </c>
      <c r="D43" s="227" t="s">
        <v>318</v>
      </c>
      <c r="E43" s="93"/>
    </row>
    <row r="44">
      <c r="A44" s="225" t="s">
        <v>480</v>
      </c>
      <c r="B44" s="226" t="s">
        <v>463</v>
      </c>
      <c r="C44" s="227" t="s">
        <v>332</v>
      </c>
      <c r="D44" s="227" t="s">
        <v>332</v>
      </c>
      <c r="E44" s="93"/>
    </row>
    <row r="45">
      <c r="A45" s="225" t="s">
        <v>481</v>
      </c>
      <c r="B45" s="226" t="s">
        <v>463</v>
      </c>
      <c r="C45" s="227">
        <v>0.0</v>
      </c>
      <c r="D45" s="227" t="s">
        <v>332</v>
      </c>
      <c r="E45" s="93"/>
    </row>
    <row r="46">
      <c r="A46" s="225" t="s">
        <v>482</v>
      </c>
      <c r="B46" s="226" t="s">
        <v>463</v>
      </c>
      <c r="C46" s="227" t="s">
        <v>332</v>
      </c>
      <c r="D46" s="227" t="s">
        <v>332</v>
      </c>
      <c r="E46" s="93"/>
    </row>
    <row r="47">
      <c r="A47" s="225" t="s">
        <v>483</v>
      </c>
      <c r="B47" s="226" t="s">
        <v>463</v>
      </c>
      <c r="C47" s="227" t="s">
        <v>332</v>
      </c>
      <c r="D47" s="227" t="s">
        <v>332</v>
      </c>
      <c r="E47" s="93"/>
    </row>
    <row r="48">
      <c r="A48" s="225" t="s">
        <v>484</v>
      </c>
      <c r="B48" s="226" t="s">
        <v>133</v>
      </c>
      <c r="C48" s="227">
        <v>0.0</v>
      </c>
      <c r="D48" s="227" t="s">
        <v>332</v>
      </c>
      <c r="E48" s="93"/>
    </row>
    <row r="49">
      <c r="A49" s="225" t="s">
        <v>485</v>
      </c>
      <c r="B49" s="226" t="s">
        <v>133</v>
      </c>
      <c r="C49" s="227" t="s">
        <v>332</v>
      </c>
      <c r="D49" s="227" t="s">
        <v>318</v>
      </c>
      <c r="E49" s="93"/>
    </row>
    <row r="50">
      <c r="A50" s="225" t="s">
        <v>486</v>
      </c>
      <c r="B50" s="226" t="s">
        <v>133</v>
      </c>
      <c r="C50" s="227">
        <v>0.0</v>
      </c>
      <c r="D50" s="227" t="s">
        <v>332</v>
      </c>
      <c r="E50" s="93"/>
    </row>
    <row r="51">
      <c r="A51" s="225" t="s">
        <v>487</v>
      </c>
      <c r="B51" s="226" t="s">
        <v>133</v>
      </c>
      <c r="C51" s="227">
        <v>0.0</v>
      </c>
      <c r="D51" s="227" t="s">
        <v>332</v>
      </c>
      <c r="E51" s="93"/>
    </row>
    <row r="52">
      <c r="A52" s="225" t="s">
        <v>488</v>
      </c>
      <c r="B52" s="226" t="s">
        <v>133</v>
      </c>
      <c r="C52" s="227" t="s">
        <v>332</v>
      </c>
      <c r="D52" s="227" t="s">
        <v>318</v>
      </c>
      <c r="E52" s="93"/>
    </row>
    <row r="53">
      <c r="A53" s="225" t="s">
        <v>489</v>
      </c>
      <c r="B53" s="226" t="s">
        <v>490</v>
      </c>
      <c r="C53" s="227">
        <v>0.0</v>
      </c>
      <c r="D53" s="227" t="s">
        <v>332</v>
      </c>
      <c r="E53" s="93"/>
    </row>
    <row r="54">
      <c r="A54" s="225" t="s">
        <v>491</v>
      </c>
      <c r="B54" s="226" t="s">
        <v>492</v>
      </c>
      <c r="C54" s="227">
        <v>0.0</v>
      </c>
      <c r="D54" s="227" t="s">
        <v>332</v>
      </c>
      <c r="E54" s="93"/>
    </row>
    <row r="55">
      <c r="A55" s="225" t="s">
        <v>493</v>
      </c>
      <c r="B55" s="226" t="s">
        <v>492</v>
      </c>
      <c r="C55" s="227" t="s">
        <v>332</v>
      </c>
      <c r="D55" s="227" t="s">
        <v>332</v>
      </c>
      <c r="E55" s="93"/>
    </row>
    <row r="56">
      <c r="A56" s="225" t="s">
        <v>494</v>
      </c>
      <c r="B56" s="226" t="s">
        <v>492</v>
      </c>
      <c r="C56" s="227" t="s">
        <v>332</v>
      </c>
      <c r="D56" s="227" t="s">
        <v>332</v>
      </c>
      <c r="E56" s="93"/>
    </row>
    <row r="57">
      <c r="A57" s="225" t="s">
        <v>495</v>
      </c>
      <c r="B57" s="226" t="s">
        <v>492</v>
      </c>
      <c r="C57" s="227" t="s">
        <v>332</v>
      </c>
      <c r="D57" s="227" t="s">
        <v>332</v>
      </c>
      <c r="E57" s="93"/>
    </row>
    <row r="58">
      <c r="A58" s="225" t="s">
        <v>496</v>
      </c>
      <c r="B58" s="226" t="s">
        <v>135</v>
      </c>
      <c r="C58" s="227" t="s">
        <v>332</v>
      </c>
      <c r="D58" s="227" t="s">
        <v>327</v>
      </c>
      <c r="E58" s="93"/>
    </row>
    <row r="59">
      <c r="A59" s="225" t="s">
        <v>497</v>
      </c>
      <c r="B59" s="226" t="s">
        <v>135</v>
      </c>
      <c r="C59" s="227">
        <v>0.0</v>
      </c>
      <c r="D59" s="227" t="s">
        <v>332</v>
      </c>
      <c r="E59" s="93"/>
    </row>
    <row r="60">
      <c r="A60" s="225" t="s">
        <v>498</v>
      </c>
      <c r="B60" s="226" t="s">
        <v>135</v>
      </c>
      <c r="C60" s="227" t="s">
        <v>332</v>
      </c>
      <c r="D60" s="227" t="s">
        <v>332</v>
      </c>
      <c r="E60" s="93"/>
    </row>
    <row r="61">
      <c r="A61" s="225" t="s">
        <v>499</v>
      </c>
      <c r="B61" s="226" t="s">
        <v>135</v>
      </c>
      <c r="C61" s="227">
        <v>0.0</v>
      </c>
      <c r="D61" s="227" t="s">
        <v>332</v>
      </c>
      <c r="E61" s="93"/>
    </row>
    <row r="62">
      <c r="A62" s="225" t="s">
        <v>500</v>
      </c>
      <c r="B62" s="226" t="s">
        <v>135</v>
      </c>
      <c r="C62" s="227">
        <v>0.0</v>
      </c>
      <c r="D62" s="227" t="s">
        <v>332</v>
      </c>
      <c r="E62" s="93"/>
    </row>
    <row r="63">
      <c r="A63" s="225" t="s">
        <v>501</v>
      </c>
      <c r="B63" s="226" t="s">
        <v>135</v>
      </c>
      <c r="C63" s="227" t="s">
        <v>332</v>
      </c>
      <c r="D63" s="227" t="s">
        <v>332</v>
      </c>
      <c r="E63" s="93"/>
    </row>
    <row r="64">
      <c r="A64" s="225" t="s">
        <v>502</v>
      </c>
      <c r="B64" s="226" t="s">
        <v>135</v>
      </c>
      <c r="C64" s="227">
        <v>0.0</v>
      </c>
      <c r="D64" s="227" t="s">
        <v>332</v>
      </c>
      <c r="E64" s="93"/>
    </row>
    <row r="65">
      <c r="A65" s="225" t="s">
        <v>503</v>
      </c>
      <c r="B65" s="226" t="s">
        <v>136</v>
      </c>
      <c r="C65" s="227">
        <v>0.0</v>
      </c>
      <c r="D65" s="227" t="s">
        <v>332</v>
      </c>
      <c r="E65" s="93"/>
    </row>
    <row r="66">
      <c r="A66" s="225" t="s">
        <v>504</v>
      </c>
      <c r="B66" s="226" t="s">
        <v>136</v>
      </c>
      <c r="C66" s="227">
        <v>0.0</v>
      </c>
      <c r="D66" s="227" t="s">
        <v>332</v>
      </c>
      <c r="E66" s="93"/>
    </row>
    <row r="67">
      <c r="A67" s="225" t="s">
        <v>505</v>
      </c>
      <c r="B67" s="226" t="s">
        <v>136</v>
      </c>
      <c r="C67" s="227" t="s">
        <v>332</v>
      </c>
      <c r="D67" s="227" t="s">
        <v>318</v>
      </c>
      <c r="E67" s="93"/>
    </row>
    <row r="68">
      <c r="A68" s="225" t="s">
        <v>506</v>
      </c>
      <c r="B68" s="226" t="s">
        <v>136</v>
      </c>
      <c r="C68" s="227" t="s">
        <v>332</v>
      </c>
      <c r="D68" s="227" t="s">
        <v>332</v>
      </c>
      <c r="E68" s="93"/>
    </row>
    <row r="69">
      <c r="A69" s="225" t="s">
        <v>507</v>
      </c>
      <c r="B69" s="226" t="s">
        <v>136</v>
      </c>
      <c r="C69" s="227" t="s">
        <v>332</v>
      </c>
      <c r="D69" s="227" t="s">
        <v>332</v>
      </c>
      <c r="E69" s="93"/>
    </row>
    <row r="70">
      <c r="A70" s="225" t="s">
        <v>508</v>
      </c>
      <c r="B70" s="226" t="s">
        <v>136</v>
      </c>
      <c r="C70" s="227" t="s">
        <v>332</v>
      </c>
      <c r="D70" s="227" t="s">
        <v>332</v>
      </c>
      <c r="E70" s="93"/>
    </row>
    <row r="71">
      <c r="A71" s="225" t="s">
        <v>509</v>
      </c>
      <c r="B71" s="226" t="s">
        <v>136</v>
      </c>
      <c r="C71" s="227" t="s">
        <v>332</v>
      </c>
      <c r="D71" s="227" t="s">
        <v>332</v>
      </c>
      <c r="E71" s="93"/>
    </row>
    <row r="72">
      <c r="A72" s="225" t="s">
        <v>510</v>
      </c>
      <c r="B72" s="226" t="s">
        <v>136</v>
      </c>
      <c r="C72" s="227">
        <v>0.0</v>
      </c>
      <c r="D72" s="227" t="s">
        <v>332</v>
      </c>
      <c r="E72" s="93"/>
    </row>
    <row r="73">
      <c r="A73" s="225" t="s">
        <v>511</v>
      </c>
      <c r="B73" s="226" t="s">
        <v>136</v>
      </c>
      <c r="C73" s="227" t="s">
        <v>332</v>
      </c>
      <c r="D73" s="227" t="s">
        <v>332</v>
      </c>
      <c r="E73" s="93"/>
    </row>
    <row r="74">
      <c r="A74" s="225" t="s">
        <v>512</v>
      </c>
      <c r="B74" s="226" t="s">
        <v>136</v>
      </c>
      <c r="C74" s="227">
        <v>0.0</v>
      </c>
      <c r="D74" s="227" t="s">
        <v>332</v>
      </c>
      <c r="E74" s="93"/>
    </row>
    <row r="75">
      <c r="A75" s="225" t="s">
        <v>513</v>
      </c>
      <c r="B75" s="226" t="s">
        <v>136</v>
      </c>
      <c r="C75" s="227" t="s">
        <v>332</v>
      </c>
      <c r="D75" s="227" t="s">
        <v>332</v>
      </c>
      <c r="E75" s="93"/>
    </row>
    <row r="76">
      <c r="A76" s="225" t="s">
        <v>514</v>
      </c>
      <c r="B76" s="226" t="s">
        <v>136</v>
      </c>
      <c r="C76" s="227" t="s">
        <v>332</v>
      </c>
      <c r="D76" s="227" t="s">
        <v>332</v>
      </c>
      <c r="E76" s="93"/>
    </row>
    <row r="77">
      <c r="A77" s="225" t="s">
        <v>515</v>
      </c>
      <c r="B77" s="226" t="s">
        <v>136</v>
      </c>
      <c r="C77" s="227" t="s">
        <v>332</v>
      </c>
      <c r="D77" s="227" t="s">
        <v>318</v>
      </c>
      <c r="E77" s="93"/>
    </row>
    <row r="78">
      <c r="A78" s="225" t="s">
        <v>516</v>
      </c>
      <c r="B78" s="226" t="s">
        <v>136</v>
      </c>
      <c r="C78" s="227" t="s">
        <v>332</v>
      </c>
      <c r="D78" s="227" t="s">
        <v>332</v>
      </c>
      <c r="E78" s="93"/>
    </row>
    <row r="79">
      <c r="A79" s="225" t="s">
        <v>517</v>
      </c>
      <c r="B79" s="226" t="s">
        <v>136</v>
      </c>
      <c r="C79" s="227" t="s">
        <v>332</v>
      </c>
      <c r="D79" s="227" t="s">
        <v>332</v>
      </c>
      <c r="E79" s="93"/>
    </row>
    <row r="80">
      <c r="A80" s="225" t="s">
        <v>518</v>
      </c>
      <c r="B80" s="226" t="s">
        <v>136</v>
      </c>
      <c r="C80" s="227">
        <v>0.0</v>
      </c>
      <c r="D80" s="227" t="s">
        <v>332</v>
      </c>
      <c r="E80" s="93"/>
    </row>
    <row r="81">
      <c r="A81" s="225" t="s">
        <v>519</v>
      </c>
      <c r="B81" s="226" t="s">
        <v>137</v>
      </c>
      <c r="C81" s="227">
        <v>0.0</v>
      </c>
      <c r="D81" s="227" t="s">
        <v>332</v>
      </c>
      <c r="E81" s="93"/>
    </row>
    <row r="82">
      <c r="A82" s="225" t="s">
        <v>520</v>
      </c>
      <c r="B82" s="226" t="s">
        <v>137</v>
      </c>
      <c r="C82" s="227" t="s">
        <v>332</v>
      </c>
      <c r="D82" s="227" t="s">
        <v>318</v>
      </c>
      <c r="E82" s="93"/>
    </row>
    <row r="83">
      <c r="A83" s="225" t="s">
        <v>521</v>
      </c>
      <c r="B83" s="226" t="s">
        <v>137</v>
      </c>
      <c r="C83" s="227">
        <v>0.0</v>
      </c>
      <c r="D83" s="227" t="s">
        <v>332</v>
      </c>
      <c r="E83" s="93"/>
    </row>
    <row r="84">
      <c r="A84" s="225" t="s">
        <v>522</v>
      </c>
      <c r="B84" s="226" t="s">
        <v>137</v>
      </c>
      <c r="C84" s="227" t="s">
        <v>332</v>
      </c>
      <c r="D84" s="227" t="s">
        <v>332</v>
      </c>
      <c r="E84" s="93"/>
    </row>
    <row r="85">
      <c r="A85" s="225" t="s">
        <v>523</v>
      </c>
      <c r="B85" s="226" t="s">
        <v>137</v>
      </c>
      <c r="C85" s="227">
        <v>0.0</v>
      </c>
      <c r="D85" s="227" t="s">
        <v>332</v>
      </c>
      <c r="E85" s="93"/>
    </row>
    <row r="86">
      <c r="A86" s="225" t="s">
        <v>524</v>
      </c>
      <c r="B86" s="226" t="s">
        <v>525</v>
      </c>
      <c r="C86" s="227" t="s">
        <v>332</v>
      </c>
      <c r="D86" s="227" t="s">
        <v>321</v>
      </c>
      <c r="E86" s="93"/>
    </row>
    <row r="87">
      <c r="A87" s="225" t="s">
        <v>526</v>
      </c>
      <c r="B87" s="226" t="s">
        <v>138</v>
      </c>
      <c r="C87" s="227">
        <v>0.0</v>
      </c>
      <c r="D87" s="227" t="s">
        <v>332</v>
      </c>
      <c r="E87" s="93"/>
    </row>
    <row r="88">
      <c r="A88" s="225" t="s">
        <v>527</v>
      </c>
      <c r="B88" s="226" t="s">
        <v>138</v>
      </c>
      <c r="C88" s="227">
        <v>0.0</v>
      </c>
      <c r="D88" s="227" t="s">
        <v>332</v>
      </c>
      <c r="E88" s="93"/>
    </row>
    <row r="89">
      <c r="A89" s="225" t="s">
        <v>528</v>
      </c>
      <c r="B89" s="226" t="s">
        <v>138</v>
      </c>
      <c r="C89" s="227" t="s">
        <v>332</v>
      </c>
      <c r="D89" s="227" t="s">
        <v>332</v>
      </c>
      <c r="E89" s="93"/>
    </row>
    <row r="90">
      <c r="A90" s="225" t="s">
        <v>529</v>
      </c>
      <c r="B90" s="226" t="s">
        <v>138</v>
      </c>
      <c r="C90" s="227" t="s">
        <v>332</v>
      </c>
      <c r="D90" s="227" t="s">
        <v>332</v>
      </c>
      <c r="E90" s="93"/>
    </row>
    <row r="91">
      <c r="A91" s="225" t="s">
        <v>530</v>
      </c>
      <c r="B91" s="226" t="s">
        <v>139</v>
      </c>
      <c r="C91" s="227">
        <v>0.0</v>
      </c>
      <c r="D91" s="227" t="s">
        <v>332</v>
      </c>
      <c r="E91" s="93"/>
    </row>
    <row r="92">
      <c r="A92" s="225" t="s">
        <v>531</v>
      </c>
      <c r="B92" s="226" t="s">
        <v>139</v>
      </c>
      <c r="C92" s="227" t="s">
        <v>332</v>
      </c>
      <c r="D92" s="227" t="s">
        <v>332</v>
      </c>
      <c r="E92" s="93"/>
    </row>
    <row r="93">
      <c r="A93" s="225" t="s">
        <v>532</v>
      </c>
      <c r="B93" s="226" t="s">
        <v>139</v>
      </c>
      <c r="C93" s="227" t="s">
        <v>332</v>
      </c>
      <c r="D93" s="227" t="s">
        <v>318</v>
      </c>
      <c r="E93" s="93"/>
    </row>
    <row r="94">
      <c r="A94" s="225" t="s">
        <v>533</v>
      </c>
      <c r="B94" s="226" t="s">
        <v>139</v>
      </c>
      <c r="C94" s="227" t="s">
        <v>332</v>
      </c>
      <c r="D94" s="227" t="s">
        <v>332</v>
      </c>
      <c r="E94" s="93"/>
    </row>
    <row r="95">
      <c r="A95" s="225" t="s">
        <v>534</v>
      </c>
      <c r="B95" s="226" t="s">
        <v>139</v>
      </c>
      <c r="C95" s="227">
        <v>0.0</v>
      </c>
      <c r="D95" s="227" t="s">
        <v>332</v>
      </c>
      <c r="E95" s="93"/>
    </row>
    <row r="96">
      <c r="A96" s="225" t="s">
        <v>535</v>
      </c>
      <c r="B96" s="226" t="s">
        <v>139</v>
      </c>
      <c r="C96" s="227">
        <v>0.0</v>
      </c>
      <c r="D96" s="227" t="s">
        <v>332</v>
      </c>
      <c r="E96" s="93"/>
    </row>
    <row r="97">
      <c r="A97" s="225" t="s">
        <v>536</v>
      </c>
      <c r="B97" s="226" t="s">
        <v>139</v>
      </c>
      <c r="C97" s="227">
        <v>0.0</v>
      </c>
      <c r="D97" s="227" t="s">
        <v>332</v>
      </c>
      <c r="E97" s="93"/>
    </row>
    <row r="98">
      <c r="A98" s="225" t="s">
        <v>537</v>
      </c>
      <c r="B98" s="226" t="s">
        <v>139</v>
      </c>
      <c r="C98" s="227">
        <v>0.0</v>
      </c>
      <c r="D98" s="227" t="s">
        <v>332</v>
      </c>
      <c r="E98" s="93"/>
    </row>
    <row r="99">
      <c r="A99" s="225" t="s">
        <v>538</v>
      </c>
      <c r="B99" s="226" t="s">
        <v>139</v>
      </c>
      <c r="C99" s="227" t="s">
        <v>332</v>
      </c>
      <c r="D99" s="227" t="s">
        <v>332</v>
      </c>
      <c r="E99" s="93"/>
    </row>
    <row r="100">
      <c r="A100" s="225" t="s">
        <v>539</v>
      </c>
      <c r="B100" s="226" t="s">
        <v>139</v>
      </c>
      <c r="C100" s="227">
        <v>0.0</v>
      </c>
      <c r="D100" s="227" t="s">
        <v>332</v>
      </c>
      <c r="E100" s="93"/>
    </row>
    <row r="101">
      <c r="A101" s="225" t="s">
        <v>540</v>
      </c>
      <c r="B101" s="226" t="s">
        <v>139</v>
      </c>
      <c r="C101" s="227" t="s">
        <v>332</v>
      </c>
      <c r="D101" s="227" t="s">
        <v>332</v>
      </c>
      <c r="E101" s="93"/>
    </row>
    <row r="102">
      <c r="A102" s="225" t="s">
        <v>541</v>
      </c>
      <c r="B102" s="226" t="s">
        <v>542</v>
      </c>
      <c r="C102" s="227" t="s">
        <v>332</v>
      </c>
      <c r="D102" s="227" t="s">
        <v>332</v>
      </c>
      <c r="E102" s="93"/>
    </row>
    <row r="103">
      <c r="A103" s="225" t="s">
        <v>543</v>
      </c>
      <c r="B103" s="226" t="s">
        <v>542</v>
      </c>
      <c r="C103" s="227">
        <v>0.0</v>
      </c>
      <c r="D103" s="227" t="s">
        <v>332</v>
      </c>
      <c r="E103" s="93"/>
    </row>
    <row r="104">
      <c r="A104" s="225" t="s">
        <v>544</v>
      </c>
      <c r="B104" s="226" t="s">
        <v>141</v>
      </c>
      <c r="C104" s="227" t="s">
        <v>332</v>
      </c>
      <c r="D104" s="227" t="s">
        <v>332</v>
      </c>
      <c r="E104" s="93"/>
    </row>
    <row r="105">
      <c r="A105" s="225" t="s">
        <v>545</v>
      </c>
      <c r="B105" s="226" t="s">
        <v>546</v>
      </c>
      <c r="C105" s="227">
        <v>0.0</v>
      </c>
      <c r="D105" s="227" t="s">
        <v>332</v>
      </c>
      <c r="E105" s="93"/>
    </row>
    <row r="106">
      <c r="A106" s="225" t="s">
        <v>547</v>
      </c>
      <c r="B106" s="226" t="s">
        <v>546</v>
      </c>
      <c r="C106" s="227">
        <v>0.0</v>
      </c>
      <c r="D106" s="227" t="s">
        <v>332</v>
      </c>
      <c r="E106" s="93"/>
    </row>
    <row r="107">
      <c r="A107" s="225" t="s">
        <v>548</v>
      </c>
      <c r="B107" s="226" t="s">
        <v>549</v>
      </c>
      <c r="C107" s="227">
        <v>0.0</v>
      </c>
      <c r="D107" s="227" t="s">
        <v>332</v>
      </c>
      <c r="E107" s="93"/>
    </row>
    <row r="108">
      <c r="A108" s="225" t="s">
        <v>550</v>
      </c>
      <c r="B108" s="226" t="s">
        <v>549</v>
      </c>
      <c r="C108" s="227" t="s">
        <v>332</v>
      </c>
      <c r="D108" s="227" t="s">
        <v>332</v>
      </c>
      <c r="E108" s="93"/>
    </row>
    <row r="109">
      <c r="A109" s="225" t="s">
        <v>551</v>
      </c>
      <c r="B109" s="226" t="s">
        <v>552</v>
      </c>
      <c r="C109" s="227" t="s">
        <v>332</v>
      </c>
      <c r="D109" s="227" t="s">
        <v>332</v>
      </c>
      <c r="E109" s="93"/>
    </row>
    <row r="110">
      <c r="A110" s="225" t="s">
        <v>553</v>
      </c>
      <c r="B110" s="226" t="s">
        <v>144</v>
      </c>
      <c r="C110" s="227">
        <v>0.0</v>
      </c>
      <c r="D110" s="227" t="s">
        <v>332</v>
      </c>
      <c r="E110" s="93"/>
    </row>
    <row r="111">
      <c r="A111" s="225" t="s">
        <v>554</v>
      </c>
      <c r="B111" s="226" t="s">
        <v>145</v>
      </c>
      <c r="C111" s="227">
        <v>0.0</v>
      </c>
      <c r="D111" s="227" t="s">
        <v>332</v>
      </c>
      <c r="E111" s="93"/>
    </row>
    <row r="112">
      <c r="A112" s="225" t="s">
        <v>555</v>
      </c>
      <c r="B112" s="226" t="s">
        <v>145</v>
      </c>
      <c r="C112" s="227">
        <v>0.0</v>
      </c>
      <c r="D112" s="227" t="s">
        <v>332</v>
      </c>
      <c r="E112" s="93"/>
    </row>
    <row r="113">
      <c r="A113" s="225" t="s">
        <v>556</v>
      </c>
      <c r="B113" s="226" t="s">
        <v>145</v>
      </c>
      <c r="C113" s="227">
        <v>0.0</v>
      </c>
      <c r="D113" s="227" t="s">
        <v>332</v>
      </c>
      <c r="E113" s="93"/>
    </row>
    <row r="114">
      <c r="A114" s="225" t="s">
        <v>557</v>
      </c>
      <c r="B114" s="226" t="s">
        <v>145</v>
      </c>
      <c r="C114" s="227">
        <v>0.0</v>
      </c>
      <c r="D114" s="227" t="s">
        <v>332</v>
      </c>
      <c r="E114" s="93"/>
    </row>
    <row r="115">
      <c r="A115" s="225" t="s">
        <v>558</v>
      </c>
      <c r="B115" s="226" t="s">
        <v>145</v>
      </c>
      <c r="C115" s="227">
        <v>0.0</v>
      </c>
      <c r="D115" s="227" t="s">
        <v>332</v>
      </c>
      <c r="E115" s="93"/>
    </row>
    <row r="116">
      <c r="A116" s="225" t="s">
        <v>559</v>
      </c>
      <c r="B116" s="226" t="s">
        <v>145</v>
      </c>
      <c r="C116" s="227" t="s">
        <v>332</v>
      </c>
      <c r="D116" s="227" t="s">
        <v>332</v>
      </c>
      <c r="E116" s="93"/>
    </row>
    <row r="117">
      <c r="A117" s="225" t="s">
        <v>560</v>
      </c>
      <c r="B117" s="226" t="s">
        <v>560</v>
      </c>
      <c r="C117" s="227" t="s">
        <v>332</v>
      </c>
      <c r="D117" s="227" t="s">
        <v>332</v>
      </c>
      <c r="E117" s="93"/>
    </row>
    <row r="118">
      <c r="A118" s="225" t="s">
        <v>561</v>
      </c>
      <c r="B118" s="226" t="s">
        <v>146</v>
      </c>
      <c r="C118" s="227" t="s">
        <v>332</v>
      </c>
      <c r="D118" s="227" t="s">
        <v>332</v>
      </c>
      <c r="E118" s="93"/>
    </row>
    <row r="119">
      <c r="A119" s="225" t="s">
        <v>562</v>
      </c>
      <c r="B119" s="226" t="s">
        <v>146</v>
      </c>
      <c r="C119" s="227">
        <v>0.0</v>
      </c>
      <c r="D119" s="227" t="s">
        <v>332</v>
      </c>
      <c r="E119" s="93"/>
    </row>
    <row r="120">
      <c r="A120" s="225" t="s">
        <v>563</v>
      </c>
      <c r="B120" s="226" t="s">
        <v>146</v>
      </c>
      <c r="C120" s="227" t="s">
        <v>332</v>
      </c>
      <c r="D120" s="227" t="s">
        <v>318</v>
      </c>
      <c r="E120" s="93"/>
    </row>
    <row r="121">
      <c r="A121" s="225" t="s">
        <v>564</v>
      </c>
      <c r="B121" s="226" t="s">
        <v>146</v>
      </c>
      <c r="C121" s="227" t="s">
        <v>332</v>
      </c>
      <c r="D121" s="227" t="s">
        <v>332</v>
      </c>
      <c r="E121" s="93"/>
    </row>
    <row r="122">
      <c r="A122" s="225" t="s">
        <v>565</v>
      </c>
      <c r="B122" s="226" t="s">
        <v>146</v>
      </c>
      <c r="C122" s="227">
        <v>0.0</v>
      </c>
      <c r="D122" s="227" t="s">
        <v>332</v>
      </c>
      <c r="E122" s="93"/>
    </row>
    <row r="123">
      <c r="A123" s="225" t="s">
        <v>566</v>
      </c>
      <c r="B123" s="226" t="s">
        <v>147</v>
      </c>
      <c r="C123" s="227" t="s">
        <v>332</v>
      </c>
      <c r="D123" s="227" t="s">
        <v>332</v>
      </c>
      <c r="E123" s="93"/>
    </row>
    <row r="124">
      <c r="A124" s="225" t="s">
        <v>567</v>
      </c>
      <c r="B124" s="226" t="s">
        <v>568</v>
      </c>
      <c r="C124" s="227">
        <v>0.0</v>
      </c>
      <c r="D124" s="227" t="s">
        <v>332</v>
      </c>
      <c r="E124" s="93"/>
    </row>
    <row r="125">
      <c r="A125" s="225" t="s">
        <v>569</v>
      </c>
      <c r="B125" s="226" t="s">
        <v>148</v>
      </c>
      <c r="C125" s="227" t="s">
        <v>327</v>
      </c>
      <c r="D125" s="227" t="s">
        <v>327</v>
      </c>
      <c r="E125" s="93"/>
    </row>
    <row r="126">
      <c r="A126" s="225" t="s">
        <v>570</v>
      </c>
      <c r="B126" s="226" t="s">
        <v>149</v>
      </c>
      <c r="C126" s="227">
        <v>0.0</v>
      </c>
      <c r="D126" s="227" t="s">
        <v>332</v>
      </c>
      <c r="E126" s="93"/>
    </row>
    <row r="127">
      <c r="A127" s="225" t="s">
        <v>571</v>
      </c>
      <c r="B127" s="226" t="s">
        <v>149</v>
      </c>
      <c r="C127" s="227" t="s">
        <v>332</v>
      </c>
      <c r="D127" s="227" t="s">
        <v>332</v>
      </c>
      <c r="E127" s="93"/>
    </row>
    <row r="128">
      <c r="A128" s="225" t="s">
        <v>572</v>
      </c>
      <c r="B128" s="226" t="s">
        <v>149</v>
      </c>
      <c r="C128" s="227">
        <v>0.0</v>
      </c>
      <c r="D128" s="227" t="s">
        <v>332</v>
      </c>
      <c r="E128" s="93"/>
    </row>
    <row r="129">
      <c r="A129" s="225" t="s">
        <v>573</v>
      </c>
      <c r="B129" s="226" t="s">
        <v>151</v>
      </c>
      <c r="C129" s="227" t="s">
        <v>332</v>
      </c>
      <c r="D129" s="227" t="s">
        <v>332</v>
      </c>
      <c r="E129" s="93"/>
    </row>
    <row r="130">
      <c r="A130" s="225" t="s">
        <v>574</v>
      </c>
      <c r="B130" s="226" t="s">
        <v>152</v>
      </c>
      <c r="C130" s="227">
        <v>0.0</v>
      </c>
      <c r="D130" s="227" t="s">
        <v>332</v>
      </c>
      <c r="E130" s="93"/>
    </row>
    <row r="131">
      <c r="A131" s="225" t="s">
        <v>575</v>
      </c>
      <c r="B131" s="226" t="s">
        <v>152</v>
      </c>
      <c r="C131" s="227" t="s">
        <v>332</v>
      </c>
      <c r="D131" s="227" t="s">
        <v>332</v>
      </c>
      <c r="E131" s="93"/>
    </row>
    <row r="132">
      <c r="A132" s="225" t="s">
        <v>576</v>
      </c>
      <c r="B132" s="226" t="s">
        <v>152</v>
      </c>
      <c r="C132" s="227" t="s">
        <v>332</v>
      </c>
      <c r="D132" s="227" t="s">
        <v>332</v>
      </c>
      <c r="E132" s="93"/>
    </row>
    <row r="133">
      <c r="A133" s="225" t="s">
        <v>577</v>
      </c>
      <c r="B133" s="226" t="s">
        <v>152</v>
      </c>
      <c r="C133" s="227">
        <v>0.0</v>
      </c>
      <c r="D133" s="227" t="s">
        <v>318</v>
      </c>
      <c r="E133" s="93"/>
    </row>
    <row r="134">
      <c r="A134" s="225" t="s">
        <v>578</v>
      </c>
      <c r="B134" s="226" t="s">
        <v>152</v>
      </c>
      <c r="C134" s="227">
        <v>0.0</v>
      </c>
      <c r="D134" s="227" t="s">
        <v>332</v>
      </c>
      <c r="E134" s="93"/>
    </row>
    <row r="135">
      <c r="A135" s="225" t="s">
        <v>579</v>
      </c>
      <c r="B135" s="226" t="s">
        <v>153</v>
      </c>
      <c r="C135" s="227" t="s">
        <v>332</v>
      </c>
      <c r="D135" s="227" t="s">
        <v>318</v>
      </c>
      <c r="E135" s="93"/>
    </row>
    <row r="136">
      <c r="A136" s="225" t="s">
        <v>580</v>
      </c>
      <c r="B136" s="226" t="s">
        <v>153</v>
      </c>
      <c r="C136" s="227">
        <v>0.0</v>
      </c>
      <c r="D136" s="227" t="s">
        <v>332</v>
      </c>
      <c r="E136" s="93"/>
    </row>
    <row r="137">
      <c r="A137" s="225" t="s">
        <v>581</v>
      </c>
      <c r="B137" s="226" t="s">
        <v>153</v>
      </c>
      <c r="C137" s="227" t="s">
        <v>332</v>
      </c>
      <c r="D137" s="227" t="s">
        <v>332</v>
      </c>
      <c r="E137" s="93"/>
    </row>
    <row r="138">
      <c r="A138" s="225" t="s">
        <v>582</v>
      </c>
      <c r="B138" s="226" t="s">
        <v>153</v>
      </c>
      <c r="C138" s="227">
        <v>0.0</v>
      </c>
      <c r="D138" s="227" t="s">
        <v>332</v>
      </c>
      <c r="E138" s="93"/>
    </row>
    <row r="139">
      <c r="A139" s="225" t="s">
        <v>583</v>
      </c>
      <c r="B139" s="226" t="s">
        <v>153</v>
      </c>
      <c r="C139" s="227" t="s">
        <v>332</v>
      </c>
      <c r="D139" s="227" t="s">
        <v>327</v>
      </c>
      <c r="E139" s="93"/>
    </row>
    <row r="140">
      <c r="A140" s="225" t="s">
        <v>584</v>
      </c>
      <c r="B140" s="226" t="s">
        <v>153</v>
      </c>
      <c r="C140" s="227" t="s">
        <v>332</v>
      </c>
      <c r="D140" s="227" t="s">
        <v>332</v>
      </c>
      <c r="E140" s="93"/>
    </row>
    <row r="141">
      <c r="A141" s="225" t="s">
        <v>585</v>
      </c>
      <c r="B141" s="226" t="s">
        <v>154</v>
      </c>
      <c r="C141" s="227" t="s">
        <v>332</v>
      </c>
      <c r="D141" s="227" t="s">
        <v>332</v>
      </c>
      <c r="E141" s="93"/>
    </row>
    <row r="142">
      <c r="A142" s="225" t="s">
        <v>586</v>
      </c>
      <c r="B142" s="226" t="s">
        <v>154</v>
      </c>
      <c r="C142" s="227">
        <v>0.0</v>
      </c>
      <c r="D142" s="227" t="s">
        <v>332</v>
      </c>
      <c r="E142" s="93"/>
    </row>
    <row r="143">
      <c r="A143" s="225" t="s">
        <v>587</v>
      </c>
      <c r="B143" s="226" t="s">
        <v>154</v>
      </c>
      <c r="C143" s="227" t="s">
        <v>332</v>
      </c>
      <c r="D143" s="227" t="s">
        <v>332</v>
      </c>
      <c r="E143" s="93"/>
    </row>
    <row r="144">
      <c r="A144" s="225" t="s">
        <v>588</v>
      </c>
      <c r="B144" s="226" t="s">
        <v>589</v>
      </c>
      <c r="C144" s="227">
        <v>0.0</v>
      </c>
      <c r="D144" s="227" t="s">
        <v>332</v>
      </c>
      <c r="E144" s="93"/>
    </row>
    <row r="145">
      <c r="A145" s="225" t="s">
        <v>590</v>
      </c>
      <c r="B145" s="226" t="s">
        <v>589</v>
      </c>
      <c r="C145" s="227" t="s">
        <v>332</v>
      </c>
      <c r="D145" s="227" t="s">
        <v>332</v>
      </c>
      <c r="E145" s="93"/>
    </row>
    <row r="146">
      <c r="A146" s="225" t="s">
        <v>591</v>
      </c>
      <c r="B146" s="226" t="s">
        <v>589</v>
      </c>
      <c r="C146" s="227">
        <v>0.0</v>
      </c>
      <c r="D146" s="227" t="s">
        <v>332</v>
      </c>
      <c r="E146" s="93"/>
    </row>
    <row r="147">
      <c r="A147" s="225" t="s">
        <v>592</v>
      </c>
      <c r="B147" s="226" t="s">
        <v>155</v>
      </c>
      <c r="C147" s="227">
        <v>0.0</v>
      </c>
      <c r="D147" s="227" t="s">
        <v>332</v>
      </c>
      <c r="E147" s="93"/>
    </row>
    <row r="148">
      <c r="A148" s="225" t="s">
        <v>593</v>
      </c>
      <c r="B148" s="226" t="s">
        <v>155</v>
      </c>
      <c r="C148" s="227">
        <v>0.0</v>
      </c>
      <c r="D148" s="227" t="s">
        <v>332</v>
      </c>
      <c r="E148" s="93"/>
    </row>
    <row r="149">
      <c r="A149" s="225" t="s">
        <v>594</v>
      </c>
      <c r="B149" s="226" t="s">
        <v>155</v>
      </c>
      <c r="C149" s="227" t="s">
        <v>332</v>
      </c>
      <c r="D149" s="227" t="s">
        <v>318</v>
      </c>
      <c r="E149" s="93"/>
    </row>
    <row r="150">
      <c r="A150" s="225" t="s">
        <v>595</v>
      </c>
      <c r="B150" s="226" t="s">
        <v>155</v>
      </c>
      <c r="C150" s="227" t="s">
        <v>332</v>
      </c>
      <c r="D150" s="227" t="s">
        <v>332</v>
      </c>
      <c r="E150" s="93"/>
    </row>
    <row r="151">
      <c r="A151" s="225" t="s">
        <v>596</v>
      </c>
      <c r="B151" s="226" t="s">
        <v>155</v>
      </c>
      <c r="C151" s="227">
        <v>0.0</v>
      </c>
      <c r="D151" s="227" t="s">
        <v>332</v>
      </c>
      <c r="E151" s="93"/>
    </row>
    <row r="152">
      <c r="A152" s="225" t="s">
        <v>597</v>
      </c>
      <c r="B152" s="226" t="s">
        <v>155</v>
      </c>
      <c r="C152" s="227" t="s">
        <v>332</v>
      </c>
      <c r="D152" s="227" t="s">
        <v>332</v>
      </c>
      <c r="E152" s="93"/>
    </row>
    <row r="153">
      <c r="A153" s="225" t="s">
        <v>598</v>
      </c>
      <c r="B153" s="226" t="s">
        <v>155</v>
      </c>
      <c r="C153" s="227" t="s">
        <v>332</v>
      </c>
      <c r="D153" s="227" t="s">
        <v>332</v>
      </c>
      <c r="E153" s="93"/>
    </row>
    <row r="154">
      <c r="A154" s="225" t="s">
        <v>599</v>
      </c>
      <c r="B154" s="226" t="s">
        <v>155</v>
      </c>
      <c r="C154" s="227">
        <v>0.0</v>
      </c>
      <c r="D154" s="227" t="s">
        <v>332</v>
      </c>
      <c r="E154" s="93"/>
    </row>
    <row r="155">
      <c r="A155" s="225" t="s">
        <v>600</v>
      </c>
      <c r="B155" s="226" t="s">
        <v>156</v>
      </c>
      <c r="C155" s="227" t="s">
        <v>332</v>
      </c>
      <c r="D155" s="227" t="s">
        <v>332</v>
      </c>
      <c r="E155" s="93"/>
    </row>
    <row r="156">
      <c r="A156" s="225" t="s">
        <v>601</v>
      </c>
      <c r="B156" s="226" t="s">
        <v>156</v>
      </c>
      <c r="C156" s="227" t="s">
        <v>332</v>
      </c>
      <c r="D156" s="227" t="s">
        <v>332</v>
      </c>
      <c r="E156" s="93"/>
    </row>
    <row r="157">
      <c r="A157" s="225" t="s">
        <v>602</v>
      </c>
      <c r="B157" s="226" t="s">
        <v>603</v>
      </c>
      <c r="C157" s="227">
        <v>0.0</v>
      </c>
      <c r="D157" s="227" t="s">
        <v>332</v>
      </c>
      <c r="E157" s="93"/>
    </row>
    <row r="158">
      <c r="A158" s="225" t="s">
        <v>604</v>
      </c>
      <c r="B158" s="226" t="s">
        <v>603</v>
      </c>
      <c r="C158" s="227">
        <v>0.0</v>
      </c>
      <c r="D158" s="227" t="s">
        <v>332</v>
      </c>
      <c r="E158" s="93"/>
    </row>
    <row r="159">
      <c r="A159" s="225" t="s">
        <v>605</v>
      </c>
      <c r="B159" s="226" t="s">
        <v>603</v>
      </c>
      <c r="C159" s="227" t="s">
        <v>332</v>
      </c>
      <c r="D159" s="227" t="s">
        <v>332</v>
      </c>
      <c r="E159" s="93"/>
    </row>
    <row r="160">
      <c r="A160" s="225" t="s">
        <v>606</v>
      </c>
      <c r="B160" s="226" t="s">
        <v>603</v>
      </c>
      <c r="C160" s="227" t="s">
        <v>332</v>
      </c>
      <c r="D160" s="227" t="s">
        <v>332</v>
      </c>
      <c r="E160" s="93"/>
    </row>
    <row r="161">
      <c r="A161" s="225" t="s">
        <v>607</v>
      </c>
      <c r="B161" s="226" t="s">
        <v>603</v>
      </c>
      <c r="C161" s="227">
        <v>0.0</v>
      </c>
      <c r="D161" s="227" t="s">
        <v>332</v>
      </c>
      <c r="E161" s="93"/>
    </row>
    <row r="162">
      <c r="A162" s="225" t="s">
        <v>608</v>
      </c>
      <c r="B162" s="226" t="s">
        <v>603</v>
      </c>
      <c r="C162" s="227" t="s">
        <v>332</v>
      </c>
      <c r="D162" s="227" t="s">
        <v>318</v>
      </c>
      <c r="E162" s="93"/>
    </row>
    <row r="163">
      <c r="A163" s="225" t="s">
        <v>609</v>
      </c>
      <c r="B163" s="226" t="s">
        <v>603</v>
      </c>
      <c r="C163" s="227">
        <v>0.0</v>
      </c>
      <c r="D163" s="227" t="s">
        <v>332</v>
      </c>
      <c r="E163" s="93"/>
    </row>
    <row r="164">
      <c r="A164" s="225" t="s">
        <v>610</v>
      </c>
      <c r="B164" s="226" t="s">
        <v>603</v>
      </c>
      <c r="C164" s="227">
        <v>0.0</v>
      </c>
      <c r="D164" s="227" t="s">
        <v>332</v>
      </c>
      <c r="E164" s="93"/>
    </row>
    <row r="165">
      <c r="A165" s="225" t="s">
        <v>611</v>
      </c>
      <c r="B165" s="226" t="s">
        <v>603</v>
      </c>
      <c r="C165" s="227">
        <v>0.0</v>
      </c>
      <c r="D165" s="227" t="s">
        <v>332</v>
      </c>
      <c r="E165" s="93"/>
    </row>
    <row r="166">
      <c r="A166" s="225" t="s">
        <v>612</v>
      </c>
      <c r="B166" s="226" t="s">
        <v>603</v>
      </c>
      <c r="C166" s="227" t="s">
        <v>332</v>
      </c>
      <c r="D166" s="227" t="s">
        <v>332</v>
      </c>
      <c r="E166" s="93"/>
    </row>
    <row r="167">
      <c r="A167" s="225" t="s">
        <v>613</v>
      </c>
      <c r="B167" s="226" t="s">
        <v>603</v>
      </c>
      <c r="C167" s="227" t="s">
        <v>332</v>
      </c>
      <c r="D167" s="227" t="s">
        <v>318</v>
      </c>
      <c r="E167" s="93"/>
    </row>
    <row r="168">
      <c r="A168" s="225" t="s">
        <v>614</v>
      </c>
      <c r="B168" s="226" t="s">
        <v>603</v>
      </c>
      <c r="C168" s="227" t="s">
        <v>332</v>
      </c>
      <c r="D168" s="227" t="s">
        <v>332</v>
      </c>
      <c r="E168" s="93"/>
    </row>
    <row r="169">
      <c r="A169" s="225" t="s">
        <v>615</v>
      </c>
      <c r="B169" s="226" t="s">
        <v>603</v>
      </c>
      <c r="C169" s="227">
        <v>0.0</v>
      </c>
      <c r="D169" s="227" t="s">
        <v>332</v>
      </c>
      <c r="E169" s="93"/>
    </row>
    <row r="170">
      <c r="A170" s="225" t="s">
        <v>616</v>
      </c>
      <c r="B170" s="226" t="s">
        <v>603</v>
      </c>
      <c r="C170" s="227" t="s">
        <v>332</v>
      </c>
      <c r="D170" s="227" t="s">
        <v>332</v>
      </c>
      <c r="E170" s="93"/>
    </row>
    <row r="171">
      <c r="A171" s="225" t="s">
        <v>617</v>
      </c>
      <c r="B171" s="226" t="s">
        <v>603</v>
      </c>
      <c r="C171" s="227">
        <v>0.0</v>
      </c>
      <c r="D171" s="227" t="s">
        <v>332</v>
      </c>
      <c r="E171" s="93"/>
    </row>
    <row r="172">
      <c r="A172" s="225" t="s">
        <v>618</v>
      </c>
      <c r="B172" s="226" t="s">
        <v>603</v>
      </c>
      <c r="C172" s="227">
        <v>0.0</v>
      </c>
      <c r="D172" s="227" t="s">
        <v>332</v>
      </c>
      <c r="E172" s="93"/>
    </row>
    <row r="173">
      <c r="A173" s="225" t="s">
        <v>619</v>
      </c>
      <c r="B173" s="226" t="s">
        <v>603</v>
      </c>
      <c r="C173" s="227">
        <v>0.0</v>
      </c>
      <c r="D173" s="227" t="s">
        <v>332</v>
      </c>
      <c r="E173" s="93"/>
    </row>
    <row r="174">
      <c r="A174" s="225" t="s">
        <v>620</v>
      </c>
      <c r="B174" s="226" t="s">
        <v>603</v>
      </c>
      <c r="C174" s="227" t="s">
        <v>332</v>
      </c>
      <c r="D174" s="227" t="s">
        <v>332</v>
      </c>
      <c r="E174" s="93"/>
    </row>
    <row r="175">
      <c r="A175" s="225" t="s">
        <v>621</v>
      </c>
      <c r="B175" s="226" t="s">
        <v>603</v>
      </c>
      <c r="C175" s="227">
        <v>0.0</v>
      </c>
      <c r="D175" s="227" t="s">
        <v>332</v>
      </c>
      <c r="E175" s="93"/>
    </row>
    <row r="176">
      <c r="A176" s="225" t="s">
        <v>622</v>
      </c>
      <c r="B176" s="226" t="s">
        <v>603</v>
      </c>
      <c r="C176" s="227">
        <v>0.0</v>
      </c>
      <c r="D176" s="227" t="s">
        <v>332</v>
      </c>
      <c r="E176" s="93"/>
    </row>
    <row r="177">
      <c r="A177" s="225" t="s">
        <v>623</v>
      </c>
      <c r="B177" s="226" t="s">
        <v>603</v>
      </c>
      <c r="C177" s="227" t="s">
        <v>332</v>
      </c>
      <c r="D177" s="227" t="s">
        <v>332</v>
      </c>
      <c r="E177" s="93"/>
    </row>
    <row r="178">
      <c r="A178" s="225" t="s">
        <v>624</v>
      </c>
      <c r="B178" s="226" t="s">
        <v>603</v>
      </c>
      <c r="C178" s="227" t="s">
        <v>332</v>
      </c>
      <c r="D178" s="227" t="s">
        <v>332</v>
      </c>
      <c r="E178" s="93"/>
    </row>
    <row r="179">
      <c r="A179" s="225" t="s">
        <v>625</v>
      </c>
      <c r="B179" s="226" t="s">
        <v>603</v>
      </c>
      <c r="C179" s="227">
        <v>0.0</v>
      </c>
      <c r="D179" s="227" t="s">
        <v>332</v>
      </c>
      <c r="E179" s="93"/>
    </row>
    <row r="180">
      <c r="A180" s="225" t="s">
        <v>626</v>
      </c>
      <c r="B180" s="226" t="s">
        <v>603</v>
      </c>
      <c r="C180" s="227" t="s">
        <v>332</v>
      </c>
      <c r="D180" s="227" t="s">
        <v>332</v>
      </c>
      <c r="E180" s="93"/>
    </row>
    <row r="181">
      <c r="A181" s="225" t="s">
        <v>627</v>
      </c>
      <c r="B181" s="226" t="s">
        <v>603</v>
      </c>
      <c r="C181" s="227" t="s">
        <v>332</v>
      </c>
      <c r="D181" s="227" t="s">
        <v>332</v>
      </c>
      <c r="E181" s="93"/>
    </row>
    <row r="182">
      <c r="A182" s="225" t="s">
        <v>628</v>
      </c>
      <c r="B182" s="226" t="s">
        <v>603</v>
      </c>
      <c r="C182" s="227">
        <v>0.0</v>
      </c>
      <c r="D182" s="227" t="s">
        <v>332</v>
      </c>
      <c r="E182" s="93"/>
    </row>
    <row r="183">
      <c r="A183" s="225" t="s">
        <v>629</v>
      </c>
      <c r="B183" s="226" t="s">
        <v>603</v>
      </c>
      <c r="C183" s="227">
        <v>0.0</v>
      </c>
      <c r="D183" s="227" t="s">
        <v>332</v>
      </c>
      <c r="E183" s="93"/>
    </row>
    <row r="184">
      <c r="A184" s="225" t="s">
        <v>630</v>
      </c>
      <c r="B184" s="226" t="s">
        <v>603</v>
      </c>
      <c r="C184" s="227">
        <v>0.0</v>
      </c>
      <c r="D184" s="227" t="s">
        <v>332</v>
      </c>
      <c r="E184" s="93"/>
    </row>
    <row r="185">
      <c r="A185" s="225" t="s">
        <v>631</v>
      </c>
      <c r="B185" s="226" t="s">
        <v>157</v>
      </c>
      <c r="C185" s="227">
        <v>0.0</v>
      </c>
      <c r="D185" s="227" t="s">
        <v>332</v>
      </c>
      <c r="E185" s="93"/>
    </row>
    <row r="186">
      <c r="A186" s="225" t="s">
        <v>632</v>
      </c>
      <c r="B186" s="226" t="s">
        <v>157</v>
      </c>
      <c r="C186" s="227">
        <v>0.0</v>
      </c>
      <c r="D186" s="227" t="s">
        <v>332</v>
      </c>
      <c r="E186" s="93"/>
    </row>
    <row r="187">
      <c r="A187" s="225" t="s">
        <v>633</v>
      </c>
      <c r="B187" s="226" t="s">
        <v>157</v>
      </c>
      <c r="C187" s="227">
        <v>0.0</v>
      </c>
      <c r="D187" s="227" t="s">
        <v>332</v>
      </c>
      <c r="E187" s="93"/>
    </row>
    <row r="188">
      <c r="A188" s="225" t="s">
        <v>634</v>
      </c>
      <c r="B188" s="226" t="s">
        <v>157</v>
      </c>
      <c r="C188" s="227">
        <v>0.0</v>
      </c>
      <c r="D188" s="227" t="s">
        <v>332</v>
      </c>
      <c r="E188" s="93"/>
    </row>
    <row r="189">
      <c r="A189" s="225" t="s">
        <v>635</v>
      </c>
      <c r="B189" s="226" t="s">
        <v>157</v>
      </c>
      <c r="C189" s="227">
        <v>0.0</v>
      </c>
      <c r="D189" s="227" t="s">
        <v>332</v>
      </c>
      <c r="E189" s="93"/>
    </row>
    <row r="190">
      <c r="A190" s="225" t="s">
        <v>636</v>
      </c>
      <c r="B190" s="226" t="s">
        <v>157</v>
      </c>
      <c r="C190" s="227">
        <v>0.0</v>
      </c>
      <c r="D190" s="227" t="s">
        <v>332</v>
      </c>
      <c r="E190" s="93"/>
    </row>
    <row r="191">
      <c r="A191" s="225" t="s">
        <v>637</v>
      </c>
      <c r="B191" s="226" t="s">
        <v>157</v>
      </c>
      <c r="C191" s="227" t="s">
        <v>318</v>
      </c>
      <c r="D191" s="227" t="s">
        <v>327</v>
      </c>
      <c r="E191" s="93"/>
    </row>
    <row r="192">
      <c r="A192" s="225" t="s">
        <v>638</v>
      </c>
      <c r="B192" s="226" t="s">
        <v>157</v>
      </c>
      <c r="C192" s="227">
        <v>0.0</v>
      </c>
      <c r="D192" s="227" t="s">
        <v>332</v>
      </c>
      <c r="E192" s="93"/>
    </row>
    <row r="193">
      <c r="A193" s="225" t="s">
        <v>639</v>
      </c>
      <c r="B193" s="226" t="s">
        <v>157</v>
      </c>
      <c r="C193" s="227">
        <v>0.0</v>
      </c>
      <c r="D193" s="227" t="s">
        <v>318</v>
      </c>
      <c r="E193" s="93"/>
    </row>
    <row r="194">
      <c r="A194" s="225" t="s">
        <v>640</v>
      </c>
      <c r="B194" s="226" t="s">
        <v>157</v>
      </c>
      <c r="C194" s="227">
        <v>0.0</v>
      </c>
      <c r="D194" s="227" t="s">
        <v>332</v>
      </c>
      <c r="E194" s="93"/>
    </row>
    <row r="195">
      <c r="A195" s="225" t="s">
        <v>641</v>
      </c>
      <c r="B195" s="226" t="s">
        <v>157</v>
      </c>
      <c r="C195" s="227">
        <v>0.0</v>
      </c>
      <c r="D195" s="227" t="s">
        <v>318</v>
      </c>
      <c r="E195" s="93"/>
    </row>
    <row r="196">
      <c r="A196" s="225" t="s">
        <v>642</v>
      </c>
      <c r="B196" s="226" t="s">
        <v>157</v>
      </c>
      <c r="C196" s="227">
        <v>0.0</v>
      </c>
      <c r="D196" s="227" t="s">
        <v>318</v>
      </c>
      <c r="E196" s="93"/>
    </row>
    <row r="197">
      <c r="A197" s="225" t="s">
        <v>643</v>
      </c>
      <c r="B197" s="226" t="s">
        <v>157</v>
      </c>
      <c r="C197" s="227">
        <v>0.0</v>
      </c>
      <c r="D197" s="227" t="s">
        <v>332</v>
      </c>
      <c r="E197" s="93"/>
    </row>
    <row r="198">
      <c r="A198" s="225" t="s">
        <v>644</v>
      </c>
      <c r="B198" s="226" t="s">
        <v>157</v>
      </c>
      <c r="C198" s="227">
        <v>0.0</v>
      </c>
      <c r="D198" s="227" t="s">
        <v>332</v>
      </c>
      <c r="E198" s="93"/>
    </row>
    <row r="199">
      <c r="A199" s="225" t="s">
        <v>645</v>
      </c>
      <c r="B199" s="226" t="s">
        <v>157</v>
      </c>
      <c r="C199" s="227">
        <v>0.0</v>
      </c>
      <c r="D199" s="227" t="s">
        <v>332</v>
      </c>
      <c r="E199" s="93"/>
    </row>
    <row r="200">
      <c r="A200" s="225" t="s">
        <v>646</v>
      </c>
      <c r="B200" s="226" t="s">
        <v>157</v>
      </c>
      <c r="C200" s="227" t="s">
        <v>332</v>
      </c>
      <c r="D200" s="227" t="s">
        <v>332</v>
      </c>
      <c r="E200" s="93"/>
    </row>
    <row r="201">
      <c r="A201" s="225" t="s">
        <v>647</v>
      </c>
      <c r="B201" s="226" t="s">
        <v>157</v>
      </c>
      <c r="C201" s="227" t="s">
        <v>332</v>
      </c>
      <c r="D201" s="227" t="s">
        <v>332</v>
      </c>
      <c r="E201" s="93"/>
    </row>
    <row r="202">
      <c r="A202" s="225" t="s">
        <v>648</v>
      </c>
      <c r="B202" s="226" t="s">
        <v>157</v>
      </c>
      <c r="C202" s="227">
        <v>0.0</v>
      </c>
      <c r="D202" s="227" t="s">
        <v>332</v>
      </c>
      <c r="E202" s="93"/>
    </row>
    <row r="203">
      <c r="A203" s="225" t="s">
        <v>649</v>
      </c>
      <c r="B203" s="226" t="s">
        <v>157</v>
      </c>
      <c r="C203" s="227" t="s">
        <v>318</v>
      </c>
      <c r="D203" s="227" t="s">
        <v>327</v>
      </c>
      <c r="E203" s="93"/>
    </row>
    <row r="204">
      <c r="A204" s="225" t="s">
        <v>650</v>
      </c>
      <c r="B204" s="226" t="s">
        <v>157</v>
      </c>
      <c r="C204" s="227" t="s">
        <v>332</v>
      </c>
      <c r="D204" s="227" t="s">
        <v>332</v>
      </c>
      <c r="E204" s="93"/>
    </row>
    <row r="205">
      <c r="A205" s="225" t="s">
        <v>651</v>
      </c>
      <c r="B205" s="226" t="s">
        <v>157</v>
      </c>
      <c r="C205" s="227" t="s">
        <v>332</v>
      </c>
      <c r="D205" s="227" t="s">
        <v>332</v>
      </c>
      <c r="E205" s="93"/>
    </row>
    <row r="206">
      <c r="A206" s="225" t="s">
        <v>652</v>
      </c>
      <c r="B206" s="226" t="s">
        <v>157</v>
      </c>
      <c r="C206" s="227" t="s">
        <v>332</v>
      </c>
      <c r="D206" s="227" t="s">
        <v>332</v>
      </c>
      <c r="E206" s="93"/>
    </row>
    <row r="207">
      <c r="A207" s="225" t="s">
        <v>653</v>
      </c>
      <c r="B207" s="226" t="s">
        <v>157</v>
      </c>
      <c r="C207" s="227" t="s">
        <v>332</v>
      </c>
      <c r="D207" s="227" t="s">
        <v>332</v>
      </c>
      <c r="E207" s="93"/>
    </row>
    <row r="208">
      <c r="A208" s="225" t="s">
        <v>654</v>
      </c>
      <c r="B208" s="226" t="s">
        <v>157</v>
      </c>
      <c r="C208" s="227" t="s">
        <v>332</v>
      </c>
      <c r="D208" s="227" t="s">
        <v>327</v>
      </c>
      <c r="E208" s="93"/>
    </row>
    <row r="209">
      <c r="A209" s="225" t="s">
        <v>655</v>
      </c>
      <c r="B209" s="226" t="s">
        <v>157</v>
      </c>
      <c r="C209" s="227" t="s">
        <v>332</v>
      </c>
      <c r="D209" s="227" t="s">
        <v>332</v>
      </c>
      <c r="E209" s="93"/>
    </row>
    <row r="210">
      <c r="A210" s="225" t="s">
        <v>656</v>
      </c>
      <c r="B210" s="226" t="s">
        <v>157</v>
      </c>
      <c r="C210" s="227" t="s">
        <v>332</v>
      </c>
      <c r="D210" s="227" t="s">
        <v>318</v>
      </c>
      <c r="E210" s="93"/>
    </row>
    <row r="211">
      <c r="A211" s="225" t="s">
        <v>657</v>
      </c>
      <c r="B211" s="226" t="s">
        <v>157</v>
      </c>
      <c r="C211" s="227" t="s">
        <v>332</v>
      </c>
      <c r="D211" s="227" t="s">
        <v>318</v>
      </c>
      <c r="E211" s="93"/>
    </row>
    <row r="212">
      <c r="A212" s="225" t="s">
        <v>658</v>
      </c>
      <c r="B212" s="226" t="s">
        <v>157</v>
      </c>
      <c r="C212" s="227" t="s">
        <v>332</v>
      </c>
      <c r="D212" s="227" t="s">
        <v>318</v>
      </c>
      <c r="E212" s="93"/>
    </row>
    <row r="213">
      <c r="A213" s="228" t="s">
        <v>659</v>
      </c>
      <c r="B213" s="226" t="s">
        <v>157</v>
      </c>
      <c r="C213" s="227">
        <v>0.0</v>
      </c>
      <c r="D213" s="227" t="s">
        <v>332</v>
      </c>
      <c r="E213" s="93"/>
    </row>
    <row r="214">
      <c r="A214" s="225" t="s">
        <v>660</v>
      </c>
      <c r="B214" s="226" t="s">
        <v>157</v>
      </c>
      <c r="C214" s="227">
        <v>0.0</v>
      </c>
      <c r="D214" s="227" t="s">
        <v>332</v>
      </c>
      <c r="E214" s="93"/>
    </row>
    <row r="215">
      <c r="A215" s="225" t="s">
        <v>661</v>
      </c>
      <c r="B215" s="226" t="s">
        <v>157</v>
      </c>
      <c r="C215" s="227">
        <v>0.0</v>
      </c>
      <c r="D215" s="227" t="s">
        <v>332</v>
      </c>
      <c r="E215" s="93"/>
    </row>
    <row r="216">
      <c r="A216" s="225" t="s">
        <v>662</v>
      </c>
      <c r="B216" s="226" t="s">
        <v>157</v>
      </c>
      <c r="C216" s="227">
        <v>0.0</v>
      </c>
      <c r="D216" s="227" t="s">
        <v>318</v>
      </c>
      <c r="E216" s="93"/>
    </row>
    <row r="217">
      <c r="A217" s="225" t="s">
        <v>663</v>
      </c>
      <c r="B217" s="226" t="s">
        <v>157</v>
      </c>
      <c r="C217" s="227" t="s">
        <v>332</v>
      </c>
      <c r="D217" s="227" t="s">
        <v>332</v>
      </c>
      <c r="E217" s="93"/>
    </row>
    <row r="218">
      <c r="A218" s="228" t="s">
        <v>664</v>
      </c>
      <c r="B218" s="226" t="s">
        <v>157</v>
      </c>
      <c r="C218" s="227">
        <v>0.0</v>
      </c>
      <c r="D218" s="227" t="s">
        <v>332</v>
      </c>
      <c r="E218" s="93"/>
    </row>
    <row r="219">
      <c r="A219" s="225" t="s">
        <v>665</v>
      </c>
      <c r="B219" s="226" t="s">
        <v>157</v>
      </c>
      <c r="C219" s="227">
        <v>0.0</v>
      </c>
      <c r="D219" s="227" t="s">
        <v>318</v>
      </c>
      <c r="E219" s="93"/>
    </row>
    <row r="220">
      <c r="A220" s="225" t="s">
        <v>666</v>
      </c>
      <c r="B220" s="226" t="s">
        <v>157</v>
      </c>
      <c r="C220" s="227" t="s">
        <v>332</v>
      </c>
      <c r="D220" s="227" t="s">
        <v>318</v>
      </c>
      <c r="E220" s="93"/>
    </row>
    <row r="221">
      <c r="A221" s="225" t="s">
        <v>667</v>
      </c>
      <c r="B221" s="226" t="s">
        <v>157</v>
      </c>
      <c r="C221" s="227" t="s">
        <v>332</v>
      </c>
      <c r="D221" s="227" t="s">
        <v>332</v>
      </c>
      <c r="E221" s="93"/>
    </row>
    <row r="222">
      <c r="A222" s="225" t="s">
        <v>668</v>
      </c>
      <c r="B222" s="226" t="s">
        <v>157</v>
      </c>
      <c r="C222" s="227">
        <v>0.0</v>
      </c>
      <c r="D222" s="227" t="s">
        <v>332</v>
      </c>
      <c r="E222" s="93"/>
    </row>
    <row r="223">
      <c r="A223" s="225" t="s">
        <v>669</v>
      </c>
      <c r="B223" s="226" t="s">
        <v>157</v>
      </c>
      <c r="C223" s="227" t="s">
        <v>332</v>
      </c>
      <c r="D223" s="227" t="s">
        <v>332</v>
      </c>
      <c r="E223" s="93"/>
    </row>
    <row r="224">
      <c r="A224" s="225" t="s">
        <v>670</v>
      </c>
      <c r="B224" s="226" t="s">
        <v>157</v>
      </c>
      <c r="C224" s="227" t="s">
        <v>332</v>
      </c>
      <c r="D224" s="227" t="s">
        <v>332</v>
      </c>
      <c r="E224" s="93"/>
    </row>
    <row r="225">
      <c r="A225" s="228" t="s">
        <v>671</v>
      </c>
      <c r="B225" s="226" t="s">
        <v>157</v>
      </c>
      <c r="C225" s="227" t="s">
        <v>332</v>
      </c>
      <c r="D225" s="227" t="s">
        <v>318</v>
      </c>
      <c r="E225" s="93"/>
    </row>
    <row r="226">
      <c r="A226" s="225" t="s">
        <v>672</v>
      </c>
      <c r="B226" s="226" t="s">
        <v>157</v>
      </c>
      <c r="C226" s="227">
        <v>0.0</v>
      </c>
      <c r="D226" s="227" t="s">
        <v>332</v>
      </c>
      <c r="E226" s="93"/>
    </row>
    <row r="227">
      <c r="A227" s="225" t="s">
        <v>673</v>
      </c>
      <c r="B227" s="226" t="s">
        <v>674</v>
      </c>
      <c r="C227" s="227">
        <v>0.0</v>
      </c>
      <c r="D227" s="227" t="s">
        <v>332</v>
      </c>
      <c r="E227" s="93"/>
    </row>
    <row r="228">
      <c r="A228" s="225" t="s">
        <v>675</v>
      </c>
      <c r="B228" s="226" t="s">
        <v>676</v>
      </c>
      <c r="C228" s="227" t="s">
        <v>332</v>
      </c>
      <c r="D228" s="227" t="s">
        <v>332</v>
      </c>
      <c r="E228" s="93"/>
    </row>
    <row r="229">
      <c r="A229" s="225" t="s">
        <v>677</v>
      </c>
      <c r="B229" s="226" t="s">
        <v>159</v>
      </c>
      <c r="C229" s="227">
        <v>0.0</v>
      </c>
      <c r="D229" s="227" t="s">
        <v>332</v>
      </c>
      <c r="E229" s="93"/>
    </row>
    <row r="230">
      <c r="A230" s="225" t="s">
        <v>678</v>
      </c>
      <c r="B230" s="226" t="s">
        <v>159</v>
      </c>
      <c r="C230" s="227" t="s">
        <v>332</v>
      </c>
      <c r="D230" s="227" t="s">
        <v>332</v>
      </c>
      <c r="E230" s="93"/>
    </row>
    <row r="231">
      <c r="A231" s="225" t="s">
        <v>679</v>
      </c>
      <c r="B231" s="226" t="s">
        <v>679</v>
      </c>
      <c r="C231" s="227" t="s">
        <v>332</v>
      </c>
      <c r="D231" s="227" t="s">
        <v>332</v>
      </c>
      <c r="E231" s="93"/>
    </row>
    <row r="232">
      <c r="A232" s="225" t="s">
        <v>680</v>
      </c>
      <c r="B232" s="226" t="s">
        <v>681</v>
      </c>
      <c r="C232" s="227">
        <v>0.0</v>
      </c>
      <c r="D232" s="227" t="s">
        <v>332</v>
      </c>
      <c r="E232" s="93"/>
    </row>
    <row r="233">
      <c r="A233" s="225" t="s">
        <v>682</v>
      </c>
      <c r="B233" s="226" t="s">
        <v>160</v>
      </c>
      <c r="C233" s="227" t="s">
        <v>332</v>
      </c>
      <c r="D233" s="227" t="s">
        <v>318</v>
      </c>
      <c r="E233" s="93"/>
    </row>
    <row r="234">
      <c r="A234" s="225" t="s">
        <v>683</v>
      </c>
      <c r="B234" s="226" t="s">
        <v>160</v>
      </c>
      <c r="C234" s="227">
        <v>0.0</v>
      </c>
      <c r="D234" s="227" t="s">
        <v>332</v>
      </c>
      <c r="E234" s="93"/>
    </row>
    <row r="235">
      <c r="A235" s="225" t="s">
        <v>684</v>
      </c>
      <c r="B235" s="226" t="s">
        <v>160</v>
      </c>
      <c r="C235" s="227">
        <v>0.0</v>
      </c>
      <c r="D235" s="227" t="s">
        <v>332</v>
      </c>
      <c r="E235" s="93"/>
    </row>
    <row r="236">
      <c r="A236" s="225" t="s">
        <v>685</v>
      </c>
      <c r="B236" s="226" t="s">
        <v>160</v>
      </c>
      <c r="C236" s="227">
        <v>0.0</v>
      </c>
      <c r="D236" s="227" t="s">
        <v>332</v>
      </c>
      <c r="E236" s="93"/>
    </row>
    <row r="237">
      <c r="A237" s="225" t="s">
        <v>686</v>
      </c>
      <c r="B237" s="226" t="s">
        <v>160</v>
      </c>
      <c r="C237" s="227" t="s">
        <v>332</v>
      </c>
      <c r="D237" s="227" t="s">
        <v>327</v>
      </c>
      <c r="E237" s="93"/>
    </row>
    <row r="238">
      <c r="A238" s="225" t="s">
        <v>687</v>
      </c>
      <c r="B238" s="226" t="s">
        <v>160</v>
      </c>
      <c r="C238" s="227" t="s">
        <v>332</v>
      </c>
      <c r="D238" s="227" t="s">
        <v>332</v>
      </c>
      <c r="E238" s="93"/>
    </row>
    <row r="239">
      <c r="A239" s="225" t="s">
        <v>688</v>
      </c>
      <c r="B239" s="226" t="s">
        <v>160</v>
      </c>
      <c r="C239" s="227">
        <v>0.0</v>
      </c>
      <c r="D239" s="227" t="s">
        <v>332</v>
      </c>
      <c r="E239" s="93"/>
    </row>
    <row r="240">
      <c r="A240" s="225" t="s">
        <v>689</v>
      </c>
      <c r="B240" s="226" t="s">
        <v>161</v>
      </c>
      <c r="C240" s="227" t="s">
        <v>332</v>
      </c>
      <c r="D240" s="227" t="s">
        <v>332</v>
      </c>
      <c r="E240" s="93"/>
    </row>
    <row r="241">
      <c r="A241" s="225" t="s">
        <v>690</v>
      </c>
      <c r="B241" s="226" t="s">
        <v>161</v>
      </c>
      <c r="C241" s="227" t="s">
        <v>332</v>
      </c>
      <c r="D241" s="227" t="s">
        <v>332</v>
      </c>
      <c r="E241" s="93"/>
    </row>
    <row r="242">
      <c r="A242" s="225" t="s">
        <v>691</v>
      </c>
      <c r="B242" s="226" t="s">
        <v>691</v>
      </c>
      <c r="C242" s="227" t="s">
        <v>332</v>
      </c>
      <c r="D242" s="227" t="s">
        <v>332</v>
      </c>
      <c r="E242" s="93"/>
    </row>
    <row r="243">
      <c r="A243" s="225" t="s">
        <v>692</v>
      </c>
      <c r="B243" s="226" t="s">
        <v>692</v>
      </c>
      <c r="C243" s="227">
        <v>0.0</v>
      </c>
      <c r="D243" s="227" t="s">
        <v>332</v>
      </c>
      <c r="E243" s="93"/>
    </row>
    <row r="244">
      <c r="A244" s="225" t="s">
        <v>693</v>
      </c>
      <c r="B244" s="226" t="s">
        <v>162</v>
      </c>
      <c r="C244" s="227" t="s">
        <v>332</v>
      </c>
      <c r="D244" s="227" t="s">
        <v>332</v>
      </c>
      <c r="E244" s="93"/>
    </row>
    <row r="245">
      <c r="A245" s="225" t="s">
        <v>694</v>
      </c>
      <c r="B245" s="226" t="s">
        <v>162</v>
      </c>
      <c r="C245" s="227" t="s">
        <v>332</v>
      </c>
      <c r="D245" s="227" t="s">
        <v>332</v>
      </c>
      <c r="E245" s="93"/>
    </row>
    <row r="246">
      <c r="A246" s="225" t="s">
        <v>695</v>
      </c>
      <c r="B246" s="226" t="s">
        <v>162</v>
      </c>
      <c r="C246" s="227">
        <v>0.0</v>
      </c>
      <c r="D246" s="227" t="s">
        <v>332</v>
      </c>
      <c r="E246" s="93"/>
    </row>
    <row r="247">
      <c r="A247" s="225" t="s">
        <v>696</v>
      </c>
      <c r="B247" s="226" t="s">
        <v>697</v>
      </c>
      <c r="C247" s="227">
        <v>0.0</v>
      </c>
      <c r="D247" s="227" t="s">
        <v>332</v>
      </c>
      <c r="E247" s="93"/>
    </row>
    <row r="248">
      <c r="A248" s="225" t="s">
        <v>698</v>
      </c>
      <c r="B248" s="226" t="s">
        <v>699</v>
      </c>
      <c r="C248" s="227" t="s">
        <v>332</v>
      </c>
      <c r="D248" s="227" t="s">
        <v>332</v>
      </c>
      <c r="E248" s="93"/>
    </row>
    <row r="249">
      <c r="A249" s="225" t="s">
        <v>700</v>
      </c>
      <c r="B249" s="226" t="s">
        <v>164</v>
      </c>
      <c r="C249" s="227" t="s">
        <v>332</v>
      </c>
      <c r="D249" s="227" t="s">
        <v>332</v>
      </c>
      <c r="E249" s="93"/>
    </row>
    <row r="250">
      <c r="A250" s="225" t="s">
        <v>701</v>
      </c>
      <c r="B250" s="226" t="s">
        <v>164</v>
      </c>
      <c r="C250" s="227" t="s">
        <v>332</v>
      </c>
      <c r="D250" s="227" t="s">
        <v>332</v>
      </c>
      <c r="E250" s="93"/>
    </row>
    <row r="251">
      <c r="A251" s="225" t="s">
        <v>702</v>
      </c>
      <c r="B251" s="226" t="s">
        <v>164</v>
      </c>
      <c r="C251" s="227" t="s">
        <v>332</v>
      </c>
      <c r="D251" s="227" t="s">
        <v>332</v>
      </c>
      <c r="E251" s="93"/>
    </row>
    <row r="252">
      <c r="A252" s="225" t="s">
        <v>703</v>
      </c>
      <c r="B252" s="226" t="s">
        <v>164</v>
      </c>
      <c r="C252" s="227">
        <v>0.0</v>
      </c>
      <c r="D252" s="227" t="s">
        <v>332</v>
      </c>
      <c r="E252" s="93"/>
    </row>
    <row r="253">
      <c r="A253" s="225" t="s">
        <v>704</v>
      </c>
      <c r="B253" s="226" t="s">
        <v>164</v>
      </c>
      <c r="C253" s="227" t="s">
        <v>332</v>
      </c>
      <c r="D253" s="227" t="s">
        <v>332</v>
      </c>
      <c r="E253" s="93"/>
    </row>
    <row r="254">
      <c r="A254" s="225" t="s">
        <v>705</v>
      </c>
      <c r="B254" s="226" t="s">
        <v>164</v>
      </c>
      <c r="C254" s="227" t="s">
        <v>332</v>
      </c>
      <c r="D254" s="227" t="s">
        <v>332</v>
      </c>
      <c r="E254" s="93"/>
    </row>
    <row r="255">
      <c r="A255" s="225" t="s">
        <v>706</v>
      </c>
      <c r="B255" s="226" t="s">
        <v>164</v>
      </c>
      <c r="C255" s="227" t="s">
        <v>332</v>
      </c>
      <c r="D255" s="227" t="s">
        <v>332</v>
      </c>
      <c r="E255" s="93"/>
    </row>
    <row r="256">
      <c r="A256" s="225" t="s">
        <v>707</v>
      </c>
      <c r="B256" s="226" t="s">
        <v>164</v>
      </c>
      <c r="C256" s="227">
        <v>0.0</v>
      </c>
      <c r="D256" s="227" t="s">
        <v>332</v>
      </c>
      <c r="E256" s="93"/>
    </row>
    <row r="257">
      <c r="A257" s="225" t="s">
        <v>708</v>
      </c>
      <c r="B257" s="226" t="s">
        <v>164</v>
      </c>
      <c r="C257" s="227" t="s">
        <v>332</v>
      </c>
      <c r="D257" s="227" t="s">
        <v>318</v>
      </c>
      <c r="E257" s="93"/>
    </row>
    <row r="258">
      <c r="A258" s="225" t="s">
        <v>709</v>
      </c>
      <c r="B258" s="226" t="s">
        <v>709</v>
      </c>
      <c r="C258" s="227">
        <v>0.0</v>
      </c>
      <c r="D258" s="227" t="s">
        <v>332</v>
      </c>
      <c r="E258" s="93"/>
    </row>
    <row r="259">
      <c r="A259" s="225" t="s">
        <v>710</v>
      </c>
      <c r="B259" s="226" t="s">
        <v>166</v>
      </c>
      <c r="C259" s="227" t="s">
        <v>332</v>
      </c>
      <c r="D259" s="227" t="s">
        <v>318</v>
      </c>
      <c r="E259" s="93"/>
    </row>
    <row r="260">
      <c r="A260" s="225" t="s">
        <v>711</v>
      </c>
      <c r="B260" s="226" t="s">
        <v>166</v>
      </c>
      <c r="C260" s="227" t="s">
        <v>332</v>
      </c>
      <c r="D260" s="227" t="s">
        <v>332</v>
      </c>
      <c r="E260" s="93"/>
    </row>
    <row r="261">
      <c r="A261" s="225" t="s">
        <v>712</v>
      </c>
      <c r="B261" s="226" t="s">
        <v>166</v>
      </c>
      <c r="C261" s="227" t="s">
        <v>332</v>
      </c>
      <c r="D261" s="227" t="s">
        <v>332</v>
      </c>
      <c r="E261" s="93"/>
    </row>
    <row r="262">
      <c r="A262" s="225" t="s">
        <v>713</v>
      </c>
      <c r="B262" s="226" t="s">
        <v>167</v>
      </c>
      <c r="C262" s="227" t="s">
        <v>332</v>
      </c>
      <c r="D262" s="227" t="s">
        <v>332</v>
      </c>
      <c r="E262" s="93"/>
    </row>
    <row r="263">
      <c r="A263" s="225" t="s">
        <v>714</v>
      </c>
      <c r="B263" s="226" t="s">
        <v>167</v>
      </c>
      <c r="C263" s="227">
        <v>0.0</v>
      </c>
      <c r="D263" s="227" t="s">
        <v>332</v>
      </c>
      <c r="E263" s="93"/>
    </row>
    <row r="264">
      <c r="A264" s="225" t="s">
        <v>715</v>
      </c>
      <c r="B264" s="226" t="s">
        <v>167</v>
      </c>
      <c r="C264" s="227">
        <v>0.0</v>
      </c>
      <c r="D264" s="227" t="s">
        <v>332</v>
      </c>
      <c r="E264" s="93"/>
    </row>
    <row r="265">
      <c r="A265" s="225" t="s">
        <v>716</v>
      </c>
      <c r="B265" s="226" t="s">
        <v>167</v>
      </c>
      <c r="C265" s="227" t="s">
        <v>332</v>
      </c>
      <c r="D265" s="227" t="s">
        <v>332</v>
      </c>
      <c r="E265" s="93"/>
    </row>
    <row r="266">
      <c r="A266" s="225" t="s">
        <v>717</v>
      </c>
      <c r="B266" s="226" t="s">
        <v>168</v>
      </c>
      <c r="C266" s="227">
        <v>0.0</v>
      </c>
      <c r="D266" s="227" t="s">
        <v>332</v>
      </c>
      <c r="E266" s="93"/>
    </row>
    <row r="267">
      <c r="A267" s="225" t="s">
        <v>718</v>
      </c>
      <c r="B267" s="226" t="s">
        <v>168</v>
      </c>
      <c r="C267" s="227">
        <v>0.0</v>
      </c>
      <c r="D267" s="227" t="s">
        <v>332</v>
      </c>
      <c r="E267" s="93"/>
    </row>
    <row r="268">
      <c r="A268" s="225" t="s">
        <v>719</v>
      </c>
      <c r="B268" s="226" t="s">
        <v>168</v>
      </c>
      <c r="C268" s="227">
        <v>0.0</v>
      </c>
      <c r="D268" s="227" t="s">
        <v>332</v>
      </c>
      <c r="E268" s="93"/>
    </row>
    <row r="269">
      <c r="A269" s="225" t="s">
        <v>720</v>
      </c>
      <c r="B269" s="226" t="s">
        <v>168</v>
      </c>
      <c r="C269" s="227">
        <v>0.0</v>
      </c>
      <c r="D269" s="227" t="s">
        <v>332</v>
      </c>
      <c r="E269" s="93"/>
    </row>
    <row r="270">
      <c r="A270" s="225" t="s">
        <v>721</v>
      </c>
      <c r="B270" s="226" t="s">
        <v>168</v>
      </c>
      <c r="C270" s="227" t="s">
        <v>332</v>
      </c>
      <c r="D270" s="227" t="s">
        <v>332</v>
      </c>
      <c r="E270" s="93"/>
    </row>
    <row r="271">
      <c r="A271" s="225" t="s">
        <v>722</v>
      </c>
      <c r="B271" s="226" t="s">
        <v>168</v>
      </c>
      <c r="C271" s="227" t="s">
        <v>332</v>
      </c>
      <c r="D271" s="227" t="s">
        <v>332</v>
      </c>
      <c r="E271" s="93"/>
    </row>
    <row r="272">
      <c r="A272" s="225" t="s">
        <v>723</v>
      </c>
      <c r="B272" s="226" t="s">
        <v>168</v>
      </c>
      <c r="C272" s="227">
        <v>0.0</v>
      </c>
      <c r="D272" s="227" t="s">
        <v>332</v>
      </c>
      <c r="E272" s="93"/>
    </row>
    <row r="273">
      <c r="A273" s="225" t="s">
        <v>724</v>
      </c>
      <c r="B273" s="226" t="s">
        <v>168</v>
      </c>
      <c r="C273" s="227" t="s">
        <v>318</v>
      </c>
      <c r="D273" s="227" t="s">
        <v>327</v>
      </c>
      <c r="E273" s="93"/>
    </row>
    <row r="274">
      <c r="A274" s="225" t="s">
        <v>725</v>
      </c>
      <c r="B274" s="226" t="s">
        <v>726</v>
      </c>
      <c r="C274" s="227" t="s">
        <v>330</v>
      </c>
      <c r="D274" s="227" t="s">
        <v>352</v>
      </c>
      <c r="E274" s="93"/>
    </row>
    <row r="275">
      <c r="A275" s="229"/>
      <c r="B275" s="230" t="s">
        <v>727</v>
      </c>
      <c r="C275" s="231" t="s">
        <v>728</v>
      </c>
      <c r="D275" s="231" t="s">
        <v>729</v>
      </c>
      <c r="E275" s="93"/>
    </row>
    <row r="276">
      <c r="A276" s="232" t="s">
        <v>730</v>
      </c>
      <c r="B276" s="86"/>
      <c r="C276" s="86"/>
      <c r="D276" s="35"/>
      <c r="E276" s="93"/>
    </row>
    <row r="277">
      <c r="A277" s="225" t="s">
        <v>731</v>
      </c>
      <c r="B277" s="226" t="s">
        <v>436</v>
      </c>
      <c r="C277" s="227" t="s">
        <v>332</v>
      </c>
      <c r="D277" s="227" t="s">
        <v>332</v>
      </c>
      <c r="E277" s="93"/>
    </row>
    <row r="278">
      <c r="A278" s="225" t="s">
        <v>437</v>
      </c>
      <c r="B278" s="226" t="s">
        <v>436</v>
      </c>
      <c r="C278" s="227" t="s">
        <v>332</v>
      </c>
      <c r="D278" s="227" t="s">
        <v>332</v>
      </c>
      <c r="E278" s="93"/>
    </row>
    <row r="279">
      <c r="A279" s="225" t="s">
        <v>438</v>
      </c>
      <c r="B279" s="226" t="s">
        <v>436</v>
      </c>
      <c r="C279" s="227">
        <v>0.0</v>
      </c>
      <c r="D279" s="227" t="s">
        <v>332</v>
      </c>
      <c r="E279" s="93"/>
    </row>
    <row r="280">
      <c r="A280" s="225" t="s">
        <v>439</v>
      </c>
      <c r="B280" s="226" t="s">
        <v>130</v>
      </c>
      <c r="C280" s="227">
        <v>0.0</v>
      </c>
      <c r="D280" s="227" t="s">
        <v>332</v>
      </c>
      <c r="E280" s="93"/>
    </row>
    <row r="281">
      <c r="A281" s="225" t="s">
        <v>440</v>
      </c>
      <c r="B281" s="226" t="s">
        <v>130</v>
      </c>
      <c r="C281" s="227" t="s">
        <v>332</v>
      </c>
      <c r="D281" s="227" t="s">
        <v>332</v>
      </c>
      <c r="E281" s="93"/>
    </row>
    <row r="282">
      <c r="A282" s="225" t="s">
        <v>445</v>
      </c>
      <c r="B282" s="226" t="s">
        <v>446</v>
      </c>
      <c r="C282" s="227" t="s">
        <v>332</v>
      </c>
      <c r="D282" s="227" t="s">
        <v>318</v>
      </c>
      <c r="E282" s="93"/>
    </row>
    <row r="283">
      <c r="A283" s="225" t="s">
        <v>447</v>
      </c>
      <c r="B283" s="226" t="s">
        <v>448</v>
      </c>
      <c r="C283" s="227" t="s">
        <v>332</v>
      </c>
      <c r="D283" s="227" t="s">
        <v>332</v>
      </c>
      <c r="E283" s="93"/>
    </row>
    <row r="284">
      <c r="A284" s="225" t="s">
        <v>449</v>
      </c>
      <c r="B284" s="226" t="s">
        <v>448</v>
      </c>
      <c r="C284" s="227">
        <v>0.0</v>
      </c>
      <c r="D284" s="227" t="s">
        <v>332</v>
      </c>
      <c r="E284" s="93"/>
    </row>
    <row r="285">
      <c r="A285" s="225" t="s">
        <v>450</v>
      </c>
      <c r="B285" s="226" t="s">
        <v>448</v>
      </c>
      <c r="C285" s="227" t="s">
        <v>332</v>
      </c>
      <c r="D285" s="227" t="s">
        <v>332</v>
      </c>
      <c r="E285" s="93"/>
    </row>
    <row r="286">
      <c r="A286" s="225" t="s">
        <v>451</v>
      </c>
      <c r="B286" s="226" t="s">
        <v>448</v>
      </c>
      <c r="C286" s="227" t="s">
        <v>332</v>
      </c>
      <c r="D286" s="227" t="s">
        <v>327</v>
      </c>
      <c r="E286" s="93"/>
    </row>
    <row r="287">
      <c r="A287" s="225" t="s">
        <v>732</v>
      </c>
      <c r="B287" s="226" t="s">
        <v>448</v>
      </c>
      <c r="C287" s="227">
        <v>0.0</v>
      </c>
      <c r="D287" s="227" t="s">
        <v>332</v>
      </c>
      <c r="E287" s="93"/>
    </row>
    <row r="288">
      <c r="A288" s="225" t="s">
        <v>733</v>
      </c>
      <c r="B288" s="226" t="s">
        <v>448</v>
      </c>
      <c r="C288" s="227">
        <v>0.0</v>
      </c>
      <c r="D288" s="227" t="s">
        <v>332</v>
      </c>
      <c r="E288" s="93"/>
    </row>
    <row r="289">
      <c r="A289" s="225" t="s">
        <v>457</v>
      </c>
      <c r="B289" s="226" t="s">
        <v>453</v>
      </c>
      <c r="C289" s="227">
        <v>0.0</v>
      </c>
      <c r="D289" s="227" t="s">
        <v>332</v>
      </c>
      <c r="E289" s="93"/>
    </row>
    <row r="290">
      <c r="A290" s="225" t="s">
        <v>458</v>
      </c>
      <c r="B290" s="226" t="s">
        <v>132</v>
      </c>
      <c r="C290" s="227">
        <v>0.0</v>
      </c>
      <c r="D290" s="227" t="s">
        <v>332</v>
      </c>
      <c r="E290" s="93"/>
    </row>
    <row r="291">
      <c r="A291" s="225" t="s">
        <v>459</v>
      </c>
      <c r="B291" s="226" t="s">
        <v>132</v>
      </c>
      <c r="C291" s="227">
        <v>0.0</v>
      </c>
      <c r="D291" s="227" t="s">
        <v>332</v>
      </c>
      <c r="E291" s="93"/>
    </row>
    <row r="292">
      <c r="A292" s="225" t="s">
        <v>460</v>
      </c>
      <c r="B292" s="226" t="s">
        <v>132</v>
      </c>
      <c r="C292" s="227" t="s">
        <v>332</v>
      </c>
      <c r="D292" s="227" t="s">
        <v>332</v>
      </c>
      <c r="E292" s="93"/>
    </row>
    <row r="293">
      <c r="A293" s="225" t="s">
        <v>470</v>
      </c>
      <c r="B293" s="226" t="s">
        <v>463</v>
      </c>
      <c r="C293" s="227">
        <v>0.0</v>
      </c>
      <c r="D293" s="227" t="s">
        <v>332</v>
      </c>
      <c r="E293" s="93"/>
    </row>
    <row r="294">
      <c r="A294" s="225" t="s">
        <v>734</v>
      </c>
      <c r="B294" s="226" t="s">
        <v>463</v>
      </c>
      <c r="C294" s="227">
        <v>0.0</v>
      </c>
      <c r="D294" s="227" t="s">
        <v>332</v>
      </c>
      <c r="E294" s="93"/>
    </row>
    <row r="295">
      <c r="A295" s="225" t="s">
        <v>481</v>
      </c>
      <c r="B295" s="226" t="s">
        <v>463</v>
      </c>
      <c r="C295" s="227">
        <v>0.0</v>
      </c>
      <c r="D295" s="227" t="s">
        <v>332</v>
      </c>
      <c r="E295" s="93"/>
    </row>
    <row r="296">
      <c r="A296" s="225" t="s">
        <v>484</v>
      </c>
      <c r="B296" s="226" t="s">
        <v>133</v>
      </c>
      <c r="C296" s="227" t="s">
        <v>332</v>
      </c>
      <c r="D296" s="227" t="s">
        <v>327</v>
      </c>
      <c r="E296" s="93"/>
    </row>
    <row r="297">
      <c r="A297" s="225" t="s">
        <v>485</v>
      </c>
      <c r="B297" s="226" t="s">
        <v>133</v>
      </c>
      <c r="C297" s="227" t="s">
        <v>332</v>
      </c>
      <c r="D297" s="227" t="s">
        <v>332</v>
      </c>
      <c r="E297" s="93"/>
    </row>
    <row r="298">
      <c r="A298" s="225" t="s">
        <v>486</v>
      </c>
      <c r="B298" s="226" t="s">
        <v>133</v>
      </c>
      <c r="C298" s="227">
        <v>0.0</v>
      </c>
      <c r="D298" s="227" t="s">
        <v>332</v>
      </c>
      <c r="E298" s="93"/>
    </row>
    <row r="299">
      <c r="A299" s="225" t="s">
        <v>488</v>
      </c>
      <c r="B299" s="226" t="s">
        <v>133</v>
      </c>
      <c r="C299" s="227">
        <v>0.0</v>
      </c>
      <c r="D299" s="227" t="s">
        <v>332</v>
      </c>
      <c r="E299" s="93"/>
    </row>
    <row r="300">
      <c r="A300" s="225" t="s">
        <v>735</v>
      </c>
      <c r="B300" s="226" t="s">
        <v>133</v>
      </c>
      <c r="C300" s="227" t="s">
        <v>332</v>
      </c>
      <c r="D300" s="227" t="s">
        <v>332</v>
      </c>
      <c r="E300" s="93"/>
    </row>
    <row r="301">
      <c r="A301" s="225" t="s">
        <v>736</v>
      </c>
      <c r="B301" s="226" t="s">
        <v>492</v>
      </c>
      <c r="C301" s="227">
        <v>0.0</v>
      </c>
      <c r="D301" s="227" t="s">
        <v>332</v>
      </c>
      <c r="E301" s="93"/>
    </row>
    <row r="302">
      <c r="A302" s="225" t="s">
        <v>491</v>
      </c>
      <c r="B302" s="226" t="s">
        <v>492</v>
      </c>
      <c r="C302" s="227">
        <v>0.0</v>
      </c>
      <c r="D302" s="227" t="s">
        <v>332</v>
      </c>
      <c r="E302" s="93"/>
    </row>
    <row r="303">
      <c r="A303" s="225" t="s">
        <v>496</v>
      </c>
      <c r="B303" s="226" t="s">
        <v>135</v>
      </c>
      <c r="C303" s="227">
        <v>0.0</v>
      </c>
      <c r="D303" s="227" t="s">
        <v>332</v>
      </c>
      <c r="E303" s="93"/>
    </row>
    <row r="304">
      <c r="A304" s="225" t="s">
        <v>498</v>
      </c>
      <c r="B304" s="226" t="s">
        <v>135</v>
      </c>
      <c r="C304" s="227">
        <v>0.0</v>
      </c>
      <c r="D304" s="227" t="s">
        <v>332</v>
      </c>
      <c r="E304" s="93"/>
    </row>
    <row r="305">
      <c r="A305" s="225" t="s">
        <v>501</v>
      </c>
      <c r="B305" s="226" t="s">
        <v>135</v>
      </c>
      <c r="C305" s="227" t="s">
        <v>332</v>
      </c>
      <c r="D305" s="227" t="s">
        <v>332</v>
      </c>
      <c r="E305" s="93"/>
    </row>
    <row r="306">
      <c r="A306" s="225" t="s">
        <v>504</v>
      </c>
      <c r="B306" s="226" t="s">
        <v>136</v>
      </c>
      <c r="C306" s="227" t="s">
        <v>332</v>
      </c>
      <c r="D306" s="227" t="s">
        <v>318</v>
      </c>
      <c r="E306" s="93"/>
    </row>
    <row r="307">
      <c r="A307" s="225" t="s">
        <v>505</v>
      </c>
      <c r="B307" s="226" t="s">
        <v>136</v>
      </c>
      <c r="C307" s="227" t="s">
        <v>332</v>
      </c>
      <c r="D307" s="227" t="s">
        <v>318</v>
      </c>
      <c r="E307" s="93"/>
    </row>
    <row r="308">
      <c r="A308" s="225" t="s">
        <v>506</v>
      </c>
      <c r="B308" s="226" t="s">
        <v>136</v>
      </c>
      <c r="C308" s="227" t="s">
        <v>332</v>
      </c>
      <c r="D308" s="227" t="s">
        <v>332</v>
      </c>
      <c r="E308" s="93"/>
    </row>
    <row r="309">
      <c r="A309" s="225" t="s">
        <v>737</v>
      </c>
      <c r="B309" s="226" t="s">
        <v>136</v>
      </c>
      <c r="C309" s="227">
        <v>0.0</v>
      </c>
      <c r="D309" s="227" t="s">
        <v>332</v>
      </c>
      <c r="E309" s="93"/>
    </row>
    <row r="310">
      <c r="A310" s="225" t="s">
        <v>510</v>
      </c>
      <c r="B310" s="226" t="s">
        <v>136</v>
      </c>
      <c r="C310" s="227">
        <v>0.0</v>
      </c>
      <c r="D310" s="227" t="s">
        <v>332</v>
      </c>
      <c r="E310" s="93"/>
    </row>
    <row r="311">
      <c r="A311" s="225" t="s">
        <v>511</v>
      </c>
      <c r="B311" s="226" t="s">
        <v>136</v>
      </c>
      <c r="C311" s="227">
        <v>0.0</v>
      </c>
      <c r="D311" s="227" t="s">
        <v>332</v>
      </c>
      <c r="E311" s="93"/>
    </row>
    <row r="312">
      <c r="A312" s="225" t="s">
        <v>738</v>
      </c>
      <c r="B312" s="226" t="s">
        <v>136</v>
      </c>
      <c r="C312" s="227">
        <v>0.0</v>
      </c>
      <c r="D312" s="227" t="s">
        <v>332</v>
      </c>
      <c r="E312" s="93"/>
    </row>
    <row r="313">
      <c r="A313" s="225" t="s">
        <v>739</v>
      </c>
      <c r="B313" s="226" t="s">
        <v>136</v>
      </c>
      <c r="C313" s="227">
        <v>0.0</v>
      </c>
      <c r="D313" s="227" t="s">
        <v>332</v>
      </c>
      <c r="E313" s="93"/>
    </row>
    <row r="314">
      <c r="A314" s="225" t="s">
        <v>514</v>
      </c>
      <c r="B314" s="226" t="s">
        <v>136</v>
      </c>
      <c r="C314" s="227">
        <v>0.0</v>
      </c>
      <c r="D314" s="227" t="s">
        <v>318</v>
      </c>
      <c r="E314" s="93"/>
    </row>
    <row r="315">
      <c r="A315" s="225" t="s">
        <v>517</v>
      </c>
      <c r="B315" s="226" t="s">
        <v>136</v>
      </c>
      <c r="C315" s="227" t="s">
        <v>332</v>
      </c>
      <c r="D315" s="227" t="s">
        <v>332</v>
      </c>
      <c r="E315" s="93"/>
    </row>
    <row r="316">
      <c r="A316" s="225" t="s">
        <v>518</v>
      </c>
      <c r="B316" s="226" t="s">
        <v>136</v>
      </c>
      <c r="C316" s="227" t="s">
        <v>332</v>
      </c>
      <c r="D316" s="227" t="s">
        <v>332</v>
      </c>
      <c r="E316" s="93"/>
    </row>
    <row r="317">
      <c r="A317" s="225" t="s">
        <v>740</v>
      </c>
      <c r="B317" s="226" t="s">
        <v>137</v>
      </c>
      <c r="C317" s="227">
        <v>0.0</v>
      </c>
      <c r="D317" s="227" t="s">
        <v>332</v>
      </c>
      <c r="E317" s="93"/>
    </row>
    <row r="318">
      <c r="A318" s="225" t="s">
        <v>520</v>
      </c>
      <c r="B318" s="226" t="s">
        <v>137</v>
      </c>
      <c r="C318" s="227" t="s">
        <v>332</v>
      </c>
      <c r="D318" s="227" t="s">
        <v>318</v>
      </c>
      <c r="E318" s="93"/>
    </row>
    <row r="319">
      <c r="A319" s="225" t="s">
        <v>741</v>
      </c>
      <c r="B319" s="226" t="s">
        <v>137</v>
      </c>
      <c r="C319" s="227">
        <v>0.0</v>
      </c>
      <c r="D319" s="227" t="s">
        <v>332</v>
      </c>
      <c r="E319" s="93"/>
    </row>
    <row r="320">
      <c r="A320" s="225" t="s">
        <v>522</v>
      </c>
      <c r="B320" s="226" t="s">
        <v>137</v>
      </c>
      <c r="C320" s="227">
        <v>0.0</v>
      </c>
      <c r="D320" s="227" t="s">
        <v>332</v>
      </c>
      <c r="E320" s="93"/>
    </row>
    <row r="321">
      <c r="A321" s="225" t="s">
        <v>524</v>
      </c>
      <c r="B321" s="226" t="s">
        <v>525</v>
      </c>
      <c r="C321" s="227" t="s">
        <v>332</v>
      </c>
      <c r="D321" s="227" t="s">
        <v>332</v>
      </c>
      <c r="E321" s="93"/>
    </row>
    <row r="322">
      <c r="A322" s="225" t="s">
        <v>527</v>
      </c>
      <c r="B322" s="226" t="s">
        <v>138</v>
      </c>
      <c r="C322" s="227" t="s">
        <v>332</v>
      </c>
      <c r="D322" s="227" t="s">
        <v>332</v>
      </c>
      <c r="E322" s="93"/>
    </row>
    <row r="323">
      <c r="A323" s="225" t="s">
        <v>532</v>
      </c>
      <c r="B323" s="226" t="s">
        <v>139</v>
      </c>
      <c r="C323" s="227">
        <v>0.0</v>
      </c>
      <c r="D323" s="227" t="s">
        <v>332</v>
      </c>
      <c r="E323" s="93"/>
    </row>
    <row r="324">
      <c r="A324" s="225" t="s">
        <v>533</v>
      </c>
      <c r="B324" s="226" t="s">
        <v>139</v>
      </c>
      <c r="C324" s="227" t="s">
        <v>332</v>
      </c>
      <c r="D324" s="227" t="s">
        <v>332</v>
      </c>
      <c r="E324" s="93"/>
    </row>
    <row r="325">
      <c r="A325" s="225" t="s">
        <v>537</v>
      </c>
      <c r="B325" s="226" t="s">
        <v>139</v>
      </c>
      <c r="C325" s="227">
        <v>0.0</v>
      </c>
      <c r="D325" s="227" t="s">
        <v>332</v>
      </c>
      <c r="E325" s="93"/>
    </row>
    <row r="326">
      <c r="A326" s="225" t="s">
        <v>538</v>
      </c>
      <c r="B326" s="226" t="s">
        <v>139</v>
      </c>
      <c r="C326" s="227">
        <v>0.0</v>
      </c>
      <c r="D326" s="227" t="s">
        <v>332</v>
      </c>
      <c r="E326" s="93"/>
    </row>
    <row r="327">
      <c r="A327" s="225" t="s">
        <v>742</v>
      </c>
      <c r="B327" s="226" t="s">
        <v>542</v>
      </c>
      <c r="C327" s="227">
        <v>0.0</v>
      </c>
      <c r="D327" s="227" t="s">
        <v>332</v>
      </c>
      <c r="E327" s="93"/>
    </row>
    <row r="328">
      <c r="A328" s="225" t="s">
        <v>545</v>
      </c>
      <c r="B328" s="226" t="s">
        <v>546</v>
      </c>
      <c r="C328" s="227">
        <v>0.0</v>
      </c>
      <c r="D328" s="227" t="s">
        <v>332</v>
      </c>
      <c r="E328" s="93"/>
    </row>
    <row r="329">
      <c r="A329" s="225" t="s">
        <v>548</v>
      </c>
      <c r="B329" s="226" t="s">
        <v>549</v>
      </c>
      <c r="C329" s="227">
        <v>0.0</v>
      </c>
      <c r="D329" s="227" t="s">
        <v>332</v>
      </c>
      <c r="E329" s="93"/>
    </row>
    <row r="330">
      <c r="A330" s="225" t="s">
        <v>550</v>
      </c>
      <c r="B330" s="226" t="s">
        <v>549</v>
      </c>
      <c r="C330" s="227">
        <v>0.0</v>
      </c>
      <c r="D330" s="227" t="s">
        <v>332</v>
      </c>
      <c r="E330" s="93"/>
    </row>
    <row r="331">
      <c r="A331" s="225" t="s">
        <v>551</v>
      </c>
      <c r="B331" s="226" t="s">
        <v>552</v>
      </c>
      <c r="C331" s="227" t="s">
        <v>332</v>
      </c>
      <c r="D331" s="227" t="s">
        <v>332</v>
      </c>
      <c r="E331" s="93"/>
    </row>
    <row r="332">
      <c r="A332" s="225" t="s">
        <v>555</v>
      </c>
      <c r="B332" s="226" t="s">
        <v>145</v>
      </c>
      <c r="C332" s="227" t="s">
        <v>332</v>
      </c>
      <c r="D332" s="227" t="s">
        <v>332</v>
      </c>
      <c r="E332" s="93"/>
    </row>
    <row r="333">
      <c r="A333" s="225" t="s">
        <v>556</v>
      </c>
      <c r="B333" s="226" t="s">
        <v>145</v>
      </c>
      <c r="C333" s="227">
        <v>0.0</v>
      </c>
      <c r="D333" s="227" t="s">
        <v>332</v>
      </c>
      <c r="E333" s="93"/>
    </row>
    <row r="334">
      <c r="A334" s="225" t="s">
        <v>557</v>
      </c>
      <c r="B334" s="226" t="s">
        <v>145</v>
      </c>
      <c r="C334" s="227">
        <v>0.0</v>
      </c>
      <c r="D334" s="227" t="s">
        <v>332</v>
      </c>
      <c r="E334" s="93"/>
    </row>
    <row r="335">
      <c r="A335" s="225" t="s">
        <v>558</v>
      </c>
      <c r="B335" s="226" t="s">
        <v>145</v>
      </c>
      <c r="C335" s="227">
        <v>0.0</v>
      </c>
      <c r="D335" s="227" t="s">
        <v>332</v>
      </c>
      <c r="E335" s="93"/>
    </row>
    <row r="336">
      <c r="A336" s="225" t="s">
        <v>559</v>
      </c>
      <c r="B336" s="226" t="s">
        <v>145</v>
      </c>
      <c r="C336" s="227" t="s">
        <v>332</v>
      </c>
      <c r="D336" s="227" t="s">
        <v>332</v>
      </c>
      <c r="E336" s="93"/>
    </row>
    <row r="337">
      <c r="A337" s="225" t="s">
        <v>743</v>
      </c>
      <c r="B337" s="226" t="s">
        <v>744</v>
      </c>
      <c r="C337" s="227">
        <v>0.0</v>
      </c>
      <c r="D337" s="227" t="s">
        <v>332</v>
      </c>
      <c r="E337" s="93"/>
    </row>
    <row r="338">
      <c r="A338" s="225" t="s">
        <v>562</v>
      </c>
      <c r="B338" s="226" t="s">
        <v>146</v>
      </c>
      <c r="C338" s="227">
        <v>0.0</v>
      </c>
      <c r="D338" s="227" t="s">
        <v>332</v>
      </c>
      <c r="E338" s="93"/>
    </row>
    <row r="339">
      <c r="A339" s="225" t="s">
        <v>563</v>
      </c>
      <c r="B339" s="226" t="s">
        <v>146</v>
      </c>
      <c r="C339" s="227" t="s">
        <v>332</v>
      </c>
      <c r="D339" s="227" t="s">
        <v>332</v>
      </c>
      <c r="E339" s="93"/>
    </row>
    <row r="340">
      <c r="A340" s="225" t="s">
        <v>565</v>
      </c>
      <c r="B340" s="226" t="s">
        <v>146</v>
      </c>
      <c r="C340" s="227">
        <v>0.0</v>
      </c>
      <c r="D340" s="227" t="s">
        <v>332</v>
      </c>
      <c r="E340" s="93"/>
    </row>
    <row r="341">
      <c r="A341" s="225" t="s">
        <v>567</v>
      </c>
      <c r="B341" s="226" t="s">
        <v>568</v>
      </c>
      <c r="C341" s="227" t="s">
        <v>332</v>
      </c>
      <c r="D341" s="227" t="s">
        <v>318</v>
      </c>
      <c r="E341" s="93"/>
    </row>
    <row r="342">
      <c r="A342" s="225" t="s">
        <v>569</v>
      </c>
      <c r="B342" s="226" t="s">
        <v>148</v>
      </c>
      <c r="C342" s="227" t="s">
        <v>332</v>
      </c>
      <c r="D342" s="227" t="s">
        <v>332</v>
      </c>
      <c r="E342" s="93"/>
    </row>
    <row r="343">
      <c r="A343" s="225" t="s">
        <v>576</v>
      </c>
      <c r="B343" s="226" t="s">
        <v>152</v>
      </c>
      <c r="C343" s="227">
        <v>0.0</v>
      </c>
      <c r="D343" s="227" t="s">
        <v>332</v>
      </c>
      <c r="E343" s="93"/>
    </row>
    <row r="344">
      <c r="A344" s="225" t="s">
        <v>579</v>
      </c>
      <c r="B344" s="226" t="s">
        <v>153</v>
      </c>
      <c r="C344" s="227">
        <v>0.0</v>
      </c>
      <c r="D344" s="227" t="s">
        <v>332</v>
      </c>
      <c r="E344" s="93"/>
    </row>
    <row r="345">
      <c r="A345" s="225" t="s">
        <v>745</v>
      </c>
      <c r="B345" s="226" t="s">
        <v>153</v>
      </c>
      <c r="C345" s="227" t="s">
        <v>332</v>
      </c>
      <c r="D345" s="227" t="s">
        <v>332</v>
      </c>
      <c r="E345" s="93"/>
    </row>
    <row r="346">
      <c r="A346" s="225" t="s">
        <v>580</v>
      </c>
      <c r="B346" s="226" t="s">
        <v>153</v>
      </c>
      <c r="C346" s="227">
        <v>0.0</v>
      </c>
      <c r="D346" s="227" t="s">
        <v>332</v>
      </c>
      <c r="E346" s="93"/>
    </row>
    <row r="347">
      <c r="A347" s="225" t="s">
        <v>581</v>
      </c>
      <c r="B347" s="226" t="s">
        <v>153</v>
      </c>
      <c r="C347" s="227">
        <v>0.0</v>
      </c>
      <c r="D347" s="227" t="s">
        <v>332</v>
      </c>
      <c r="E347" s="93"/>
    </row>
    <row r="348">
      <c r="A348" s="225" t="s">
        <v>582</v>
      </c>
      <c r="B348" s="226" t="s">
        <v>153</v>
      </c>
      <c r="C348" s="227">
        <v>0.0</v>
      </c>
      <c r="D348" s="227" t="s">
        <v>332</v>
      </c>
      <c r="E348" s="93"/>
    </row>
    <row r="349">
      <c r="A349" s="225" t="s">
        <v>583</v>
      </c>
      <c r="B349" s="226" t="s">
        <v>153</v>
      </c>
      <c r="C349" s="227" t="s">
        <v>332</v>
      </c>
      <c r="D349" s="227" t="s">
        <v>332</v>
      </c>
      <c r="E349" s="93"/>
    </row>
    <row r="350">
      <c r="A350" s="225" t="s">
        <v>585</v>
      </c>
      <c r="B350" s="226" t="s">
        <v>154</v>
      </c>
      <c r="C350" s="227">
        <v>0.0</v>
      </c>
      <c r="D350" s="227" t="s">
        <v>332</v>
      </c>
      <c r="E350" s="93"/>
    </row>
    <row r="351">
      <c r="A351" s="225" t="s">
        <v>587</v>
      </c>
      <c r="B351" s="226" t="s">
        <v>154</v>
      </c>
      <c r="C351" s="227">
        <v>0.0</v>
      </c>
      <c r="D351" s="227" t="s">
        <v>332</v>
      </c>
      <c r="E351" s="93"/>
    </row>
    <row r="352">
      <c r="A352" s="225" t="s">
        <v>588</v>
      </c>
      <c r="B352" s="226" t="s">
        <v>589</v>
      </c>
      <c r="C352" s="227" t="s">
        <v>332</v>
      </c>
      <c r="D352" s="227" t="s">
        <v>332</v>
      </c>
      <c r="E352" s="93"/>
    </row>
    <row r="353">
      <c r="A353" s="225" t="s">
        <v>591</v>
      </c>
      <c r="B353" s="226" t="s">
        <v>589</v>
      </c>
      <c r="C353" s="227">
        <v>0.0</v>
      </c>
      <c r="D353" s="227" t="s">
        <v>332</v>
      </c>
      <c r="E353" s="93"/>
    </row>
    <row r="354">
      <c r="A354" s="225" t="s">
        <v>746</v>
      </c>
      <c r="B354" s="226" t="s">
        <v>155</v>
      </c>
      <c r="C354" s="227" t="s">
        <v>332</v>
      </c>
      <c r="D354" s="227" t="s">
        <v>327</v>
      </c>
      <c r="E354" s="93"/>
    </row>
    <row r="355">
      <c r="A355" s="225" t="s">
        <v>747</v>
      </c>
      <c r="B355" s="226" t="s">
        <v>155</v>
      </c>
      <c r="C355" s="227">
        <v>0.0</v>
      </c>
      <c r="D355" s="227" t="s">
        <v>332</v>
      </c>
      <c r="E355" s="93"/>
    </row>
    <row r="356">
      <c r="A356" s="225" t="s">
        <v>592</v>
      </c>
      <c r="B356" s="226" t="s">
        <v>155</v>
      </c>
      <c r="C356" s="227">
        <v>0.0</v>
      </c>
      <c r="D356" s="227" t="s">
        <v>332</v>
      </c>
      <c r="E356" s="93"/>
    </row>
    <row r="357">
      <c r="A357" s="225" t="s">
        <v>593</v>
      </c>
      <c r="B357" s="226" t="s">
        <v>155</v>
      </c>
      <c r="C357" s="227">
        <v>0.0</v>
      </c>
      <c r="D357" s="227" t="s">
        <v>332</v>
      </c>
      <c r="E357" s="93"/>
    </row>
    <row r="358">
      <c r="A358" s="225" t="s">
        <v>748</v>
      </c>
      <c r="B358" s="226" t="s">
        <v>155</v>
      </c>
      <c r="C358" s="227">
        <v>0.0</v>
      </c>
      <c r="D358" s="227" t="s">
        <v>332</v>
      </c>
      <c r="E358" s="93"/>
    </row>
    <row r="359">
      <c r="A359" s="225" t="s">
        <v>595</v>
      </c>
      <c r="B359" s="226" t="s">
        <v>155</v>
      </c>
      <c r="C359" s="227">
        <v>0.0</v>
      </c>
      <c r="D359" s="227" t="s">
        <v>332</v>
      </c>
      <c r="E359" s="93"/>
    </row>
    <row r="360">
      <c r="A360" s="225" t="s">
        <v>749</v>
      </c>
      <c r="B360" s="226" t="s">
        <v>155</v>
      </c>
      <c r="C360" s="227" t="s">
        <v>332</v>
      </c>
      <c r="D360" s="227" t="s">
        <v>332</v>
      </c>
      <c r="E360" s="93"/>
    </row>
    <row r="361">
      <c r="A361" s="225" t="s">
        <v>596</v>
      </c>
      <c r="B361" s="226" t="s">
        <v>155</v>
      </c>
      <c r="C361" s="227" t="s">
        <v>332</v>
      </c>
      <c r="D361" s="227" t="s">
        <v>318</v>
      </c>
      <c r="E361" s="93"/>
    </row>
    <row r="362">
      <c r="A362" s="225" t="s">
        <v>750</v>
      </c>
      <c r="B362" s="226" t="s">
        <v>155</v>
      </c>
      <c r="C362" s="227">
        <v>0.0</v>
      </c>
      <c r="D362" s="227" t="s">
        <v>332</v>
      </c>
      <c r="E362" s="93"/>
    </row>
    <row r="363">
      <c r="A363" s="225" t="s">
        <v>751</v>
      </c>
      <c r="B363" s="226" t="s">
        <v>155</v>
      </c>
      <c r="C363" s="227" t="s">
        <v>332</v>
      </c>
      <c r="D363" s="227" t="s">
        <v>332</v>
      </c>
      <c r="E363" s="93"/>
    </row>
    <row r="364">
      <c r="A364" s="225" t="s">
        <v>597</v>
      </c>
      <c r="B364" s="226" t="s">
        <v>155</v>
      </c>
      <c r="C364" s="227" t="s">
        <v>332</v>
      </c>
      <c r="D364" s="227" t="s">
        <v>318</v>
      </c>
      <c r="E364" s="93"/>
    </row>
    <row r="365">
      <c r="A365" s="225" t="s">
        <v>598</v>
      </c>
      <c r="B365" s="226" t="s">
        <v>155</v>
      </c>
      <c r="C365" s="227">
        <v>0.0</v>
      </c>
      <c r="D365" s="227" t="s">
        <v>332</v>
      </c>
      <c r="E365" s="93"/>
    </row>
    <row r="366">
      <c r="A366" s="225" t="s">
        <v>752</v>
      </c>
      <c r="B366" s="226" t="s">
        <v>155</v>
      </c>
      <c r="C366" s="227">
        <v>0.0</v>
      </c>
      <c r="D366" s="227" t="s">
        <v>332</v>
      </c>
      <c r="E366" s="93"/>
    </row>
    <row r="367">
      <c r="A367" s="225" t="s">
        <v>599</v>
      </c>
      <c r="B367" s="226" t="s">
        <v>155</v>
      </c>
      <c r="C367" s="227" t="s">
        <v>332</v>
      </c>
      <c r="D367" s="227" t="s">
        <v>318</v>
      </c>
      <c r="E367" s="93"/>
    </row>
    <row r="368">
      <c r="A368" s="225" t="s">
        <v>601</v>
      </c>
      <c r="B368" s="226" t="s">
        <v>156</v>
      </c>
      <c r="C368" s="227">
        <v>0.0</v>
      </c>
      <c r="D368" s="227" t="s">
        <v>332</v>
      </c>
      <c r="E368" s="93"/>
    </row>
    <row r="369">
      <c r="A369" s="225" t="s">
        <v>753</v>
      </c>
      <c r="B369" s="226" t="s">
        <v>156</v>
      </c>
      <c r="C369" s="227">
        <v>0.0</v>
      </c>
      <c r="D369" s="227" t="s">
        <v>332</v>
      </c>
      <c r="E369" s="93"/>
    </row>
    <row r="370">
      <c r="A370" s="225" t="s">
        <v>605</v>
      </c>
      <c r="B370" s="226" t="s">
        <v>603</v>
      </c>
      <c r="C370" s="227">
        <v>0.0</v>
      </c>
      <c r="D370" s="227" t="s">
        <v>332</v>
      </c>
      <c r="E370" s="93"/>
    </row>
    <row r="371">
      <c r="A371" s="225" t="s">
        <v>754</v>
      </c>
      <c r="B371" s="226" t="s">
        <v>603</v>
      </c>
      <c r="C371" s="227" t="s">
        <v>332</v>
      </c>
      <c r="D371" s="227" t="s">
        <v>332</v>
      </c>
      <c r="E371" s="93"/>
    </row>
    <row r="372">
      <c r="A372" s="225" t="s">
        <v>755</v>
      </c>
      <c r="B372" s="226" t="s">
        <v>603</v>
      </c>
      <c r="C372" s="227">
        <v>0.0</v>
      </c>
      <c r="D372" s="227" t="s">
        <v>332</v>
      </c>
      <c r="E372" s="93"/>
    </row>
    <row r="373">
      <c r="A373" s="225" t="s">
        <v>613</v>
      </c>
      <c r="B373" s="226" t="s">
        <v>603</v>
      </c>
      <c r="C373" s="227">
        <v>0.0</v>
      </c>
      <c r="D373" s="227" t="s">
        <v>332</v>
      </c>
      <c r="E373" s="93"/>
    </row>
    <row r="374">
      <c r="A374" s="225" t="s">
        <v>756</v>
      </c>
      <c r="B374" s="226" t="s">
        <v>603</v>
      </c>
      <c r="C374" s="227">
        <v>0.0</v>
      </c>
      <c r="D374" s="227" t="s">
        <v>332</v>
      </c>
      <c r="E374" s="93"/>
    </row>
    <row r="375">
      <c r="A375" s="225" t="s">
        <v>614</v>
      </c>
      <c r="B375" s="226" t="s">
        <v>603</v>
      </c>
      <c r="C375" s="227" t="s">
        <v>332</v>
      </c>
      <c r="D375" s="227" t="s">
        <v>332</v>
      </c>
      <c r="E375" s="93"/>
    </row>
    <row r="376">
      <c r="A376" s="225" t="s">
        <v>620</v>
      </c>
      <c r="B376" s="226" t="s">
        <v>603</v>
      </c>
      <c r="C376" s="227">
        <v>0.0</v>
      </c>
      <c r="D376" s="227" t="s">
        <v>332</v>
      </c>
      <c r="E376" s="93"/>
    </row>
    <row r="377">
      <c r="A377" s="225" t="s">
        <v>622</v>
      </c>
      <c r="B377" s="226" t="s">
        <v>603</v>
      </c>
      <c r="C377" s="227">
        <v>0.0</v>
      </c>
      <c r="D377" s="227" t="s">
        <v>332</v>
      </c>
      <c r="E377" s="93"/>
    </row>
    <row r="378">
      <c r="A378" s="225" t="s">
        <v>624</v>
      </c>
      <c r="B378" s="226" t="s">
        <v>603</v>
      </c>
      <c r="C378" s="227">
        <v>0.0</v>
      </c>
      <c r="D378" s="227" t="s">
        <v>332</v>
      </c>
      <c r="E378" s="93"/>
    </row>
    <row r="379">
      <c r="A379" s="225" t="s">
        <v>629</v>
      </c>
      <c r="B379" s="226" t="s">
        <v>603</v>
      </c>
      <c r="C379" s="227">
        <v>0.0</v>
      </c>
      <c r="D379" s="227" t="s">
        <v>332</v>
      </c>
      <c r="E379" s="93"/>
    </row>
    <row r="380">
      <c r="A380" s="225" t="s">
        <v>757</v>
      </c>
      <c r="B380" s="226" t="s">
        <v>603</v>
      </c>
      <c r="C380" s="227">
        <v>0.0</v>
      </c>
      <c r="D380" s="227" t="s">
        <v>332</v>
      </c>
      <c r="E380" s="93"/>
    </row>
    <row r="381">
      <c r="A381" s="225" t="s">
        <v>631</v>
      </c>
      <c r="B381" s="226" t="s">
        <v>157</v>
      </c>
      <c r="C381" s="227">
        <v>0.0</v>
      </c>
      <c r="D381" s="227" t="s">
        <v>332</v>
      </c>
      <c r="E381" s="93"/>
    </row>
    <row r="382">
      <c r="A382" s="225" t="s">
        <v>632</v>
      </c>
      <c r="B382" s="226" t="s">
        <v>157</v>
      </c>
      <c r="C382" s="227">
        <v>0.0</v>
      </c>
      <c r="D382" s="227" t="s">
        <v>332</v>
      </c>
      <c r="E382" s="93"/>
    </row>
    <row r="383">
      <c r="A383" s="225" t="s">
        <v>634</v>
      </c>
      <c r="B383" s="226" t="s">
        <v>157</v>
      </c>
      <c r="C383" s="227" t="s">
        <v>332</v>
      </c>
      <c r="D383" s="227" t="s">
        <v>332</v>
      </c>
      <c r="E383" s="93"/>
    </row>
    <row r="384">
      <c r="A384" s="225" t="s">
        <v>635</v>
      </c>
      <c r="B384" s="226" t="s">
        <v>157</v>
      </c>
      <c r="C384" s="227">
        <v>0.0</v>
      </c>
      <c r="D384" s="227" t="s">
        <v>332</v>
      </c>
      <c r="E384" s="93"/>
    </row>
    <row r="385">
      <c r="A385" s="225" t="s">
        <v>636</v>
      </c>
      <c r="B385" s="226" t="s">
        <v>157</v>
      </c>
      <c r="C385" s="227">
        <v>0.0</v>
      </c>
      <c r="D385" s="227" t="s">
        <v>332</v>
      </c>
      <c r="E385" s="93"/>
    </row>
    <row r="386">
      <c r="A386" s="225" t="s">
        <v>637</v>
      </c>
      <c r="B386" s="226" t="s">
        <v>157</v>
      </c>
      <c r="C386" s="227" t="s">
        <v>332</v>
      </c>
      <c r="D386" s="227" t="s">
        <v>318</v>
      </c>
      <c r="E386" s="93"/>
    </row>
    <row r="387">
      <c r="A387" s="225" t="s">
        <v>639</v>
      </c>
      <c r="B387" s="226" t="s">
        <v>157</v>
      </c>
      <c r="C387" s="227">
        <v>0.0</v>
      </c>
      <c r="D387" s="227" t="s">
        <v>332</v>
      </c>
      <c r="E387" s="93"/>
    </row>
    <row r="388">
      <c r="A388" s="225" t="s">
        <v>640</v>
      </c>
      <c r="B388" s="226" t="s">
        <v>157</v>
      </c>
      <c r="C388" s="227">
        <v>0.0</v>
      </c>
      <c r="D388" s="227" t="s">
        <v>332</v>
      </c>
      <c r="E388" s="93"/>
    </row>
    <row r="389">
      <c r="A389" s="225" t="s">
        <v>642</v>
      </c>
      <c r="B389" s="226" t="s">
        <v>157</v>
      </c>
      <c r="C389" s="227">
        <v>0.0</v>
      </c>
      <c r="D389" s="227" t="s">
        <v>332</v>
      </c>
      <c r="E389" s="93"/>
    </row>
    <row r="390">
      <c r="A390" s="225" t="s">
        <v>643</v>
      </c>
      <c r="B390" s="226" t="s">
        <v>157</v>
      </c>
      <c r="C390" s="227">
        <v>0.0</v>
      </c>
      <c r="D390" s="227" t="s">
        <v>332</v>
      </c>
      <c r="E390" s="93"/>
    </row>
    <row r="391">
      <c r="A391" s="225" t="s">
        <v>758</v>
      </c>
      <c r="B391" s="226" t="s">
        <v>157</v>
      </c>
      <c r="C391" s="227" t="s">
        <v>332</v>
      </c>
      <c r="D391" s="227" t="s">
        <v>332</v>
      </c>
      <c r="E391" s="93"/>
    </row>
    <row r="392">
      <c r="A392" s="225" t="s">
        <v>647</v>
      </c>
      <c r="B392" s="226" t="s">
        <v>157</v>
      </c>
      <c r="C392" s="227" t="s">
        <v>332</v>
      </c>
      <c r="D392" s="227" t="s">
        <v>318</v>
      </c>
      <c r="E392" s="93"/>
    </row>
    <row r="393">
      <c r="A393" s="225" t="s">
        <v>648</v>
      </c>
      <c r="B393" s="226" t="s">
        <v>157</v>
      </c>
      <c r="C393" s="227" t="s">
        <v>332</v>
      </c>
      <c r="D393" s="227" t="s">
        <v>332</v>
      </c>
      <c r="E393" s="93"/>
    </row>
    <row r="394">
      <c r="A394" s="225" t="s">
        <v>649</v>
      </c>
      <c r="B394" s="226" t="s">
        <v>157</v>
      </c>
      <c r="C394" s="227">
        <v>0.0</v>
      </c>
      <c r="D394" s="227" t="s">
        <v>318</v>
      </c>
      <c r="E394" s="93"/>
    </row>
    <row r="395">
      <c r="A395" s="225" t="s">
        <v>650</v>
      </c>
      <c r="B395" s="226" t="s">
        <v>157</v>
      </c>
      <c r="C395" s="227">
        <v>0.0</v>
      </c>
      <c r="D395" s="227" t="s">
        <v>332</v>
      </c>
      <c r="E395" s="93"/>
    </row>
    <row r="396">
      <c r="A396" s="225" t="s">
        <v>652</v>
      </c>
      <c r="B396" s="226" t="s">
        <v>157</v>
      </c>
      <c r="C396" s="227">
        <v>0.0</v>
      </c>
      <c r="D396" s="227" t="s">
        <v>332</v>
      </c>
      <c r="E396" s="93"/>
    </row>
    <row r="397">
      <c r="A397" s="225" t="s">
        <v>654</v>
      </c>
      <c r="B397" s="226" t="s">
        <v>157</v>
      </c>
      <c r="C397" s="227" t="s">
        <v>332</v>
      </c>
      <c r="D397" s="227" t="s">
        <v>318</v>
      </c>
      <c r="E397" s="93"/>
    </row>
    <row r="398">
      <c r="A398" s="225" t="s">
        <v>655</v>
      </c>
      <c r="B398" s="226" t="s">
        <v>157</v>
      </c>
      <c r="C398" s="227" t="s">
        <v>332</v>
      </c>
      <c r="D398" s="227" t="s">
        <v>332</v>
      </c>
      <c r="E398" s="93"/>
    </row>
    <row r="399">
      <c r="A399" s="225" t="s">
        <v>656</v>
      </c>
      <c r="B399" s="226" t="s">
        <v>157</v>
      </c>
      <c r="C399" s="227">
        <v>0.0</v>
      </c>
      <c r="D399" s="227" t="s">
        <v>332</v>
      </c>
      <c r="E399" s="93"/>
    </row>
    <row r="400">
      <c r="A400" s="225" t="s">
        <v>657</v>
      </c>
      <c r="B400" s="226" t="s">
        <v>157</v>
      </c>
      <c r="C400" s="227">
        <v>0.0</v>
      </c>
      <c r="D400" s="227" t="s">
        <v>332</v>
      </c>
      <c r="E400" s="93"/>
    </row>
    <row r="401">
      <c r="A401" s="225" t="s">
        <v>658</v>
      </c>
      <c r="B401" s="226" t="s">
        <v>157</v>
      </c>
      <c r="C401" s="227">
        <v>0.0</v>
      </c>
      <c r="D401" s="227" t="s">
        <v>318</v>
      </c>
      <c r="E401" s="93"/>
    </row>
    <row r="402">
      <c r="A402" s="225" t="s">
        <v>759</v>
      </c>
      <c r="B402" s="226" t="s">
        <v>157</v>
      </c>
      <c r="C402" s="227">
        <v>0.0</v>
      </c>
      <c r="D402" s="227" t="s">
        <v>332</v>
      </c>
      <c r="E402" s="93"/>
    </row>
    <row r="403">
      <c r="A403" s="225" t="s">
        <v>660</v>
      </c>
      <c r="B403" s="226" t="s">
        <v>157</v>
      </c>
      <c r="C403" s="227">
        <v>0.0</v>
      </c>
      <c r="D403" s="227" t="s">
        <v>332</v>
      </c>
      <c r="E403" s="93"/>
    </row>
    <row r="404">
      <c r="A404" s="225" t="s">
        <v>661</v>
      </c>
      <c r="B404" s="226" t="s">
        <v>157</v>
      </c>
      <c r="C404" s="227">
        <v>0.0</v>
      </c>
      <c r="D404" s="227" t="s">
        <v>332</v>
      </c>
      <c r="E404" s="93"/>
    </row>
    <row r="405">
      <c r="A405" s="225" t="s">
        <v>663</v>
      </c>
      <c r="B405" s="226" t="s">
        <v>157</v>
      </c>
      <c r="C405" s="227">
        <v>0.0</v>
      </c>
      <c r="D405" s="227" t="s">
        <v>332</v>
      </c>
      <c r="E405" s="93"/>
    </row>
    <row r="406">
      <c r="A406" s="228" t="s">
        <v>664</v>
      </c>
      <c r="B406" s="226" t="s">
        <v>157</v>
      </c>
      <c r="C406" s="227">
        <v>0.0</v>
      </c>
      <c r="D406" s="227" t="s">
        <v>332</v>
      </c>
      <c r="E406" s="93"/>
    </row>
    <row r="407">
      <c r="A407" s="225" t="s">
        <v>665</v>
      </c>
      <c r="B407" s="226" t="s">
        <v>157</v>
      </c>
      <c r="C407" s="227" t="s">
        <v>332</v>
      </c>
      <c r="D407" s="227" t="s">
        <v>332</v>
      </c>
      <c r="E407" s="93"/>
    </row>
    <row r="408">
      <c r="A408" s="225" t="s">
        <v>667</v>
      </c>
      <c r="B408" s="226" t="s">
        <v>157</v>
      </c>
      <c r="C408" s="227">
        <v>0.0</v>
      </c>
      <c r="D408" s="227" t="s">
        <v>332</v>
      </c>
      <c r="E408" s="93"/>
    </row>
    <row r="409">
      <c r="A409" s="225" t="s">
        <v>668</v>
      </c>
      <c r="B409" s="226" t="s">
        <v>157</v>
      </c>
      <c r="C409" s="227">
        <v>0.0</v>
      </c>
      <c r="D409" s="227" t="s">
        <v>332</v>
      </c>
      <c r="E409" s="93"/>
    </row>
    <row r="410">
      <c r="A410" s="225" t="s">
        <v>760</v>
      </c>
      <c r="B410" s="226" t="s">
        <v>761</v>
      </c>
      <c r="C410" s="227">
        <v>0.0</v>
      </c>
      <c r="D410" s="227" t="s">
        <v>332</v>
      </c>
      <c r="E410" s="93"/>
    </row>
    <row r="411">
      <c r="A411" s="225" t="s">
        <v>762</v>
      </c>
      <c r="B411" s="226" t="s">
        <v>159</v>
      </c>
      <c r="C411" s="227">
        <v>0.0</v>
      </c>
      <c r="D411" s="227" t="s">
        <v>332</v>
      </c>
      <c r="E411" s="93"/>
    </row>
    <row r="412">
      <c r="A412" s="225" t="s">
        <v>679</v>
      </c>
      <c r="B412" s="226" t="s">
        <v>679</v>
      </c>
      <c r="C412" s="227">
        <v>0.0</v>
      </c>
      <c r="D412" s="227" t="s">
        <v>332</v>
      </c>
      <c r="E412" s="93"/>
    </row>
    <row r="413">
      <c r="A413" s="225" t="s">
        <v>686</v>
      </c>
      <c r="B413" s="226" t="s">
        <v>160</v>
      </c>
      <c r="C413" s="227" t="s">
        <v>332</v>
      </c>
      <c r="D413" s="227" t="s">
        <v>332</v>
      </c>
      <c r="E413" s="93"/>
    </row>
    <row r="414">
      <c r="A414" s="225" t="s">
        <v>687</v>
      </c>
      <c r="B414" s="226" t="s">
        <v>160</v>
      </c>
      <c r="C414" s="227" t="s">
        <v>332</v>
      </c>
      <c r="D414" s="227" t="s">
        <v>332</v>
      </c>
      <c r="E414" s="93"/>
    </row>
    <row r="415">
      <c r="A415" s="225" t="s">
        <v>692</v>
      </c>
      <c r="B415" s="226" t="s">
        <v>692</v>
      </c>
      <c r="C415" s="227">
        <v>0.0</v>
      </c>
      <c r="D415" s="227" t="s">
        <v>332</v>
      </c>
      <c r="E415" s="93"/>
    </row>
    <row r="416">
      <c r="A416" s="225" t="s">
        <v>698</v>
      </c>
      <c r="B416" s="226" t="s">
        <v>699</v>
      </c>
      <c r="C416" s="227">
        <v>0.0</v>
      </c>
      <c r="D416" s="227" t="s">
        <v>332</v>
      </c>
      <c r="E416" s="93"/>
    </row>
    <row r="417">
      <c r="A417" s="225" t="s">
        <v>700</v>
      </c>
      <c r="B417" s="226" t="s">
        <v>164</v>
      </c>
      <c r="C417" s="227">
        <v>0.0</v>
      </c>
      <c r="D417" s="227" t="s">
        <v>332</v>
      </c>
      <c r="E417" s="93"/>
    </row>
    <row r="418">
      <c r="A418" s="225" t="s">
        <v>701</v>
      </c>
      <c r="B418" s="226" t="s">
        <v>164</v>
      </c>
      <c r="C418" s="227">
        <v>0.0</v>
      </c>
      <c r="D418" s="227" t="s">
        <v>332</v>
      </c>
      <c r="E418" s="93"/>
    </row>
    <row r="419">
      <c r="A419" s="225" t="s">
        <v>763</v>
      </c>
      <c r="B419" s="226" t="s">
        <v>164</v>
      </c>
      <c r="C419" s="227">
        <v>0.0</v>
      </c>
      <c r="D419" s="227" t="s">
        <v>332</v>
      </c>
      <c r="E419" s="93"/>
    </row>
    <row r="420">
      <c r="A420" s="225" t="s">
        <v>764</v>
      </c>
      <c r="B420" s="226" t="s">
        <v>164</v>
      </c>
      <c r="C420" s="227" t="s">
        <v>332</v>
      </c>
      <c r="D420" s="227" t="s">
        <v>318</v>
      </c>
      <c r="E420" s="93"/>
    </row>
    <row r="421">
      <c r="A421" s="225" t="s">
        <v>706</v>
      </c>
      <c r="B421" s="226" t="s">
        <v>164</v>
      </c>
      <c r="C421" s="227" t="s">
        <v>332</v>
      </c>
      <c r="D421" s="227" t="s">
        <v>318</v>
      </c>
      <c r="E421" s="93"/>
    </row>
    <row r="422">
      <c r="A422" s="225" t="s">
        <v>707</v>
      </c>
      <c r="B422" s="226" t="s">
        <v>164</v>
      </c>
      <c r="C422" s="227">
        <v>0.0</v>
      </c>
      <c r="D422" s="227" t="s">
        <v>332</v>
      </c>
      <c r="E422" s="93"/>
    </row>
    <row r="423">
      <c r="A423" s="225" t="s">
        <v>708</v>
      </c>
      <c r="B423" s="226" t="s">
        <v>164</v>
      </c>
      <c r="C423" s="227">
        <v>0.0</v>
      </c>
      <c r="D423" s="227" t="s">
        <v>332</v>
      </c>
      <c r="E423" s="93"/>
    </row>
    <row r="424">
      <c r="A424" s="225" t="s">
        <v>765</v>
      </c>
      <c r="B424" s="226" t="s">
        <v>164</v>
      </c>
      <c r="C424" s="227">
        <v>0.0</v>
      </c>
      <c r="D424" s="227" t="s">
        <v>332</v>
      </c>
      <c r="E424" s="93"/>
    </row>
    <row r="425">
      <c r="A425" s="225" t="s">
        <v>766</v>
      </c>
      <c r="B425" s="226" t="s">
        <v>164</v>
      </c>
      <c r="C425" s="227">
        <v>0.0</v>
      </c>
      <c r="D425" s="227" t="s">
        <v>332</v>
      </c>
      <c r="E425" s="93"/>
    </row>
    <row r="426">
      <c r="A426" s="225" t="s">
        <v>767</v>
      </c>
      <c r="B426" s="226" t="s">
        <v>166</v>
      </c>
      <c r="C426" s="227">
        <v>0.0</v>
      </c>
      <c r="D426" s="227" t="s">
        <v>332</v>
      </c>
      <c r="E426" s="93"/>
    </row>
    <row r="427">
      <c r="A427" s="225" t="s">
        <v>710</v>
      </c>
      <c r="B427" s="226" t="s">
        <v>166</v>
      </c>
      <c r="C427" s="227">
        <v>0.0</v>
      </c>
      <c r="D427" s="227" t="s">
        <v>332</v>
      </c>
      <c r="E427" s="93"/>
    </row>
    <row r="428">
      <c r="A428" s="225" t="s">
        <v>768</v>
      </c>
      <c r="B428" s="226" t="s">
        <v>166</v>
      </c>
      <c r="C428" s="227" t="s">
        <v>332</v>
      </c>
      <c r="D428" s="227" t="s">
        <v>332</v>
      </c>
      <c r="E428" s="93"/>
    </row>
    <row r="429">
      <c r="A429" s="225" t="s">
        <v>717</v>
      </c>
      <c r="B429" s="226" t="s">
        <v>168</v>
      </c>
      <c r="C429" s="227">
        <v>0.0</v>
      </c>
      <c r="D429" s="227" t="s">
        <v>332</v>
      </c>
      <c r="E429" s="93"/>
    </row>
    <row r="430">
      <c r="A430" s="225" t="s">
        <v>718</v>
      </c>
      <c r="B430" s="226" t="s">
        <v>168</v>
      </c>
      <c r="C430" s="227" t="s">
        <v>332</v>
      </c>
      <c r="D430" s="227" t="s">
        <v>332</v>
      </c>
      <c r="E430" s="93"/>
    </row>
    <row r="431">
      <c r="A431" s="225" t="s">
        <v>719</v>
      </c>
      <c r="B431" s="226" t="s">
        <v>168</v>
      </c>
      <c r="C431" s="227">
        <v>0.0</v>
      </c>
      <c r="D431" s="227" t="s">
        <v>332</v>
      </c>
      <c r="E431" s="93"/>
    </row>
    <row r="432">
      <c r="A432" s="225" t="s">
        <v>720</v>
      </c>
      <c r="B432" s="226" t="s">
        <v>168</v>
      </c>
      <c r="C432" s="227">
        <v>0.0</v>
      </c>
      <c r="D432" s="227" t="s">
        <v>332</v>
      </c>
      <c r="E432" s="93"/>
    </row>
    <row r="433">
      <c r="A433" s="225" t="s">
        <v>723</v>
      </c>
      <c r="B433" s="226" t="s">
        <v>168</v>
      </c>
      <c r="C433" s="227" t="s">
        <v>332</v>
      </c>
      <c r="D433" s="227" t="s">
        <v>318</v>
      </c>
      <c r="E433" s="93"/>
    </row>
    <row r="434">
      <c r="A434" s="225" t="s">
        <v>724</v>
      </c>
      <c r="B434" s="226" t="s">
        <v>168</v>
      </c>
      <c r="C434" s="227" t="s">
        <v>332</v>
      </c>
      <c r="D434" s="227" t="s">
        <v>332</v>
      </c>
      <c r="E434" s="93"/>
    </row>
    <row r="435">
      <c r="A435" s="225" t="s">
        <v>769</v>
      </c>
      <c r="B435" s="226" t="s">
        <v>168</v>
      </c>
      <c r="C435" s="227">
        <v>0.0</v>
      </c>
      <c r="D435" s="227" t="s">
        <v>332</v>
      </c>
      <c r="E435" s="93"/>
    </row>
    <row r="436">
      <c r="A436" s="225" t="s">
        <v>725</v>
      </c>
      <c r="B436" s="226" t="s">
        <v>726</v>
      </c>
      <c r="C436" s="227">
        <v>0.0</v>
      </c>
      <c r="D436" s="227" t="s">
        <v>332</v>
      </c>
      <c r="E436" s="93"/>
    </row>
    <row r="437">
      <c r="A437" s="233"/>
      <c r="B437" s="230" t="s">
        <v>727</v>
      </c>
      <c r="C437" s="231" t="s">
        <v>336</v>
      </c>
      <c r="D437" s="231" t="s">
        <v>770</v>
      </c>
      <c r="E437" s="93"/>
    </row>
    <row r="438" ht="99.0" customHeight="1">
      <c r="A438" s="234" t="s">
        <v>771</v>
      </c>
      <c r="B438" s="86"/>
      <c r="C438" s="86"/>
      <c r="D438" s="35"/>
      <c r="E438" s="93"/>
    </row>
  </sheetData>
  <mergeCells count="5">
    <mergeCell ref="A1:D1"/>
    <mergeCell ref="A2:D2"/>
    <mergeCell ref="A4:D4"/>
    <mergeCell ref="A276:D276"/>
    <mergeCell ref="A438:D43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f>IFERROR(__xludf.DUMMYFUNCTION("filter( Trends!A1:AO1000, row(Trends!A1:A1000) &gt; counta(Trends!A1:A1000) - 199 )"),43945.0)</f>
        <v>43945</v>
      </c>
      <c r="B1" s="172">
        <f>IFERROR(__xludf.DUMMYFUNCTION("""COMPUTED_VALUE"""),491.0)</f>
        <v>491</v>
      </c>
      <c r="C1" s="172">
        <f>IFERROR(__xludf.DUMMYFUNCTION("""COMPUTED_VALUE"""),463.0)</f>
        <v>463</v>
      </c>
      <c r="D1" s="172">
        <f>IFERROR(__xludf.DUMMYFUNCTION("""COMPUTED_VALUE"""),7700.0)</f>
        <v>7700</v>
      </c>
      <c r="E1" s="172">
        <f>IFERROR(__xludf.DUMMYFUNCTION("""COMPUTED_VALUE"""),3284.0)</f>
        <v>3284</v>
      </c>
      <c r="F1" s="172">
        <f>IFERROR(__xludf.DUMMYFUNCTION("""COMPUTED_VALUE"""),45061.0)</f>
        <v>45061</v>
      </c>
      <c r="G1" s="172">
        <f>IFERROR(__xludf.DUMMYFUNCTION("""COMPUTED_VALUE"""),3775.0)</f>
        <v>3775</v>
      </c>
      <c r="H1" s="172">
        <f>IFERROR(__xludf.DUMMYFUNCTION("""COMPUTED_VALUE"""),52761.0)</f>
        <v>52761</v>
      </c>
      <c r="I1" s="172">
        <f>IFERROR(__xludf.DUMMYFUNCTION("""COMPUTED_VALUE"""),407.0)</f>
        <v>407</v>
      </c>
      <c r="J1" s="172">
        <f>IFERROR(__xludf.DUMMYFUNCTION("""COMPUTED_VALUE"""),399.0)</f>
        <v>399</v>
      </c>
      <c r="K1" s="172">
        <f>IFERROR(__xludf.DUMMYFUNCTION("""COMPUTED_VALUE"""),7141.0)</f>
        <v>7141</v>
      </c>
      <c r="L1" s="172">
        <f>IFERROR(__xludf.DUMMYFUNCTION("""COMPUTED_VALUE"""),2571.0)</f>
        <v>2571</v>
      </c>
      <c r="M1" s="172">
        <f>IFERROR(__xludf.DUMMYFUNCTION("""COMPUTED_VALUE"""),37960.0)</f>
        <v>37960</v>
      </c>
      <c r="N1" s="172">
        <f>IFERROR(__xludf.DUMMYFUNCTION("""COMPUTED_VALUE"""),45101.0)</f>
        <v>45101</v>
      </c>
      <c r="O1" s="172">
        <f>IFERROR(__xludf.DUMMYFUNCTION("""COMPUTED_VALUE"""),35.0)</f>
        <v>35</v>
      </c>
      <c r="P1" s="172">
        <f>IFERROR(__xludf.DUMMYFUNCTION("""COMPUTED_VALUE"""),831.0)</f>
        <v>831</v>
      </c>
      <c r="Q1" s="172">
        <f>IFERROR(__xludf.DUMMYFUNCTION("""COMPUTED_VALUE"""),26.0)</f>
        <v>26</v>
      </c>
      <c r="R1" s="172">
        <f>IFERROR(__xludf.DUMMYFUNCTION("""COMPUTED_VALUE"""),416.0)</f>
        <v>416</v>
      </c>
      <c r="S1" s="172">
        <f>IFERROR(__xludf.DUMMYFUNCTION("""COMPUTED_VALUE"""),4.0)</f>
        <v>4</v>
      </c>
      <c r="T1" s="172">
        <f>IFERROR(__xludf.DUMMYFUNCTION("""COMPUTED_VALUE"""),86.0)</f>
        <v>86</v>
      </c>
      <c r="U1" s="172">
        <f>IFERROR(__xludf.DUMMYFUNCTION("""COMPUTED_VALUE"""),329.0)</f>
        <v>329</v>
      </c>
      <c r="V1" s="172">
        <f>IFERROR(__xludf.DUMMYFUNCTION("""COMPUTED_VALUE"""),326.0)</f>
        <v>326</v>
      </c>
      <c r="W1" s="172">
        <f>IFERROR(__xludf.DUMMYFUNCTION("""COMPUTED_VALUE"""),85.0)</f>
        <v>85</v>
      </c>
      <c r="X1" s="172">
        <f>IFERROR(__xludf.DUMMYFUNCTION("""COMPUTED_VALUE"""),63.0)</f>
        <v>63</v>
      </c>
      <c r="Y1" s="172">
        <f>IFERROR(__xludf.DUMMYFUNCTION("""COMPUTED_VALUE"""),15.0)</f>
        <v>15</v>
      </c>
      <c r="Z1" s="172">
        <f>IFERROR(__xludf.DUMMYFUNCTION("""COMPUTED_VALUE"""),262.0)</f>
        <v>262</v>
      </c>
    </row>
    <row r="2">
      <c r="A2" s="235">
        <f>IFERROR(__xludf.DUMMYFUNCTION("""COMPUTED_VALUE"""),43946.0)</f>
        <v>43946</v>
      </c>
      <c r="B2" s="172">
        <f>IFERROR(__xludf.DUMMYFUNCTION("""COMPUTED_VALUE"""),393.0)</f>
        <v>393</v>
      </c>
      <c r="C2" s="172">
        <f>IFERROR(__xludf.DUMMYFUNCTION("""COMPUTED_VALUE"""),454.0)</f>
        <v>454</v>
      </c>
      <c r="D2" s="172">
        <f>IFERROR(__xludf.DUMMYFUNCTION("""COMPUTED_VALUE"""),8093.0)</f>
        <v>8093</v>
      </c>
      <c r="E2" s="172">
        <f>IFERROR(__xludf.DUMMYFUNCTION("""COMPUTED_VALUE"""),2206.0)</f>
        <v>2206</v>
      </c>
      <c r="F2" s="172">
        <f>IFERROR(__xludf.DUMMYFUNCTION("""COMPUTED_VALUE"""),47267.0)</f>
        <v>47267</v>
      </c>
      <c r="G2" s="172">
        <f>IFERROR(__xludf.DUMMYFUNCTION("""COMPUTED_VALUE"""),2599.0)</f>
        <v>2599</v>
      </c>
      <c r="H2" s="172">
        <f>IFERROR(__xludf.DUMMYFUNCTION("""COMPUTED_VALUE"""),55360.0)</f>
        <v>55360</v>
      </c>
      <c r="I2" s="172">
        <f>IFERROR(__xludf.DUMMYFUNCTION("""COMPUTED_VALUE"""),299.0)</f>
        <v>299</v>
      </c>
      <c r="J2" s="172">
        <f>IFERROR(__xludf.DUMMYFUNCTION("""COMPUTED_VALUE"""),373.0)</f>
        <v>373</v>
      </c>
      <c r="K2" s="172">
        <f>IFERROR(__xludf.DUMMYFUNCTION("""COMPUTED_VALUE"""),7440.0)</f>
        <v>7440</v>
      </c>
      <c r="L2" s="172">
        <f>IFERROR(__xludf.DUMMYFUNCTION("""COMPUTED_VALUE"""),1731.0)</f>
        <v>1731</v>
      </c>
      <c r="M2" s="172">
        <f>IFERROR(__xludf.DUMMYFUNCTION("""COMPUTED_VALUE"""),39691.0)</f>
        <v>39691</v>
      </c>
      <c r="N2" s="172">
        <f>IFERROR(__xludf.DUMMYFUNCTION("""COMPUTED_VALUE"""),47131.0)</f>
        <v>47131</v>
      </c>
      <c r="O2" s="172">
        <f>IFERROR(__xludf.DUMMYFUNCTION("""COMPUTED_VALUE"""),34.0)</f>
        <v>34</v>
      </c>
      <c r="P2" s="172">
        <f>IFERROR(__xludf.DUMMYFUNCTION("""COMPUTED_VALUE"""),865.0)</f>
        <v>865</v>
      </c>
      <c r="Q2" s="172">
        <f>IFERROR(__xludf.DUMMYFUNCTION("""COMPUTED_VALUE"""),17.0)</f>
        <v>17</v>
      </c>
      <c r="R2" s="172">
        <f>IFERROR(__xludf.DUMMYFUNCTION("""COMPUTED_VALUE"""),433.0)</f>
        <v>433</v>
      </c>
      <c r="S2" s="172">
        <f>IFERROR(__xludf.DUMMYFUNCTION("""COMPUTED_VALUE"""),5.0)</f>
        <v>5</v>
      </c>
      <c r="T2" s="172">
        <f>IFERROR(__xludf.DUMMYFUNCTION("""COMPUTED_VALUE"""),91.0)</f>
        <v>91</v>
      </c>
      <c r="U2" s="172">
        <f>IFERROR(__xludf.DUMMYFUNCTION("""COMPUTED_VALUE"""),341.0)</f>
        <v>341</v>
      </c>
      <c r="V2" s="172">
        <f>IFERROR(__xludf.DUMMYFUNCTION("""COMPUTED_VALUE"""),331.0)</f>
        <v>331</v>
      </c>
      <c r="W2" s="172">
        <f>IFERROR(__xludf.DUMMYFUNCTION("""COMPUTED_VALUE"""),85.0)</f>
        <v>85</v>
      </c>
      <c r="X2" s="172">
        <f>IFERROR(__xludf.DUMMYFUNCTION("""COMPUTED_VALUE"""),62.0)</f>
        <v>62</v>
      </c>
      <c r="Y2" s="172">
        <f>IFERROR(__xludf.DUMMYFUNCTION("""COMPUTED_VALUE"""),14.0)</f>
        <v>14</v>
      </c>
      <c r="Z2" s="172">
        <f>IFERROR(__xludf.DUMMYFUNCTION("""COMPUTED_VALUE"""),276.0)</f>
        <v>276</v>
      </c>
    </row>
    <row r="3">
      <c r="A3" s="235">
        <f>IFERROR(__xludf.DUMMYFUNCTION("""COMPUTED_VALUE"""),43947.0)</f>
        <v>43947</v>
      </c>
      <c r="B3" s="172">
        <f>IFERROR(__xludf.DUMMYFUNCTION("""COMPUTED_VALUE"""),316.0)</f>
        <v>316</v>
      </c>
      <c r="C3" s="172">
        <f>IFERROR(__xludf.DUMMYFUNCTION("""COMPUTED_VALUE"""),400.0)</f>
        <v>400</v>
      </c>
      <c r="D3" s="172">
        <f>IFERROR(__xludf.DUMMYFUNCTION("""COMPUTED_VALUE"""),8409.0)</f>
        <v>8409</v>
      </c>
      <c r="E3" s="172">
        <f>IFERROR(__xludf.DUMMYFUNCTION("""COMPUTED_VALUE"""),2309.0)</f>
        <v>2309</v>
      </c>
      <c r="F3" s="172">
        <f>IFERROR(__xludf.DUMMYFUNCTION("""COMPUTED_VALUE"""),49576.0)</f>
        <v>49576</v>
      </c>
      <c r="G3" s="172">
        <f>IFERROR(__xludf.DUMMYFUNCTION("""COMPUTED_VALUE"""),2625.0)</f>
        <v>2625</v>
      </c>
      <c r="H3" s="172">
        <f>IFERROR(__xludf.DUMMYFUNCTION("""COMPUTED_VALUE"""),57985.0)</f>
        <v>57985</v>
      </c>
      <c r="I3" s="172">
        <f>IFERROR(__xludf.DUMMYFUNCTION("""COMPUTED_VALUE"""),274.0)</f>
        <v>274</v>
      </c>
      <c r="J3" s="172">
        <f>IFERROR(__xludf.DUMMYFUNCTION("""COMPUTED_VALUE"""),327.0)</f>
        <v>327</v>
      </c>
      <c r="K3" s="172">
        <f>IFERROR(__xludf.DUMMYFUNCTION("""COMPUTED_VALUE"""),7714.0)</f>
        <v>7714</v>
      </c>
      <c r="L3" s="172">
        <f>IFERROR(__xludf.DUMMYFUNCTION("""COMPUTED_VALUE"""),1845.0)</f>
        <v>1845</v>
      </c>
      <c r="M3" s="172">
        <f>IFERROR(__xludf.DUMMYFUNCTION("""COMPUTED_VALUE"""),41536.0)</f>
        <v>41536</v>
      </c>
      <c r="N3" s="172">
        <f>IFERROR(__xludf.DUMMYFUNCTION("""COMPUTED_VALUE"""),49250.0)</f>
        <v>49250</v>
      </c>
      <c r="O3" s="172">
        <f>IFERROR(__xludf.DUMMYFUNCTION("""COMPUTED_VALUE"""),33.0)</f>
        <v>33</v>
      </c>
      <c r="P3" s="172">
        <f>IFERROR(__xludf.DUMMYFUNCTION("""COMPUTED_VALUE"""),898.0)</f>
        <v>898</v>
      </c>
      <c r="Q3" s="172">
        <f>IFERROR(__xludf.DUMMYFUNCTION("""COMPUTED_VALUE"""),15.0)</f>
        <v>15</v>
      </c>
      <c r="R3" s="172">
        <f>IFERROR(__xludf.DUMMYFUNCTION("""COMPUTED_VALUE"""),448.0)</f>
        <v>448</v>
      </c>
      <c r="S3" s="172">
        <f>IFERROR(__xludf.DUMMYFUNCTION("""COMPUTED_VALUE"""),3.0)</f>
        <v>3</v>
      </c>
      <c r="T3" s="172">
        <f>IFERROR(__xludf.DUMMYFUNCTION("""COMPUTED_VALUE"""),94.0)</f>
        <v>94</v>
      </c>
      <c r="U3" s="172">
        <f>IFERROR(__xludf.DUMMYFUNCTION("""COMPUTED_VALUE"""),356.0)</f>
        <v>356</v>
      </c>
      <c r="V3" s="172">
        <f>IFERROR(__xludf.DUMMYFUNCTION("""COMPUTED_VALUE"""),342.0)</f>
        <v>342</v>
      </c>
      <c r="W3" s="172">
        <f>IFERROR(__xludf.DUMMYFUNCTION("""COMPUTED_VALUE"""),86.0)</f>
        <v>86</v>
      </c>
      <c r="X3" s="172">
        <f>IFERROR(__xludf.DUMMYFUNCTION("""COMPUTED_VALUE"""),59.0)</f>
        <v>59</v>
      </c>
      <c r="Y3" s="172">
        <f>IFERROR(__xludf.DUMMYFUNCTION("""COMPUTED_VALUE"""),14.0)</f>
        <v>14</v>
      </c>
      <c r="Z3" s="172">
        <f>IFERROR(__xludf.DUMMYFUNCTION("""COMPUTED_VALUE"""),290.0)</f>
        <v>290</v>
      </c>
    </row>
    <row r="4">
      <c r="A4" s="235">
        <f>IFERROR(__xludf.DUMMYFUNCTION("""COMPUTED_VALUE"""),43948.0)</f>
        <v>43948</v>
      </c>
      <c r="B4" s="172">
        <f>IFERROR(__xludf.DUMMYFUNCTION("""COMPUTED_VALUE"""),249.0)</f>
        <v>249</v>
      </c>
      <c r="C4" s="172">
        <f>IFERROR(__xludf.DUMMYFUNCTION("""COMPUTED_VALUE"""),319.0)</f>
        <v>319</v>
      </c>
      <c r="D4" s="172">
        <f>IFERROR(__xludf.DUMMYFUNCTION("""COMPUTED_VALUE"""),8658.0)</f>
        <v>8658</v>
      </c>
      <c r="E4" s="172">
        <f>IFERROR(__xludf.DUMMYFUNCTION("""COMPUTED_VALUE"""),1620.0)</f>
        <v>1620</v>
      </c>
      <c r="F4" s="172">
        <f>IFERROR(__xludf.DUMMYFUNCTION("""COMPUTED_VALUE"""),51196.0)</f>
        <v>51196</v>
      </c>
      <c r="G4" s="172">
        <f>IFERROR(__xludf.DUMMYFUNCTION("""COMPUTED_VALUE"""),1869.0)</f>
        <v>1869</v>
      </c>
      <c r="H4" s="172">
        <f>IFERROR(__xludf.DUMMYFUNCTION("""COMPUTED_VALUE"""),59854.0)</f>
        <v>59854</v>
      </c>
      <c r="I4" s="172">
        <f>IFERROR(__xludf.DUMMYFUNCTION("""COMPUTED_VALUE"""),206.0)</f>
        <v>206</v>
      </c>
      <c r="J4" s="172">
        <f>IFERROR(__xludf.DUMMYFUNCTION("""COMPUTED_VALUE"""),260.0)</f>
        <v>260</v>
      </c>
      <c r="K4" s="172">
        <f>IFERROR(__xludf.DUMMYFUNCTION("""COMPUTED_VALUE"""),7920.0)</f>
        <v>7920</v>
      </c>
      <c r="L4" s="172">
        <f>IFERROR(__xludf.DUMMYFUNCTION("""COMPUTED_VALUE"""),1140.0)</f>
        <v>1140</v>
      </c>
      <c r="M4" s="172">
        <f>IFERROR(__xludf.DUMMYFUNCTION("""COMPUTED_VALUE"""),42676.0)</f>
        <v>42676</v>
      </c>
      <c r="N4" s="172">
        <f>IFERROR(__xludf.DUMMYFUNCTION("""COMPUTED_VALUE"""),50596.0)</f>
        <v>50596</v>
      </c>
      <c r="O4" s="172">
        <f>IFERROR(__xludf.DUMMYFUNCTION("""COMPUTED_VALUE"""),29.0)</f>
        <v>29</v>
      </c>
      <c r="P4" s="172">
        <f>IFERROR(__xludf.DUMMYFUNCTION("""COMPUTED_VALUE"""),927.0)</f>
        <v>927</v>
      </c>
      <c r="Q4" s="172">
        <f>IFERROR(__xludf.DUMMYFUNCTION("""COMPUTED_VALUE"""),21.0)</f>
        <v>21</v>
      </c>
      <c r="R4" s="172">
        <f>IFERROR(__xludf.DUMMYFUNCTION("""COMPUTED_VALUE"""),469.0)</f>
        <v>469</v>
      </c>
      <c r="S4" s="172">
        <f>IFERROR(__xludf.DUMMYFUNCTION("""COMPUTED_VALUE"""),4.0)</f>
        <v>4</v>
      </c>
      <c r="T4" s="172">
        <f>IFERROR(__xludf.DUMMYFUNCTION("""COMPUTED_VALUE"""),98.0)</f>
        <v>98</v>
      </c>
      <c r="U4" s="172">
        <f>IFERROR(__xludf.DUMMYFUNCTION("""COMPUTED_VALUE"""),360.0)</f>
        <v>360</v>
      </c>
      <c r="V4" s="172">
        <f>IFERROR(__xludf.DUMMYFUNCTION("""COMPUTED_VALUE"""),352.0)</f>
        <v>352</v>
      </c>
      <c r="W4" s="172">
        <f>IFERROR(__xludf.DUMMYFUNCTION("""COMPUTED_VALUE"""),86.0)</f>
        <v>86</v>
      </c>
      <c r="X4" s="172">
        <f>IFERROR(__xludf.DUMMYFUNCTION("""COMPUTED_VALUE"""),61.0)</f>
        <v>61</v>
      </c>
      <c r="Y4" s="172">
        <f>IFERROR(__xludf.DUMMYFUNCTION("""COMPUTED_VALUE"""),10.0)</f>
        <v>10</v>
      </c>
      <c r="Z4" s="172">
        <f>IFERROR(__xludf.DUMMYFUNCTION("""COMPUTED_VALUE"""),300.0)</f>
        <v>300</v>
      </c>
    </row>
    <row r="5">
      <c r="A5" s="235">
        <f>IFERROR(__xludf.DUMMYFUNCTION("""COMPUTED_VALUE"""),43949.0)</f>
        <v>43949</v>
      </c>
      <c r="B5" s="172">
        <f>IFERROR(__xludf.DUMMYFUNCTION("""COMPUTED_VALUE"""),410.0)</f>
        <v>410</v>
      </c>
      <c r="C5" s="172">
        <f>IFERROR(__xludf.DUMMYFUNCTION("""COMPUTED_VALUE"""),325.0)</f>
        <v>325</v>
      </c>
      <c r="D5" s="172">
        <f>IFERROR(__xludf.DUMMYFUNCTION("""COMPUTED_VALUE"""),9068.0)</f>
        <v>9068</v>
      </c>
      <c r="E5" s="172">
        <f>IFERROR(__xludf.DUMMYFUNCTION("""COMPUTED_VALUE"""),2263.0)</f>
        <v>2263</v>
      </c>
      <c r="F5" s="172">
        <f>IFERROR(__xludf.DUMMYFUNCTION("""COMPUTED_VALUE"""),53459.0)</f>
        <v>53459</v>
      </c>
      <c r="G5" s="172">
        <f>IFERROR(__xludf.DUMMYFUNCTION("""COMPUTED_VALUE"""),2673.0)</f>
        <v>2673</v>
      </c>
      <c r="H5" s="172">
        <f>IFERROR(__xludf.DUMMYFUNCTION("""COMPUTED_VALUE"""),62527.0)</f>
        <v>62527</v>
      </c>
      <c r="I5" s="172">
        <f>IFERROR(__xludf.DUMMYFUNCTION("""COMPUTED_VALUE"""),332.0)</f>
        <v>332</v>
      </c>
      <c r="J5" s="172">
        <f>IFERROR(__xludf.DUMMYFUNCTION("""COMPUTED_VALUE"""),271.0)</f>
        <v>271</v>
      </c>
      <c r="K5" s="172">
        <f>IFERROR(__xludf.DUMMYFUNCTION("""COMPUTED_VALUE"""),8252.0)</f>
        <v>8252</v>
      </c>
      <c r="L5" s="172">
        <f>IFERROR(__xludf.DUMMYFUNCTION("""COMPUTED_VALUE"""),1699.0)</f>
        <v>1699</v>
      </c>
      <c r="M5" s="172">
        <f>IFERROR(__xludf.DUMMYFUNCTION("""COMPUTED_VALUE"""),44375.0)</f>
        <v>44375</v>
      </c>
      <c r="N5" s="172">
        <f>IFERROR(__xludf.DUMMYFUNCTION("""COMPUTED_VALUE"""),52627.0)</f>
        <v>52627</v>
      </c>
      <c r="O5" s="172">
        <f>IFERROR(__xludf.DUMMYFUNCTION("""COMPUTED_VALUE"""),44.0)</f>
        <v>44</v>
      </c>
      <c r="P5" s="172">
        <f>IFERROR(__xludf.DUMMYFUNCTION("""COMPUTED_VALUE"""),971.0)</f>
        <v>971</v>
      </c>
      <c r="Q5" s="172">
        <f>IFERROR(__xludf.DUMMYFUNCTION("""COMPUTED_VALUE"""),24.0)</f>
        <v>24</v>
      </c>
      <c r="R5" s="172">
        <f>IFERROR(__xludf.DUMMYFUNCTION("""COMPUTED_VALUE"""),493.0)</f>
        <v>493</v>
      </c>
      <c r="S5" s="172">
        <f>IFERROR(__xludf.DUMMYFUNCTION("""COMPUTED_VALUE"""),3.0)</f>
        <v>3</v>
      </c>
      <c r="T5" s="172">
        <f>IFERROR(__xludf.DUMMYFUNCTION("""COMPUTED_VALUE"""),101.0)</f>
        <v>101</v>
      </c>
      <c r="U5" s="172">
        <f>IFERROR(__xludf.DUMMYFUNCTION("""COMPUTED_VALUE"""),377.0)</f>
        <v>377</v>
      </c>
      <c r="V5" s="172">
        <f>IFERROR(__xludf.DUMMYFUNCTION("""COMPUTED_VALUE"""),364.0)</f>
        <v>364</v>
      </c>
      <c r="W5" s="172">
        <f>IFERROR(__xludf.DUMMYFUNCTION("""COMPUTED_VALUE"""),88.0)</f>
        <v>88</v>
      </c>
      <c r="X5" s="172">
        <f>IFERROR(__xludf.DUMMYFUNCTION("""COMPUTED_VALUE"""),59.0)</f>
        <v>59</v>
      </c>
      <c r="Y5" s="172">
        <f>IFERROR(__xludf.DUMMYFUNCTION("""COMPUTED_VALUE"""),22.0)</f>
        <v>22</v>
      </c>
      <c r="Z5" s="172">
        <f>IFERROR(__xludf.DUMMYFUNCTION("""COMPUTED_VALUE"""),322.0)</f>
        <v>322</v>
      </c>
    </row>
    <row r="6">
      <c r="A6" s="235">
        <f>IFERROR(__xludf.DUMMYFUNCTION("""COMPUTED_VALUE"""),43950.0)</f>
        <v>43950</v>
      </c>
      <c r="B6" s="172">
        <f>IFERROR(__xludf.DUMMYFUNCTION("""COMPUTED_VALUE"""),476.0)</f>
        <v>476</v>
      </c>
      <c r="C6" s="172">
        <f>IFERROR(__xludf.DUMMYFUNCTION("""COMPUTED_VALUE"""),378.0)</f>
        <v>378</v>
      </c>
      <c r="D6" s="172">
        <f>IFERROR(__xludf.DUMMYFUNCTION("""COMPUTED_VALUE"""),9544.0)</f>
        <v>9544</v>
      </c>
      <c r="E6" s="172">
        <f>IFERROR(__xludf.DUMMYFUNCTION("""COMPUTED_VALUE"""),3343.0)</f>
        <v>3343</v>
      </c>
      <c r="F6" s="172">
        <f>IFERROR(__xludf.DUMMYFUNCTION("""COMPUTED_VALUE"""),56802.0)</f>
        <v>56802</v>
      </c>
      <c r="G6" s="172">
        <f>IFERROR(__xludf.DUMMYFUNCTION("""COMPUTED_VALUE"""),3819.0)</f>
        <v>3819</v>
      </c>
      <c r="H6" s="172">
        <f>IFERROR(__xludf.DUMMYFUNCTION("""COMPUTED_VALUE"""),66346.0)</f>
        <v>66346</v>
      </c>
      <c r="I6" s="172">
        <f>IFERROR(__xludf.DUMMYFUNCTION("""COMPUTED_VALUE"""),371.0)</f>
        <v>371</v>
      </c>
      <c r="J6" s="172">
        <f>IFERROR(__xludf.DUMMYFUNCTION("""COMPUTED_VALUE"""),303.0)</f>
        <v>303</v>
      </c>
      <c r="K6" s="172">
        <f>IFERROR(__xludf.DUMMYFUNCTION("""COMPUTED_VALUE"""),8623.0)</f>
        <v>8623</v>
      </c>
      <c r="L6" s="172">
        <f>IFERROR(__xludf.DUMMYFUNCTION("""COMPUTED_VALUE"""),2363.0)</f>
        <v>2363</v>
      </c>
      <c r="M6" s="172">
        <f>IFERROR(__xludf.DUMMYFUNCTION("""COMPUTED_VALUE"""),46738.0)</f>
        <v>46738</v>
      </c>
      <c r="N6" s="172">
        <f>IFERROR(__xludf.DUMMYFUNCTION("""COMPUTED_VALUE"""),55361.0)</f>
        <v>55361</v>
      </c>
      <c r="O6" s="172">
        <f>IFERROR(__xludf.DUMMYFUNCTION("""COMPUTED_VALUE"""),36.0)</f>
        <v>36</v>
      </c>
      <c r="P6" s="172">
        <f>IFERROR(__xludf.DUMMYFUNCTION("""COMPUTED_VALUE"""),1007.0)</f>
        <v>1007</v>
      </c>
      <c r="Q6" s="172">
        <f>IFERROR(__xludf.DUMMYFUNCTION("""COMPUTED_VALUE"""),38.0)</f>
        <v>38</v>
      </c>
      <c r="R6" s="172">
        <f>IFERROR(__xludf.DUMMYFUNCTION("""COMPUTED_VALUE"""),531.0)</f>
        <v>531</v>
      </c>
      <c r="S6" s="172">
        <f>IFERROR(__xludf.DUMMYFUNCTION("""COMPUTED_VALUE"""),11.0)</f>
        <v>11</v>
      </c>
      <c r="T6" s="172">
        <f>IFERROR(__xludf.DUMMYFUNCTION("""COMPUTED_VALUE"""),112.0)</f>
        <v>112</v>
      </c>
      <c r="U6" s="172">
        <f>IFERROR(__xludf.DUMMYFUNCTION("""COMPUTED_VALUE"""),364.0)</f>
        <v>364</v>
      </c>
      <c r="V6" s="172">
        <f>IFERROR(__xludf.DUMMYFUNCTION("""COMPUTED_VALUE"""),367.0)</f>
        <v>367</v>
      </c>
      <c r="W6" s="172">
        <f>IFERROR(__xludf.DUMMYFUNCTION("""COMPUTED_VALUE"""),78.0)</f>
        <v>78</v>
      </c>
      <c r="X6" s="172">
        <f>IFERROR(__xludf.DUMMYFUNCTION("""COMPUTED_VALUE"""),53.0)</f>
        <v>53</v>
      </c>
      <c r="Y6" s="172">
        <f>IFERROR(__xludf.DUMMYFUNCTION("""COMPUTED_VALUE"""),18.0)</f>
        <v>18</v>
      </c>
      <c r="Z6" s="172">
        <f>IFERROR(__xludf.DUMMYFUNCTION("""COMPUTED_VALUE"""),340.0)</f>
        <v>340</v>
      </c>
    </row>
    <row r="7">
      <c r="A7" s="235">
        <f>IFERROR(__xludf.DUMMYFUNCTION("""COMPUTED_VALUE"""),43951.0)</f>
        <v>43951</v>
      </c>
      <c r="B7" s="172">
        <f>IFERROR(__xludf.DUMMYFUNCTION("""COMPUTED_VALUE"""),432.0)</f>
        <v>432</v>
      </c>
      <c r="C7" s="172">
        <f>IFERROR(__xludf.DUMMYFUNCTION("""COMPUTED_VALUE"""),439.0)</f>
        <v>439</v>
      </c>
      <c r="D7" s="172">
        <f>IFERROR(__xludf.DUMMYFUNCTION("""COMPUTED_VALUE"""),9976.0)</f>
        <v>9976</v>
      </c>
      <c r="E7" s="172">
        <f>IFERROR(__xludf.DUMMYFUNCTION("""COMPUTED_VALUE"""),2769.0)</f>
        <v>2769</v>
      </c>
      <c r="F7" s="172">
        <f>IFERROR(__xludf.DUMMYFUNCTION("""COMPUTED_VALUE"""),59571.0)</f>
        <v>59571</v>
      </c>
      <c r="G7" s="172">
        <f>IFERROR(__xludf.DUMMYFUNCTION("""COMPUTED_VALUE"""),3201.0)</f>
        <v>3201</v>
      </c>
      <c r="H7" s="172">
        <f>IFERROR(__xludf.DUMMYFUNCTION("""COMPUTED_VALUE"""),69547.0)</f>
        <v>69547</v>
      </c>
      <c r="I7" s="172">
        <f>IFERROR(__xludf.DUMMYFUNCTION("""COMPUTED_VALUE"""),350.0)</f>
        <v>350</v>
      </c>
      <c r="J7" s="172">
        <f>IFERROR(__xludf.DUMMYFUNCTION("""COMPUTED_VALUE"""),351.0)</f>
        <v>351</v>
      </c>
      <c r="K7" s="172">
        <f>IFERROR(__xludf.DUMMYFUNCTION("""COMPUTED_VALUE"""),8973.0)</f>
        <v>8973</v>
      </c>
      <c r="L7" s="172">
        <f>IFERROR(__xludf.DUMMYFUNCTION("""COMPUTED_VALUE"""),1861.0)</f>
        <v>1861</v>
      </c>
      <c r="M7" s="172">
        <f>IFERROR(__xludf.DUMMYFUNCTION("""COMPUTED_VALUE"""),48599.0)</f>
        <v>48599</v>
      </c>
      <c r="N7" s="172">
        <f>IFERROR(__xludf.DUMMYFUNCTION("""COMPUTED_VALUE"""),57572.0)</f>
        <v>57572</v>
      </c>
      <c r="O7" s="172">
        <f>IFERROR(__xludf.DUMMYFUNCTION("""COMPUTED_VALUE"""),33.0)</f>
        <v>33</v>
      </c>
      <c r="P7" s="172">
        <f>IFERROR(__xludf.DUMMYFUNCTION("""COMPUTED_VALUE"""),1040.0)</f>
        <v>1040</v>
      </c>
      <c r="Q7" s="172">
        <f>IFERROR(__xludf.DUMMYFUNCTION("""COMPUTED_VALUE"""),38.0)</f>
        <v>38</v>
      </c>
      <c r="R7" s="172">
        <f>IFERROR(__xludf.DUMMYFUNCTION("""COMPUTED_VALUE"""),569.0)</f>
        <v>569</v>
      </c>
      <c r="S7" s="172">
        <f>IFERROR(__xludf.DUMMYFUNCTION("""COMPUTED_VALUE"""),6.0)</f>
        <v>6</v>
      </c>
      <c r="T7" s="172">
        <f>IFERROR(__xludf.DUMMYFUNCTION("""COMPUTED_VALUE"""),118.0)</f>
        <v>118</v>
      </c>
      <c r="U7" s="172">
        <f>IFERROR(__xludf.DUMMYFUNCTION("""COMPUTED_VALUE"""),353.0)</f>
        <v>353</v>
      </c>
      <c r="V7" s="172">
        <f>IFERROR(__xludf.DUMMYFUNCTION("""COMPUTED_VALUE"""),365.0)</f>
        <v>365</v>
      </c>
      <c r="W7" s="172">
        <f>IFERROR(__xludf.DUMMYFUNCTION("""COMPUTED_VALUE"""),83.0)</f>
        <v>83</v>
      </c>
      <c r="X7" s="172">
        <f>IFERROR(__xludf.DUMMYFUNCTION("""COMPUTED_VALUE"""),57.0)</f>
        <v>57</v>
      </c>
      <c r="Y7" s="172">
        <f>IFERROR(__xludf.DUMMYFUNCTION("""COMPUTED_VALUE"""),24.0)</f>
        <v>24</v>
      </c>
      <c r="Z7" s="172">
        <f>IFERROR(__xludf.DUMMYFUNCTION("""COMPUTED_VALUE"""),364.0)</f>
        <v>364</v>
      </c>
    </row>
    <row r="8">
      <c r="A8" s="235">
        <f>IFERROR(__xludf.DUMMYFUNCTION("""COMPUTED_VALUE"""),43952.0)</f>
        <v>43952</v>
      </c>
      <c r="B8" s="172">
        <f>IFERROR(__xludf.DUMMYFUNCTION("""COMPUTED_VALUE"""),454.0)</f>
        <v>454</v>
      </c>
      <c r="C8" s="172">
        <f>IFERROR(__xludf.DUMMYFUNCTION("""COMPUTED_VALUE"""),454.0)</f>
        <v>454</v>
      </c>
      <c r="D8" s="172">
        <f>IFERROR(__xludf.DUMMYFUNCTION("""COMPUTED_VALUE"""),10430.0)</f>
        <v>10430</v>
      </c>
      <c r="E8" s="172">
        <f>IFERROR(__xludf.DUMMYFUNCTION("""COMPUTED_VALUE"""),3086.0)</f>
        <v>3086</v>
      </c>
      <c r="F8" s="172">
        <f>IFERROR(__xludf.DUMMYFUNCTION("""COMPUTED_VALUE"""),62657.0)</f>
        <v>62657</v>
      </c>
      <c r="G8" s="172">
        <f>IFERROR(__xludf.DUMMYFUNCTION("""COMPUTED_VALUE"""),3540.0)</f>
        <v>3540</v>
      </c>
      <c r="H8" s="172">
        <f>IFERROR(__xludf.DUMMYFUNCTION("""COMPUTED_VALUE"""),73087.0)</f>
        <v>73087</v>
      </c>
      <c r="I8" s="172">
        <f>IFERROR(__xludf.DUMMYFUNCTION("""COMPUTED_VALUE"""),323.0)</f>
        <v>323</v>
      </c>
      <c r="J8" s="172">
        <f>IFERROR(__xludf.DUMMYFUNCTION("""COMPUTED_VALUE"""),348.0)</f>
        <v>348</v>
      </c>
      <c r="K8" s="172">
        <f>IFERROR(__xludf.DUMMYFUNCTION("""COMPUTED_VALUE"""),9296.0)</f>
        <v>9296</v>
      </c>
      <c r="L8" s="172">
        <f>IFERROR(__xludf.DUMMYFUNCTION("""COMPUTED_VALUE"""),2121.0)</f>
        <v>2121</v>
      </c>
      <c r="M8" s="172">
        <f>IFERROR(__xludf.DUMMYFUNCTION("""COMPUTED_VALUE"""),50720.0)</f>
        <v>50720</v>
      </c>
      <c r="N8" s="172">
        <f>IFERROR(__xludf.DUMMYFUNCTION("""COMPUTED_VALUE"""),60016.0)</f>
        <v>60016</v>
      </c>
      <c r="O8" s="172">
        <f>IFERROR(__xludf.DUMMYFUNCTION("""COMPUTED_VALUE"""),51.0)</f>
        <v>51</v>
      </c>
      <c r="P8" s="172">
        <f>IFERROR(__xludf.DUMMYFUNCTION("""COMPUTED_VALUE"""),1091.0)</f>
        <v>1091</v>
      </c>
      <c r="Q8" s="172">
        <f>IFERROR(__xludf.DUMMYFUNCTION("""COMPUTED_VALUE"""),39.0)</f>
        <v>39</v>
      </c>
      <c r="R8" s="172">
        <f>IFERROR(__xludf.DUMMYFUNCTION("""COMPUTED_VALUE"""),608.0)</f>
        <v>608</v>
      </c>
      <c r="S8" s="172">
        <f>IFERROR(__xludf.DUMMYFUNCTION("""COMPUTED_VALUE"""),3.0)</f>
        <v>3</v>
      </c>
      <c r="T8" s="172">
        <f>IFERROR(__xludf.DUMMYFUNCTION("""COMPUTED_VALUE"""),121.0)</f>
        <v>121</v>
      </c>
      <c r="U8" s="172">
        <f>IFERROR(__xludf.DUMMYFUNCTION("""COMPUTED_VALUE"""),362.0)</f>
        <v>362</v>
      </c>
      <c r="V8" s="172">
        <f>IFERROR(__xludf.DUMMYFUNCTION("""COMPUTED_VALUE"""),360.0)</f>
        <v>360</v>
      </c>
      <c r="W8" s="172">
        <f>IFERROR(__xludf.DUMMYFUNCTION("""COMPUTED_VALUE"""),84.0)</f>
        <v>84</v>
      </c>
      <c r="X8" s="172">
        <f>IFERROR(__xludf.DUMMYFUNCTION("""COMPUTED_VALUE"""),58.0)</f>
        <v>58</v>
      </c>
      <c r="Y8" s="172">
        <f>IFERROR(__xludf.DUMMYFUNCTION("""COMPUTED_VALUE"""),14.0)</f>
        <v>14</v>
      </c>
      <c r="Z8" s="172">
        <f>IFERROR(__xludf.DUMMYFUNCTION("""COMPUTED_VALUE"""),378.0)</f>
        <v>378</v>
      </c>
    </row>
    <row r="9">
      <c r="A9" s="235">
        <f>IFERROR(__xludf.DUMMYFUNCTION("""COMPUTED_VALUE"""),43953.0)</f>
        <v>43953</v>
      </c>
      <c r="B9" s="172">
        <f>IFERROR(__xludf.DUMMYFUNCTION("""COMPUTED_VALUE"""),257.0)</f>
        <v>257</v>
      </c>
      <c r="C9" s="172">
        <f>IFERROR(__xludf.DUMMYFUNCTION("""COMPUTED_VALUE"""),381.0)</f>
        <v>381</v>
      </c>
      <c r="D9" s="172">
        <f>IFERROR(__xludf.DUMMYFUNCTION("""COMPUTED_VALUE"""),10687.0)</f>
        <v>10687</v>
      </c>
      <c r="E9" s="172">
        <f>IFERROR(__xludf.DUMMYFUNCTION("""COMPUTED_VALUE"""),1926.0)</f>
        <v>1926</v>
      </c>
      <c r="F9" s="172">
        <f>IFERROR(__xludf.DUMMYFUNCTION("""COMPUTED_VALUE"""),64583.0)</f>
        <v>64583</v>
      </c>
      <c r="G9" s="172">
        <f>IFERROR(__xludf.DUMMYFUNCTION("""COMPUTED_VALUE"""),2183.0)</f>
        <v>2183</v>
      </c>
      <c r="H9" s="172">
        <f>IFERROR(__xludf.DUMMYFUNCTION("""COMPUTED_VALUE"""),75270.0)</f>
        <v>75270</v>
      </c>
      <c r="I9" s="172">
        <f>IFERROR(__xludf.DUMMYFUNCTION("""COMPUTED_VALUE"""),192.0)</f>
        <v>192</v>
      </c>
      <c r="J9" s="172">
        <f>IFERROR(__xludf.DUMMYFUNCTION("""COMPUTED_VALUE"""),288.0)</f>
        <v>288</v>
      </c>
      <c r="K9" s="172">
        <f>IFERROR(__xludf.DUMMYFUNCTION("""COMPUTED_VALUE"""),9488.0)</f>
        <v>9488</v>
      </c>
      <c r="L9" s="172">
        <f>IFERROR(__xludf.DUMMYFUNCTION("""COMPUTED_VALUE"""),1247.0)</f>
        <v>1247</v>
      </c>
      <c r="M9" s="172">
        <f>IFERROR(__xludf.DUMMYFUNCTION("""COMPUTED_VALUE"""),51967.0)</f>
        <v>51967</v>
      </c>
      <c r="N9" s="172">
        <f>IFERROR(__xludf.DUMMYFUNCTION("""COMPUTED_VALUE"""),61455.0)</f>
        <v>61455</v>
      </c>
      <c r="O9" s="172">
        <f>IFERROR(__xludf.DUMMYFUNCTION("""COMPUTED_VALUE"""),36.0)</f>
        <v>36</v>
      </c>
      <c r="P9" s="172">
        <f>IFERROR(__xludf.DUMMYFUNCTION("""COMPUTED_VALUE"""),1127.0)</f>
        <v>1127</v>
      </c>
      <c r="Q9" s="172">
        <f>IFERROR(__xludf.DUMMYFUNCTION("""COMPUTED_VALUE"""),38.0)</f>
        <v>38</v>
      </c>
      <c r="R9" s="172">
        <f>IFERROR(__xludf.DUMMYFUNCTION("""COMPUTED_VALUE"""),646.0)</f>
        <v>646</v>
      </c>
      <c r="S9" s="172">
        <f>IFERROR(__xludf.DUMMYFUNCTION("""COMPUTED_VALUE"""),5.0)</f>
        <v>5</v>
      </c>
      <c r="T9" s="172">
        <f>IFERROR(__xludf.DUMMYFUNCTION("""COMPUTED_VALUE"""),126.0)</f>
        <v>126</v>
      </c>
      <c r="U9" s="172">
        <f>IFERROR(__xludf.DUMMYFUNCTION("""COMPUTED_VALUE"""),355.0)</f>
        <v>355</v>
      </c>
      <c r="V9" s="172">
        <f>IFERROR(__xludf.DUMMYFUNCTION("""COMPUTED_VALUE"""),357.0)</f>
        <v>357</v>
      </c>
      <c r="W9" s="172">
        <f>IFERROR(__xludf.DUMMYFUNCTION("""COMPUTED_VALUE"""),93.0)</f>
        <v>93</v>
      </c>
      <c r="X9" s="172">
        <f>IFERROR(__xludf.DUMMYFUNCTION("""COMPUTED_VALUE"""),63.0)</f>
        <v>63</v>
      </c>
      <c r="Y9" s="172">
        <f>IFERROR(__xludf.DUMMYFUNCTION("""COMPUTED_VALUE"""),24.0)</f>
        <v>24</v>
      </c>
      <c r="Z9" s="172">
        <f>IFERROR(__xludf.DUMMYFUNCTION("""COMPUTED_VALUE"""),402.0)</f>
        <v>402</v>
      </c>
    </row>
    <row r="10">
      <c r="A10" s="235">
        <f>IFERROR(__xludf.DUMMYFUNCTION("""COMPUTED_VALUE"""),43954.0)</f>
        <v>43954</v>
      </c>
      <c r="B10" s="172">
        <f>IFERROR(__xludf.DUMMYFUNCTION("""COMPUTED_VALUE"""),283.0)</f>
        <v>283</v>
      </c>
      <c r="C10" s="172">
        <f>IFERROR(__xludf.DUMMYFUNCTION("""COMPUTED_VALUE"""),331.0)</f>
        <v>331</v>
      </c>
      <c r="D10" s="172">
        <f>IFERROR(__xludf.DUMMYFUNCTION("""COMPUTED_VALUE"""),10970.0)</f>
        <v>10970</v>
      </c>
      <c r="E10" s="172">
        <f>IFERROR(__xludf.DUMMYFUNCTION("""COMPUTED_VALUE"""),2160.0)</f>
        <v>2160</v>
      </c>
      <c r="F10" s="172">
        <f>IFERROR(__xludf.DUMMYFUNCTION("""COMPUTED_VALUE"""),66743.0)</f>
        <v>66743</v>
      </c>
      <c r="G10" s="172">
        <f>IFERROR(__xludf.DUMMYFUNCTION("""COMPUTED_VALUE"""),2443.0)</f>
        <v>2443</v>
      </c>
      <c r="H10" s="172">
        <f>IFERROR(__xludf.DUMMYFUNCTION("""COMPUTED_VALUE"""),77713.0)</f>
        <v>77713</v>
      </c>
      <c r="I10" s="172">
        <f>IFERROR(__xludf.DUMMYFUNCTION("""COMPUTED_VALUE"""),183.0)</f>
        <v>183</v>
      </c>
      <c r="J10" s="172">
        <f>IFERROR(__xludf.DUMMYFUNCTION("""COMPUTED_VALUE"""),233.0)</f>
        <v>233</v>
      </c>
      <c r="K10" s="172">
        <f>IFERROR(__xludf.DUMMYFUNCTION("""COMPUTED_VALUE"""),9671.0)</f>
        <v>9671</v>
      </c>
      <c r="L10" s="172">
        <f>IFERROR(__xludf.DUMMYFUNCTION("""COMPUTED_VALUE"""),1542.0)</f>
        <v>1542</v>
      </c>
      <c r="M10" s="172">
        <f>IFERROR(__xludf.DUMMYFUNCTION("""COMPUTED_VALUE"""),53509.0)</f>
        <v>53509</v>
      </c>
      <c r="N10" s="172">
        <f>IFERROR(__xludf.DUMMYFUNCTION("""COMPUTED_VALUE"""),63180.0)</f>
        <v>63180</v>
      </c>
      <c r="O10" s="172">
        <f>IFERROR(__xludf.DUMMYFUNCTION("""COMPUTED_VALUE"""),31.0)</f>
        <v>31</v>
      </c>
      <c r="P10" s="172">
        <f>IFERROR(__xludf.DUMMYFUNCTION("""COMPUTED_VALUE"""),1158.0)</f>
        <v>1158</v>
      </c>
      <c r="Q10" s="172">
        <f>IFERROR(__xludf.DUMMYFUNCTION("""COMPUTED_VALUE"""),26.0)</f>
        <v>26</v>
      </c>
      <c r="R10" s="172">
        <f>IFERROR(__xludf.DUMMYFUNCTION("""COMPUTED_VALUE"""),672.0)</f>
        <v>672</v>
      </c>
      <c r="S10" s="172">
        <f>IFERROR(__xludf.DUMMYFUNCTION("""COMPUTED_VALUE"""),8.0)</f>
        <v>8</v>
      </c>
      <c r="T10" s="172">
        <f>IFERROR(__xludf.DUMMYFUNCTION("""COMPUTED_VALUE"""),134.0)</f>
        <v>134</v>
      </c>
      <c r="U10" s="172">
        <f>IFERROR(__xludf.DUMMYFUNCTION("""COMPUTED_VALUE"""),352.0)</f>
        <v>352</v>
      </c>
      <c r="V10" s="172">
        <f>IFERROR(__xludf.DUMMYFUNCTION("""COMPUTED_VALUE"""),356.0)</f>
        <v>356</v>
      </c>
      <c r="W10" s="172">
        <f>IFERROR(__xludf.DUMMYFUNCTION("""COMPUTED_VALUE"""),91.0)</f>
        <v>91</v>
      </c>
      <c r="X10" s="172">
        <f>IFERROR(__xludf.DUMMYFUNCTION("""COMPUTED_VALUE"""),61.0)</f>
        <v>61</v>
      </c>
      <c r="Y10" s="172">
        <f>IFERROR(__xludf.DUMMYFUNCTION("""COMPUTED_VALUE"""),21.0)</f>
        <v>21</v>
      </c>
      <c r="Z10" s="172">
        <f>IFERROR(__xludf.DUMMYFUNCTION("""COMPUTED_VALUE"""),423.0)</f>
        <v>423</v>
      </c>
    </row>
    <row r="11">
      <c r="A11" s="235">
        <f>IFERROR(__xludf.DUMMYFUNCTION("""COMPUTED_VALUE"""),43955.0)</f>
        <v>43955</v>
      </c>
      <c r="B11" s="172">
        <f>IFERROR(__xludf.DUMMYFUNCTION("""COMPUTED_VALUE"""),387.0)</f>
        <v>387</v>
      </c>
      <c r="C11" s="172">
        <f>IFERROR(__xludf.DUMMYFUNCTION("""COMPUTED_VALUE"""),309.0)</f>
        <v>309</v>
      </c>
      <c r="D11" s="172">
        <f>IFERROR(__xludf.DUMMYFUNCTION("""COMPUTED_VALUE"""),11357.0)</f>
        <v>11357</v>
      </c>
      <c r="E11" s="172">
        <f>IFERROR(__xludf.DUMMYFUNCTION("""COMPUTED_VALUE"""),2098.0)</f>
        <v>2098</v>
      </c>
      <c r="F11" s="172">
        <f>IFERROR(__xludf.DUMMYFUNCTION("""COMPUTED_VALUE"""),68841.0)</f>
        <v>68841</v>
      </c>
      <c r="G11" s="172">
        <f>IFERROR(__xludf.DUMMYFUNCTION("""COMPUTED_VALUE"""),2485.0)</f>
        <v>2485</v>
      </c>
      <c r="H11" s="172">
        <f>IFERROR(__xludf.DUMMYFUNCTION("""COMPUTED_VALUE"""),80198.0)</f>
        <v>80198</v>
      </c>
      <c r="I11" s="172">
        <f>IFERROR(__xludf.DUMMYFUNCTION("""COMPUTED_VALUE"""),290.0)</f>
        <v>290</v>
      </c>
      <c r="J11" s="172">
        <f>IFERROR(__xludf.DUMMYFUNCTION("""COMPUTED_VALUE"""),222.0)</f>
        <v>222</v>
      </c>
      <c r="K11" s="172">
        <f>IFERROR(__xludf.DUMMYFUNCTION("""COMPUTED_VALUE"""),9961.0)</f>
        <v>9961</v>
      </c>
      <c r="L11" s="172">
        <f>IFERROR(__xludf.DUMMYFUNCTION("""COMPUTED_VALUE"""),1532.0)</f>
        <v>1532</v>
      </c>
      <c r="M11" s="172">
        <f>IFERROR(__xludf.DUMMYFUNCTION("""COMPUTED_VALUE"""),55041.0)</f>
        <v>55041</v>
      </c>
      <c r="N11" s="172">
        <f>IFERROR(__xludf.DUMMYFUNCTION("""COMPUTED_VALUE"""),65002.0)</f>
        <v>65002</v>
      </c>
      <c r="O11" s="172">
        <f>IFERROR(__xludf.DUMMYFUNCTION("""COMPUTED_VALUE"""),30.0)</f>
        <v>30</v>
      </c>
      <c r="P11" s="172">
        <f>IFERROR(__xludf.DUMMYFUNCTION("""COMPUTED_VALUE"""),1188.0)</f>
        <v>1188</v>
      </c>
      <c r="Q11" s="172">
        <f>IFERROR(__xludf.DUMMYFUNCTION("""COMPUTED_VALUE"""),31.0)</f>
        <v>31</v>
      </c>
      <c r="R11" s="172">
        <f>IFERROR(__xludf.DUMMYFUNCTION("""COMPUTED_VALUE"""),703.0)</f>
        <v>703</v>
      </c>
      <c r="S11" s="172">
        <f>IFERROR(__xludf.DUMMYFUNCTION("""COMPUTED_VALUE"""),6.0)</f>
        <v>6</v>
      </c>
      <c r="T11" s="172">
        <f>IFERROR(__xludf.DUMMYFUNCTION("""COMPUTED_VALUE"""),140.0)</f>
        <v>140</v>
      </c>
      <c r="U11" s="172">
        <f>IFERROR(__xludf.DUMMYFUNCTION("""COMPUTED_VALUE"""),345.0)</f>
        <v>345</v>
      </c>
      <c r="V11" s="172">
        <f>IFERROR(__xludf.DUMMYFUNCTION("""COMPUTED_VALUE"""),351.0)</f>
        <v>351</v>
      </c>
      <c r="W11" s="172">
        <f>IFERROR(__xludf.DUMMYFUNCTION("""COMPUTED_VALUE"""),89.0)</f>
        <v>89</v>
      </c>
      <c r="X11" s="172">
        <f>IFERROR(__xludf.DUMMYFUNCTION("""COMPUTED_VALUE"""),58.0)</f>
        <v>58</v>
      </c>
      <c r="Y11" s="172">
        <f>IFERROR(__xludf.DUMMYFUNCTION("""COMPUTED_VALUE"""),18.0)</f>
        <v>18</v>
      </c>
      <c r="Z11" s="172">
        <f>IFERROR(__xludf.DUMMYFUNCTION("""COMPUTED_VALUE"""),441.0)</f>
        <v>441</v>
      </c>
    </row>
    <row r="12">
      <c r="A12" s="235">
        <f>IFERROR(__xludf.DUMMYFUNCTION("""COMPUTED_VALUE"""),43956.0)</f>
        <v>43956</v>
      </c>
      <c r="B12" s="172">
        <f>IFERROR(__xludf.DUMMYFUNCTION("""COMPUTED_VALUE"""),433.0)</f>
        <v>433</v>
      </c>
      <c r="C12" s="172">
        <f>IFERROR(__xludf.DUMMYFUNCTION("""COMPUTED_VALUE"""),368.0)</f>
        <v>368</v>
      </c>
      <c r="D12" s="172">
        <f>IFERROR(__xludf.DUMMYFUNCTION("""COMPUTED_VALUE"""),11790.0)</f>
        <v>11790</v>
      </c>
      <c r="E12" s="172">
        <f>IFERROR(__xludf.DUMMYFUNCTION("""COMPUTED_VALUE"""),2873.0)</f>
        <v>2873</v>
      </c>
      <c r="F12" s="172">
        <f>IFERROR(__xludf.DUMMYFUNCTION("""COMPUTED_VALUE"""),71714.0)</f>
        <v>71714</v>
      </c>
      <c r="G12" s="172">
        <f>IFERROR(__xludf.DUMMYFUNCTION("""COMPUTED_VALUE"""),3306.0)</f>
        <v>3306</v>
      </c>
      <c r="H12" s="172">
        <f>IFERROR(__xludf.DUMMYFUNCTION("""COMPUTED_VALUE"""),83504.0)</f>
        <v>83504</v>
      </c>
      <c r="I12" s="172">
        <f>IFERROR(__xludf.DUMMYFUNCTION("""COMPUTED_VALUE"""),300.0)</f>
        <v>300</v>
      </c>
      <c r="J12" s="172">
        <f>IFERROR(__xludf.DUMMYFUNCTION("""COMPUTED_VALUE"""),258.0)</f>
        <v>258</v>
      </c>
      <c r="K12" s="172">
        <f>IFERROR(__xludf.DUMMYFUNCTION("""COMPUTED_VALUE"""),10261.0)</f>
        <v>10261</v>
      </c>
      <c r="L12" s="172">
        <f>IFERROR(__xludf.DUMMYFUNCTION("""COMPUTED_VALUE"""),1927.0)</f>
        <v>1927</v>
      </c>
      <c r="M12" s="172">
        <f>IFERROR(__xludf.DUMMYFUNCTION("""COMPUTED_VALUE"""),56968.0)</f>
        <v>56968</v>
      </c>
      <c r="N12" s="172">
        <f>IFERROR(__xludf.DUMMYFUNCTION("""COMPUTED_VALUE"""),67229.0)</f>
        <v>67229</v>
      </c>
      <c r="O12" s="172">
        <f>IFERROR(__xludf.DUMMYFUNCTION("""COMPUTED_VALUE"""),29.0)</f>
        <v>29</v>
      </c>
      <c r="P12" s="172">
        <f>IFERROR(__xludf.DUMMYFUNCTION("""COMPUTED_VALUE"""),1217.0)</f>
        <v>1217</v>
      </c>
      <c r="Q12" s="172">
        <f>IFERROR(__xludf.DUMMYFUNCTION("""COMPUTED_VALUE"""),32.0)</f>
        <v>32</v>
      </c>
      <c r="R12" s="172">
        <f>IFERROR(__xludf.DUMMYFUNCTION("""COMPUTED_VALUE"""),735.0)</f>
        <v>735</v>
      </c>
      <c r="S12" s="172">
        <f>IFERROR(__xludf.DUMMYFUNCTION("""COMPUTED_VALUE"""),6.0)</f>
        <v>6</v>
      </c>
      <c r="T12" s="172">
        <f>IFERROR(__xludf.DUMMYFUNCTION("""COMPUTED_VALUE"""),146.0)</f>
        <v>146</v>
      </c>
      <c r="U12" s="172">
        <f>IFERROR(__xludf.DUMMYFUNCTION("""COMPUTED_VALUE"""),336.0)</f>
        <v>336</v>
      </c>
      <c r="V12" s="172">
        <f>IFERROR(__xludf.DUMMYFUNCTION("""COMPUTED_VALUE"""),344.0)</f>
        <v>344</v>
      </c>
      <c r="W12" s="172">
        <f>IFERROR(__xludf.DUMMYFUNCTION("""COMPUTED_VALUE"""),83.0)</f>
        <v>83</v>
      </c>
      <c r="X12" s="172">
        <f>IFERROR(__xludf.DUMMYFUNCTION("""COMPUTED_VALUE"""),55.0)</f>
        <v>55</v>
      </c>
      <c r="Y12" s="172">
        <f>IFERROR(__xludf.DUMMYFUNCTION("""COMPUTED_VALUE"""),16.0)</f>
        <v>16</v>
      </c>
      <c r="Z12" s="172">
        <f>IFERROR(__xludf.DUMMYFUNCTION("""COMPUTED_VALUE"""),457.0)</f>
        <v>457</v>
      </c>
    </row>
    <row r="13">
      <c r="A13" s="235">
        <f>IFERROR(__xludf.DUMMYFUNCTION("""COMPUTED_VALUE"""),43957.0)</f>
        <v>43957</v>
      </c>
      <c r="B13" s="172">
        <f>IFERROR(__xludf.DUMMYFUNCTION("""COMPUTED_VALUE"""),488.0)</f>
        <v>488</v>
      </c>
      <c r="C13" s="172">
        <f>IFERROR(__xludf.DUMMYFUNCTION("""COMPUTED_VALUE"""),436.0)</f>
        <v>436</v>
      </c>
      <c r="D13" s="172">
        <f>IFERROR(__xludf.DUMMYFUNCTION("""COMPUTED_VALUE"""),12278.0)</f>
        <v>12278</v>
      </c>
      <c r="E13" s="172">
        <f>IFERROR(__xludf.DUMMYFUNCTION("""COMPUTED_VALUE"""),2830.0)</f>
        <v>2830</v>
      </c>
      <c r="F13" s="172">
        <f>IFERROR(__xludf.DUMMYFUNCTION("""COMPUTED_VALUE"""),74544.0)</f>
        <v>74544</v>
      </c>
      <c r="G13" s="172">
        <f>IFERROR(__xludf.DUMMYFUNCTION("""COMPUTED_VALUE"""),3318.0)</f>
        <v>3318</v>
      </c>
      <c r="H13" s="172">
        <f>IFERROR(__xludf.DUMMYFUNCTION("""COMPUTED_VALUE"""),86822.0)</f>
        <v>86822</v>
      </c>
      <c r="I13" s="172">
        <f>IFERROR(__xludf.DUMMYFUNCTION("""COMPUTED_VALUE"""),340.0)</f>
        <v>340</v>
      </c>
      <c r="J13" s="172">
        <f>IFERROR(__xludf.DUMMYFUNCTION("""COMPUTED_VALUE"""),310.0)</f>
        <v>310</v>
      </c>
      <c r="K13" s="172">
        <f>IFERROR(__xludf.DUMMYFUNCTION("""COMPUTED_VALUE"""),10601.0)</f>
        <v>10601</v>
      </c>
      <c r="L13" s="172">
        <f>IFERROR(__xludf.DUMMYFUNCTION("""COMPUTED_VALUE"""),1892.0)</f>
        <v>1892</v>
      </c>
      <c r="M13" s="172">
        <f>IFERROR(__xludf.DUMMYFUNCTION("""COMPUTED_VALUE"""),58860.0)</f>
        <v>58860</v>
      </c>
      <c r="N13" s="172">
        <f>IFERROR(__xludf.DUMMYFUNCTION("""COMPUTED_VALUE"""),69461.0)</f>
        <v>69461</v>
      </c>
      <c r="O13" s="172">
        <f>IFERROR(__xludf.DUMMYFUNCTION("""COMPUTED_VALUE"""),28.0)</f>
        <v>28</v>
      </c>
      <c r="P13" s="172">
        <f>IFERROR(__xludf.DUMMYFUNCTION("""COMPUTED_VALUE"""),1245.0)</f>
        <v>1245</v>
      </c>
      <c r="Q13" s="172">
        <f>IFERROR(__xludf.DUMMYFUNCTION("""COMPUTED_VALUE"""),44.0)</f>
        <v>44</v>
      </c>
      <c r="R13" s="172">
        <f>IFERROR(__xludf.DUMMYFUNCTION("""COMPUTED_VALUE"""),779.0)</f>
        <v>779</v>
      </c>
      <c r="S13" s="172">
        <f>IFERROR(__xludf.DUMMYFUNCTION("""COMPUTED_VALUE"""),9.0)</f>
        <v>9</v>
      </c>
      <c r="T13" s="172">
        <f>IFERROR(__xludf.DUMMYFUNCTION("""COMPUTED_VALUE"""),155.0)</f>
        <v>155</v>
      </c>
      <c r="U13" s="172">
        <f>IFERROR(__xludf.DUMMYFUNCTION("""COMPUTED_VALUE"""),311.0)</f>
        <v>311</v>
      </c>
      <c r="V13" s="172">
        <f>IFERROR(__xludf.DUMMYFUNCTION("""COMPUTED_VALUE"""),331.0)</f>
        <v>331</v>
      </c>
      <c r="W13" s="172">
        <f>IFERROR(__xludf.DUMMYFUNCTION("""COMPUTED_VALUE"""),80.0)</f>
        <v>80</v>
      </c>
      <c r="X13" s="172">
        <f>IFERROR(__xludf.DUMMYFUNCTION("""COMPUTED_VALUE"""),55.0)</f>
        <v>55</v>
      </c>
      <c r="Y13" s="172">
        <f>IFERROR(__xludf.DUMMYFUNCTION("""COMPUTED_VALUE"""),21.0)</f>
        <v>21</v>
      </c>
      <c r="Z13" s="172">
        <f>IFERROR(__xludf.DUMMYFUNCTION("""COMPUTED_VALUE"""),478.0)</f>
        <v>478</v>
      </c>
    </row>
    <row r="14">
      <c r="A14" s="235">
        <f>IFERROR(__xludf.DUMMYFUNCTION("""COMPUTED_VALUE"""),43958.0)</f>
        <v>43958</v>
      </c>
      <c r="B14" s="172">
        <f>IFERROR(__xludf.DUMMYFUNCTION("""COMPUTED_VALUE"""),425.0)</f>
        <v>425</v>
      </c>
      <c r="C14" s="172">
        <f>IFERROR(__xludf.DUMMYFUNCTION("""COMPUTED_VALUE"""),449.0)</f>
        <v>449</v>
      </c>
      <c r="D14" s="172">
        <f>IFERROR(__xludf.DUMMYFUNCTION("""COMPUTED_VALUE"""),12703.0)</f>
        <v>12703</v>
      </c>
      <c r="E14" s="172">
        <f>IFERROR(__xludf.DUMMYFUNCTION("""COMPUTED_VALUE"""),2969.0)</f>
        <v>2969</v>
      </c>
      <c r="F14" s="172">
        <f>IFERROR(__xludf.DUMMYFUNCTION("""COMPUTED_VALUE"""),77513.0)</f>
        <v>77513</v>
      </c>
      <c r="G14" s="172">
        <f>IFERROR(__xludf.DUMMYFUNCTION("""COMPUTED_VALUE"""),3394.0)</f>
        <v>3394</v>
      </c>
      <c r="H14" s="172">
        <f>IFERROR(__xludf.DUMMYFUNCTION("""COMPUTED_VALUE"""),90216.0)</f>
        <v>90216</v>
      </c>
      <c r="I14" s="172">
        <f>IFERROR(__xludf.DUMMYFUNCTION("""COMPUTED_VALUE"""),269.0)</f>
        <v>269</v>
      </c>
      <c r="J14" s="172">
        <f>IFERROR(__xludf.DUMMYFUNCTION("""COMPUTED_VALUE"""),303.0)</f>
        <v>303</v>
      </c>
      <c r="K14" s="172">
        <f>IFERROR(__xludf.DUMMYFUNCTION("""COMPUTED_VALUE"""),10870.0)</f>
        <v>10870</v>
      </c>
      <c r="L14" s="172">
        <f>IFERROR(__xludf.DUMMYFUNCTION("""COMPUTED_VALUE"""),1932.0)</f>
        <v>1932</v>
      </c>
      <c r="M14" s="172">
        <f>IFERROR(__xludf.DUMMYFUNCTION("""COMPUTED_VALUE"""),60792.0)</f>
        <v>60792</v>
      </c>
      <c r="N14" s="172">
        <f>IFERROR(__xludf.DUMMYFUNCTION("""COMPUTED_VALUE"""),71662.0)</f>
        <v>71662</v>
      </c>
      <c r="O14" s="172">
        <f>IFERROR(__xludf.DUMMYFUNCTION("""COMPUTED_VALUE"""),36.0)</f>
        <v>36</v>
      </c>
      <c r="P14" s="172">
        <f>IFERROR(__xludf.DUMMYFUNCTION("""COMPUTED_VALUE"""),1281.0)</f>
        <v>1281</v>
      </c>
      <c r="Q14" s="172">
        <f>IFERROR(__xludf.DUMMYFUNCTION("""COMPUTED_VALUE"""),43.0)</f>
        <v>43</v>
      </c>
      <c r="R14" s="172">
        <f>IFERROR(__xludf.DUMMYFUNCTION("""COMPUTED_VALUE"""),822.0)</f>
        <v>822</v>
      </c>
      <c r="S14" s="172">
        <f>IFERROR(__xludf.DUMMYFUNCTION("""COMPUTED_VALUE"""),5.0)</f>
        <v>5</v>
      </c>
      <c r="T14" s="172">
        <f>IFERROR(__xludf.DUMMYFUNCTION("""COMPUTED_VALUE"""),160.0)</f>
        <v>160</v>
      </c>
      <c r="U14" s="172">
        <f>IFERROR(__xludf.DUMMYFUNCTION("""COMPUTED_VALUE"""),299.0)</f>
        <v>299</v>
      </c>
      <c r="V14" s="172">
        <f>IFERROR(__xludf.DUMMYFUNCTION("""COMPUTED_VALUE"""),315.0)</f>
        <v>315</v>
      </c>
      <c r="W14" s="172">
        <f>IFERROR(__xludf.DUMMYFUNCTION("""COMPUTED_VALUE"""),72.0)</f>
        <v>72</v>
      </c>
      <c r="X14" s="172">
        <f>IFERROR(__xludf.DUMMYFUNCTION("""COMPUTED_VALUE"""),53.0)</f>
        <v>53</v>
      </c>
      <c r="Y14" s="172">
        <f>IFERROR(__xludf.DUMMYFUNCTION("""COMPUTED_VALUE"""),21.0)</f>
        <v>21</v>
      </c>
      <c r="Z14" s="172">
        <f>IFERROR(__xludf.DUMMYFUNCTION("""COMPUTED_VALUE"""),499.0)</f>
        <v>499</v>
      </c>
    </row>
    <row r="15">
      <c r="A15" s="235">
        <f>IFERROR(__xludf.DUMMYFUNCTION("""COMPUTED_VALUE"""),43959.0)</f>
        <v>43959</v>
      </c>
      <c r="B15" s="172">
        <f>IFERROR(__xludf.DUMMYFUNCTION("""COMPUTED_VALUE"""),359.0)</f>
        <v>359</v>
      </c>
      <c r="C15" s="172">
        <f>IFERROR(__xludf.DUMMYFUNCTION("""COMPUTED_VALUE"""),424.0)</f>
        <v>424</v>
      </c>
      <c r="D15" s="172">
        <f>IFERROR(__xludf.DUMMYFUNCTION("""COMPUTED_VALUE"""),13062.0)</f>
        <v>13062</v>
      </c>
      <c r="E15" s="172">
        <f>IFERROR(__xludf.DUMMYFUNCTION("""COMPUTED_VALUE"""),2598.0)</f>
        <v>2598</v>
      </c>
      <c r="F15" s="172">
        <f>IFERROR(__xludf.DUMMYFUNCTION("""COMPUTED_VALUE"""),80111.0)</f>
        <v>80111</v>
      </c>
      <c r="G15" s="172">
        <f>IFERROR(__xludf.DUMMYFUNCTION("""COMPUTED_VALUE"""),2957.0)</f>
        <v>2957</v>
      </c>
      <c r="H15" s="172">
        <f>IFERROR(__xludf.DUMMYFUNCTION("""COMPUTED_VALUE"""),93173.0)</f>
        <v>93173</v>
      </c>
      <c r="I15" s="172">
        <f>IFERROR(__xludf.DUMMYFUNCTION("""COMPUTED_VALUE"""),229.0)</f>
        <v>229</v>
      </c>
      <c r="J15" s="172">
        <f>IFERROR(__xludf.DUMMYFUNCTION("""COMPUTED_VALUE"""),279.0)</f>
        <v>279</v>
      </c>
      <c r="K15" s="172">
        <f>IFERROR(__xludf.DUMMYFUNCTION("""COMPUTED_VALUE"""),11099.0)</f>
        <v>11099</v>
      </c>
      <c r="L15" s="172">
        <f>IFERROR(__xludf.DUMMYFUNCTION("""COMPUTED_VALUE"""),1712.0)</f>
        <v>1712</v>
      </c>
      <c r="M15" s="172">
        <f>IFERROR(__xludf.DUMMYFUNCTION("""COMPUTED_VALUE"""),62504.0)</f>
        <v>62504</v>
      </c>
      <c r="N15" s="172">
        <f>IFERROR(__xludf.DUMMYFUNCTION("""COMPUTED_VALUE"""),73603.0)</f>
        <v>73603</v>
      </c>
      <c r="O15" s="172">
        <f>IFERROR(__xludf.DUMMYFUNCTION("""COMPUTED_VALUE"""),30.0)</f>
        <v>30</v>
      </c>
      <c r="P15" s="172">
        <f>IFERROR(__xludf.DUMMYFUNCTION("""COMPUTED_VALUE"""),1311.0)</f>
        <v>1311</v>
      </c>
      <c r="Q15" s="172">
        <f>IFERROR(__xludf.DUMMYFUNCTION("""COMPUTED_VALUE"""),29.0)</f>
        <v>29</v>
      </c>
      <c r="R15" s="172">
        <f>IFERROR(__xludf.DUMMYFUNCTION("""COMPUTED_VALUE"""),851.0)</f>
        <v>851</v>
      </c>
      <c r="S15" s="172">
        <f>IFERROR(__xludf.DUMMYFUNCTION("""COMPUTED_VALUE"""),5.0)</f>
        <v>5</v>
      </c>
      <c r="T15" s="172">
        <f>IFERROR(__xludf.DUMMYFUNCTION("""COMPUTED_VALUE"""),165.0)</f>
        <v>165</v>
      </c>
      <c r="U15" s="172">
        <f>IFERROR(__xludf.DUMMYFUNCTION("""COMPUTED_VALUE"""),295.0)</f>
        <v>295</v>
      </c>
      <c r="V15" s="172">
        <f>IFERROR(__xludf.DUMMYFUNCTION("""COMPUTED_VALUE"""),302.0)</f>
        <v>302</v>
      </c>
      <c r="W15" s="172">
        <f>IFERROR(__xludf.DUMMYFUNCTION("""COMPUTED_VALUE"""),72.0)</f>
        <v>72</v>
      </c>
      <c r="X15" s="172">
        <f>IFERROR(__xludf.DUMMYFUNCTION("""COMPUTED_VALUE"""),54.0)</f>
        <v>54</v>
      </c>
      <c r="Y15" s="172">
        <f>IFERROR(__xludf.DUMMYFUNCTION("""COMPUTED_VALUE"""),22.0)</f>
        <v>22</v>
      </c>
      <c r="Z15" s="172">
        <f>IFERROR(__xludf.DUMMYFUNCTION("""COMPUTED_VALUE"""),521.0)</f>
        <v>521</v>
      </c>
    </row>
    <row r="16">
      <c r="A16" s="235">
        <f>IFERROR(__xludf.DUMMYFUNCTION("""COMPUTED_VALUE"""),43960.0)</f>
        <v>43960</v>
      </c>
      <c r="B16" s="172">
        <f>IFERROR(__xludf.DUMMYFUNCTION("""COMPUTED_VALUE"""),467.0)</f>
        <v>467</v>
      </c>
      <c r="C16" s="172">
        <f>IFERROR(__xludf.DUMMYFUNCTION("""COMPUTED_VALUE"""),417.0)</f>
        <v>417</v>
      </c>
      <c r="D16" s="172">
        <f>IFERROR(__xludf.DUMMYFUNCTION("""COMPUTED_VALUE"""),13529.0)</f>
        <v>13529</v>
      </c>
      <c r="E16" s="172">
        <f>IFERROR(__xludf.DUMMYFUNCTION("""COMPUTED_VALUE"""),3346.0)</f>
        <v>3346</v>
      </c>
      <c r="F16" s="172">
        <f>IFERROR(__xludf.DUMMYFUNCTION("""COMPUTED_VALUE"""),83457.0)</f>
        <v>83457</v>
      </c>
      <c r="G16" s="172">
        <f>IFERROR(__xludf.DUMMYFUNCTION("""COMPUTED_VALUE"""),3813.0)</f>
        <v>3813</v>
      </c>
      <c r="H16" s="172">
        <f>IFERROR(__xludf.DUMMYFUNCTION("""COMPUTED_VALUE"""),96986.0)</f>
        <v>96986</v>
      </c>
      <c r="I16" s="172">
        <f>IFERROR(__xludf.DUMMYFUNCTION("""COMPUTED_VALUE"""),290.0)</f>
        <v>290</v>
      </c>
      <c r="J16" s="172">
        <f>IFERROR(__xludf.DUMMYFUNCTION("""COMPUTED_VALUE"""),263.0)</f>
        <v>263</v>
      </c>
      <c r="K16" s="172">
        <f>IFERROR(__xludf.DUMMYFUNCTION("""COMPUTED_VALUE"""),11389.0)</f>
        <v>11389</v>
      </c>
      <c r="L16" s="172">
        <f>IFERROR(__xludf.DUMMYFUNCTION("""COMPUTED_VALUE"""),2206.0)</f>
        <v>2206</v>
      </c>
      <c r="M16" s="172">
        <f>IFERROR(__xludf.DUMMYFUNCTION("""COMPUTED_VALUE"""),64710.0)</f>
        <v>64710</v>
      </c>
      <c r="N16" s="172">
        <f>IFERROR(__xludf.DUMMYFUNCTION("""COMPUTED_VALUE"""),76099.0)</f>
        <v>76099</v>
      </c>
      <c r="O16" s="172">
        <f>IFERROR(__xludf.DUMMYFUNCTION("""COMPUTED_VALUE"""),22.0)</f>
        <v>22</v>
      </c>
      <c r="P16" s="172">
        <f>IFERROR(__xludf.DUMMYFUNCTION("""COMPUTED_VALUE"""),1333.0)</f>
        <v>1333</v>
      </c>
      <c r="Q16" s="172">
        <f>IFERROR(__xludf.DUMMYFUNCTION("""COMPUTED_VALUE"""),21.0)</f>
        <v>21</v>
      </c>
      <c r="R16" s="172">
        <f>IFERROR(__xludf.DUMMYFUNCTION("""COMPUTED_VALUE"""),872.0)</f>
        <v>872</v>
      </c>
      <c r="S16" s="172">
        <f>IFERROR(__xludf.DUMMYFUNCTION("""COMPUTED_VALUE"""),4.0)</f>
        <v>4</v>
      </c>
      <c r="T16" s="172">
        <f>IFERROR(__xludf.DUMMYFUNCTION("""COMPUTED_VALUE"""),169.0)</f>
        <v>169</v>
      </c>
      <c r="U16" s="172">
        <f>IFERROR(__xludf.DUMMYFUNCTION("""COMPUTED_VALUE"""),292.0)</f>
        <v>292</v>
      </c>
      <c r="V16" s="172">
        <f>IFERROR(__xludf.DUMMYFUNCTION("""COMPUTED_VALUE"""),295.0)</f>
        <v>295</v>
      </c>
      <c r="W16" s="172">
        <f>IFERROR(__xludf.DUMMYFUNCTION("""COMPUTED_VALUE"""),70.0)</f>
        <v>70</v>
      </c>
      <c r="X16" s="172">
        <f>IFERROR(__xludf.DUMMYFUNCTION("""COMPUTED_VALUE"""),52.0)</f>
        <v>52</v>
      </c>
      <c r="Y16" s="172">
        <f>IFERROR(__xludf.DUMMYFUNCTION("""COMPUTED_VALUE"""),15.0)</f>
        <v>15</v>
      </c>
      <c r="Z16" s="172">
        <f>IFERROR(__xludf.DUMMYFUNCTION("""COMPUTED_VALUE"""),536.0)</f>
        <v>536</v>
      </c>
    </row>
    <row r="17">
      <c r="A17" s="235">
        <f>IFERROR(__xludf.DUMMYFUNCTION("""COMPUTED_VALUE"""),43961.0)</f>
        <v>43961</v>
      </c>
      <c r="B17" s="172">
        <f>IFERROR(__xludf.DUMMYFUNCTION("""COMPUTED_VALUE"""),285.0)</f>
        <v>285</v>
      </c>
      <c r="C17" s="172">
        <f>IFERROR(__xludf.DUMMYFUNCTION("""COMPUTED_VALUE"""),370.0)</f>
        <v>370</v>
      </c>
      <c r="D17" s="172">
        <f>IFERROR(__xludf.DUMMYFUNCTION("""COMPUTED_VALUE"""),13814.0)</f>
        <v>13814</v>
      </c>
      <c r="E17" s="172">
        <f>IFERROR(__xludf.DUMMYFUNCTION("""COMPUTED_VALUE"""),2117.0)</f>
        <v>2117</v>
      </c>
      <c r="F17" s="172">
        <f>IFERROR(__xludf.DUMMYFUNCTION("""COMPUTED_VALUE"""),85574.0)</f>
        <v>85574</v>
      </c>
      <c r="G17" s="172">
        <f>IFERROR(__xludf.DUMMYFUNCTION("""COMPUTED_VALUE"""),2402.0)</f>
        <v>2402</v>
      </c>
      <c r="H17" s="172">
        <f>IFERROR(__xludf.DUMMYFUNCTION("""COMPUTED_VALUE"""),99388.0)</f>
        <v>99388</v>
      </c>
      <c r="I17" s="172">
        <f>IFERROR(__xludf.DUMMYFUNCTION("""COMPUTED_VALUE"""),189.0)</f>
        <v>189</v>
      </c>
      <c r="J17" s="172">
        <f>IFERROR(__xludf.DUMMYFUNCTION("""COMPUTED_VALUE"""),236.0)</f>
        <v>236</v>
      </c>
      <c r="K17" s="172">
        <f>IFERROR(__xludf.DUMMYFUNCTION("""COMPUTED_VALUE"""),11578.0)</f>
        <v>11578</v>
      </c>
      <c r="L17" s="172">
        <f>IFERROR(__xludf.DUMMYFUNCTION("""COMPUTED_VALUE"""),1490.0)</f>
        <v>1490</v>
      </c>
      <c r="M17" s="172">
        <f>IFERROR(__xludf.DUMMYFUNCTION("""COMPUTED_VALUE"""),66200.0)</f>
        <v>66200</v>
      </c>
      <c r="N17" s="172">
        <f>IFERROR(__xludf.DUMMYFUNCTION("""COMPUTED_VALUE"""),77778.0)</f>
        <v>77778</v>
      </c>
      <c r="O17" s="172">
        <f>IFERROR(__xludf.DUMMYFUNCTION("""COMPUTED_VALUE"""),20.0)</f>
        <v>20</v>
      </c>
      <c r="P17" s="172">
        <f>IFERROR(__xludf.DUMMYFUNCTION("""COMPUTED_VALUE"""),1353.0)</f>
        <v>1353</v>
      </c>
      <c r="Q17" s="172">
        <f>IFERROR(__xludf.DUMMYFUNCTION("""COMPUTED_VALUE"""),23.0)</f>
        <v>23</v>
      </c>
      <c r="R17" s="172">
        <f>IFERROR(__xludf.DUMMYFUNCTION("""COMPUTED_VALUE"""),895.0)</f>
        <v>895</v>
      </c>
      <c r="S17" s="172">
        <f>IFERROR(__xludf.DUMMYFUNCTION("""COMPUTED_VALUE"""),6.0)</f>
        <v>6</v>
      </c>
      <c r="T17" s="172">
        <f>IFERROR(__xludf.DUMMYFUNCTION("""COMPUTED_VALUE"""),175.0)</f>
        <v>175</v>
      </c>
      <c r="U17" s="172">
        <f>IFERROR(__xludf.DUMMYFUNCTION("""COMPUTED_VALUE"""),283.0)</f>
        <v>283</v>
      </c>
      <c r="V17" s="172">
        <f>IFERROR(__xludf.DUMMYFUNCTION("""COMPUTED_VALUE"""),290.0)</f>
        <v>290</v>
      </c>
      <c r="W17" s="172">
        <f>IFERROR(__xludf.DUMMYFUNCTION("""COMPUTED_VALUE"""),71.0)</f>
        <v>71</v>
      </c>
      <c r="X17" s="172">
        <f>IFERROR(__xludf.DUMMYFUNCTION("""COMPUTED_VALUE"""),50.0)</f>
        <v>50</v>
      </c>
      <c r="Y17" s="172">
        <f>IFERROR(__xludf.DUMMYFUNCTION("""COMPUTED_VALUE"""),14.0)</f>
        <v>14</v>
      </c>
      <c r="Z17" s="172">
        <f>IFERROR(__xludf.DUMMYFUNCTION("""COMPUTED_VALUE"""),550.0)</f>
        <v>550</v>
      </c>
    </row>
    <row r="18">
      <c r="A18" s="235">
        <f>IFERROR(__xludf.DUMMYFUNCTION("""COMPUTED_VALUE"""),43962.0)</f>
        <v>43962</v>
      </c>
      <c r="B18" s="172">
        <f>IFERROR(__xludf.DUMMYFUNCTION("""COMPUTED_VALUE"""),257.0)</f>
        <v>257</v>
      </c>
      <c r="C18" s="172">
        <f>IFERROR(__xludf.DUMMYFUNCTION("""COMPUTED_VALUE"""),336.0)</f>
        <v>336</v>
      </c>
      <c r="D18" s="172">
        <f>IFERROR(__xludf.DUMMYFUNCTION("""COMPUTED_VALUE"""),14071.0)</f>
        <v>14071</v>
      </c>
      <c r="E18" s="172">
        <f>IFERROR(__xludf.DUMMYFUNCTION("""COMPUTED_VALUE"""),1857.0)</f>
        <v>1857</v>
      </c>
      <c r="F18" s="172">
        <f>IFERROR(__xludf.DUMMYFUNCTION("""COMPUTED_VALUE"""),87431.0)</f>
        <v>87431</v>
      </c>
      <c r="G18" s="172">
        <f>IFERROR(__xludf.DUMMYFUNCTION("""COMPUTED_VALUE"""),2114.0)</f>
        <v>2114</v>
      </c>
      <c r="H18" s="172">
        <f>IFERROR(__xludf.DUMMYFUNCTION("""COMPUTED_VALUE"""),101502.0)</f>
        <v>101502</v>
      </c>
      <c r="I18" s="172">
        <f>IFERROR(__xludf.DUMMYFUNCTION("""COMPUTED_VALUE"""),174.0)</f>
        <v>174</v>
      </c>
      <c r="J18" s="172">
        <f>IFERROR(__xludf.DUMMYFUNCTION("""COMPUTED_VALUE"""),218.0)</f>
        <v>218</v>
      </c>
      <c r="K18" s="172">
        <f>IFERROR(__xludf.DUMMYFUNCTION("""COMPUTED_VALUE"""),11752.0)</f>
        <v>11752</v>
      </c>
      <c r="L18" s="172">
        <f>IFERROR(__xludf.DUMMYFUNCTION("""COMPUTED_VALUE"""),1277.0)</f>
        <v>1277</v>
      </c>
      <c r="M18" s="172">
        <f>IFERROR(__xludf.DUMMYFUNCTION("""COMPUTED_VALUE"""),67477.0)</f>
        <v>67477</v>
      </c>
      <c r="N18" s="172">
        <f>IFERROR(__xludf.DUMMYFUNCTION("""COMPUTED_VALUE"""),79229.0)</f>
        <v>79229</v>
      </c>
      <c r="O18" s="172">
        <f>IFERROR(__xludf.DUMMYFUNCTION("""COMPUTED_VALUE"""),31.0)</f>
        <v>31</v>
      </c>
      <c r="P18" s="172">
        <f>IFERROR(__xludf.DUMMYFUNCTION("""COMPUTED_VALUE"""),1384.0)</f>
        <v>1384</v>
      </c>
      <c r="Q18" s="172">
        <f>IFERROR(__xludf.DUMMYFUNCTION("""COMPUTED_VALUE"""),16.0)</f>
        <v>16</v>
      </c>
      <c r="R18" s="172">
        <f>IFERROR(__xludf.DUMMYFUNCTION("""COMPUTED_VALUE"""),911.0)</f>
        <v>911</v>
      </c>
      <c r="S18" s="172">
        <f>IFERROR(__xludf.DUMMYFUNCTION("""COMPUTED_VALUE"""),6.0)</f>
        <v>6</v>
      </c>
      <c r="T18" s="172">
        <f>IFERROR(__xludf.DUMMYFUNCTION("""COMPUTED_VALUE"""),181.0)</f>
        <v>181</v>
      </c>
      <c r="U18" s="172">
        <f>IFERROR(__xludf.DUMMYFUNCTION("""COMPUTED_VALUE"""),292.0)</f>
        <v>292</v>
      </c>
      <c r="V18" s="172">
        <f>IFERROR(__xludf.DUMMYFUNCTION("""COMPUTED_VALUE"""),289.0)</f>
        <v>289</v>
      </c>
      <c r="W18" s="172">
        <f>IFERROR(__xludf.DUMMYFUNCTION("""COMPUTED_VALUE"""),72.0)</f>
        <v>72</v>
      </c>
      <c r="X18" s="172">
        <f>IFERROR(__xludf.DUMMYFUNCTION("""COMPUTED_VALUE"""),50.0)</f>
        <v>50</v>
      </c>
      <c r="Y18" s="172">
        <f>IFERROR(__xludf.DUMMYFUNCTION("""COMPUTED_VALUE"""),15.0)</f>
        <v>15</v>
      </c>
      <c r="Z18" s="172">
        <f>IFERROR(__xludf.DUMMYFUNCTION("""COMPUTED_VALUE"""),565.0)</f>
        <v>565</v>
      </c>
    </row>
    <row r="19">
      <c r="A19" s="235">
        <f>IFERROR(__xludf.DUMMYFUNCTION("""COMPUTED_VALUE"""),43963.0)</f>
        <v>43963</v>
      </c>
      <c r="B19" s="172">
        <f>IFERROR(__xludf.DUMMYFUNCTION("""COMPUTED_VALUE"""),387.0)</f>
        <v>387</v>
      </c>
      <c r="C19" s="172">
        <f>IFERROR(__xludf.DUMMYFUNCTION("""COMPUTED_VALUE"""),310.0)</f>
        <v>310</v>
      </c>
      <c r="D19" s="172">
        <f>IFERROR(__xludf.DUMMYFUNCTION("""COMPUTED_VALUE"""),14458.0)</f>
        <v>14458</v>
      </c>
      <c r="E19" s="172">
        <f>IFERROR(__xludf.DUMMYFUNCTION("""COMPUTED_VALUE"""),2611.0)</f>
        <v>2611</v>
      </c>
      <c r="F19" s="172">
        <f>IFERROR(__xludf.DUMMYFUNCTION("""COMPUTED_VALUE"""),90042.0)</f>
        <v>90042</v>
      </c>
      <c r="G19" s="172">
        <f>IFERROR(__xludf.DUMMYFUNCTION("""COMPUTED_VALUE"""),2998.0)</f>
        <v>2998</v>
      </c>
      <c r="H19" s="172">
        <f>IFERROR(__xludf.DUMMYFUNCTION("""COMPUTED_VALUE"""),104500.0)</f>
        <v>104500</v>
      </c>
      <c r="I19" s="172">
        <f>IFERROR(__xludf.DUMMYFUNCTION("""COMPUTED_VALUE"""),224.0)</f>
        <v>224</v>
      </c>
      <c r="J19" s="172">
        <f>IFERROR(__xludf.DUMMYFUNCTION("""COMPUTED_VALUE"""),196.0)</f>
        <v>196</v>
      </c>
      <c r="K19" s="172">
        <f>IFERROR(__xludf.DUMMYFUNCTION("""COMPUTED_VALUE"""),11976.0)</f>
        <v>11976</v>
      </c>
      <c r="L19" s="172">
        <f>IFERROR(__xludf.DUMMYFUNCTION("""COMPUTED_VALUE"""),1640.0)</f>
        <v>1640</v>
      </c>
      <c r="M19" s="172">
        <f>IFERROR(__xludf.DUMMYFUNCTION("""COMPUTED_VALUE"""),69117.0)</f>
        <v>69117</v>
      </c>
      <c r="N19" s="172">
        <f>IFERROR(__xludf.DUMMYFUNCTION("""COMPUTED_VALUE"""),81093.0)</f>
        <v>81093</v>
      </c>
      <c r="O19" s="172">
        <f>IFERROR(__xludf.DUMMYFUNCTION("""COMPUTED_VALUE"""),23.0)</f>
        <v>23</v>
      </c>
      <c r="P19" s="172">
        <f>IFERROR(__xludf.DUMMYFUNCTION("""COMPUTED_VALUE"""),1407.0)</f>
        <v>1407</v>
      </c>
      <c r="Q19" s="172">
        <f>IFERROR(__xludf.DUMMYFUNCTION("""COMPUTED_VALUE"""),18.0)</f>
        <v>18</v>
      </c>
      <c r="R19" s="172">
        <f>IFERROR(__xludf.DUMMYFUNCTION("""COMPUTED_VALUE"""),929.0)</f>
        <v>929</v>
      </c>
      <c r="S19" s="172">
        <f>IFERROR(__xludf.DUMMYFUNCTION("""COMPUTED_VALUE"""),4.0)</f>
        <v>4</v>
      </c>
      <c r="T19" s="172">
        <f>IFERROR(__xludf.DUMMYFUNCTION("""COMPUTED_VALUE"""),185.0)</f>
        <v>185</v>
      </c>
      <c r="U19" s="172">
        <f>IFERROR(__xludf.DUMMYFUNCTION("""COMPUTED_VALUE"""),293.0)</f>
        <v>293</v>
      </c>
      <c r="V19" s="172">
        <f>IFERROR(__xludf.DUMMYFUNCTION("""COMPUTED_VALUE"""),289.0)</f>
        <v>289</v>
      </c>
      <c r="W19" s="172">
        <f>IFERROR(__xludf.DUMMYFUNCTION("""COMPUTED_VALUE"""),70.0)</f>
        <v>70</v>
      </c>
      <c r="X19" s="172">
        <f>IFERROR(__xludf.DUMMYFUNCTION("""COMPUTED_VALUE"""),49.0)</f>
        <v>49</v>
      </c>
      <c r="Y19" s="172">
        <f>IFERROR(__xludf.DUMMYFUNCTION("""COMPUTED_VALUE"""),22.0)</f>
        <v>22</v>
      </c>
      <c r="Z19" s="172">
        <f>IFERROR(__xludf.DUMMYFUNCTION("""COMPUTED_VALUE"""),587.0)</f>
        <v>587</v>
      </c>
    </row>
    <row r="20">
      <c r="A20" s="235">
        <f>IFERROR(__xludf.DUMMYFUNCTION("""COMPUTED_VALUE"""),43964.0)</f>
        <v>43964</v>
      </c>
      <c r="B20" s="172">
        <f>IFERROR(__xludf.DUMMYFUNCTION("""COMPUTED_VALUE"""),351.0)</f>
        <v>351</v>
      </c>
      <c r="C20" s="172">
        <f>IFERROR(__xludf.DUMMYFUNCTION("""COMPUTED_VALUE"""),332.0)</f>
        <v>332</v>
      </c>
      <c r="D20" s="172">
        <f>IFERROR(__xludf.DUMMYFUNCTION("""COMPUTED_VALUE"""),14809.0)</f>
        <v>14809</v>
      </c>
      <c r="E20" s="172">
        <f>IFERROR(__xludf.DUMMYFUNCTION("""COMPUTED_VALUE"""),3630.0)</f>
        <v>3630</v>
      </c>
      <c r="F20" s="172">
        <f>IFERROR(__xludf.DUMMYFUNCTION("""COMPUTED_VALUE"""),93672.0)</f>
        <v>93672</v>
      </c>
      <c r="G20" s="172">
        <f>IFERROR(__xludf.DUMMYFUNCTION("""COMPUTED_VALUE"""),3981.0)</f>
        <v>3981</v>
      </c>
      <c r="H20" s="172">
        <f>IFERROR(__xludf.DUMMYFUNCTION("""COMPUTED_VALUE"""),108481.0)</f>
        <v>108481</v>
      </c>
      <c r="I20" s="172">
        <f>IFERROR(__xludf.DUMMYFUNCTION("""COMPUTED_VALUE"""),199.0)</f>
        <v>199</v>
      </c>
      <c r="J20" s="172">
        <f>IFERROR(__xludf.DUMMYFUNCTION("""COMPUTED_VALUE"""),199.0)</f>
        <v>199</v>
      </c>
      <c r="K20" s="172">
        <f>IFERROR(__xludf.DUMMYFUNCTION("""COMPUTED_VALUE"""),12175.0)</f>
        <v>12175</v>
      </c>
      <c r="L20" s="172">
        <f>IFERROR(__xludf.DUMMYFUNCTION("""COMPUTED_VALUE"""),1927.0)</f>
        <v>1927</v>
      </c>
      <c r="M20" s="172">
        <f>IFERROR(__xludf.DUMMYFUNCTION("""COMPUTED_VALUE"""),71044.0)</f>
        <v>71044</v>
      </c>
      <c r="N20" s="172">
        <f>IFERROR(__xludf.DUMMYFUNCTION("""COMPUTED_VALUE"""),83219.0)</f>
        <v>83219</v>
      </c>
      <c r="O20" s="172">
        <f>IFERROR(__xludf.DUMMYFUNCTION("""COMPUTED_VALUE"""),23.0)</f>
        <v>23</v>
      </c>
      <c r="P20" s="172">
        <f>IFERROR(__xludf.DUMMYFUNCTION("""COMPUTED_VALUE"""),1430.0)</f>
        <v>1430</v>
      </c>
      <c r="Q20" s="172">
        <f>IFERROR(__xludf.DUMMYFUNCTION("""COMPUTED_VALUE"""),25.0)</f>
        <v>25</v>
      </c>
      <c r="R20" s="172">
        <f>IFERROR(__xludf.DUMMYFUNCTION("""COMPUTED_VALUE"""),954.0)</f>
        <v>954</v>
      </c>
      <c r="S20" s="172">
        <f>IFERROR(__xludf.DUMMYFUNCTION("""COMPUTED_VALUE"""),1.0)</f>
        <v>1</v>
      </c>
      <c r="T20" s="172">
        <f>IFERROR(__xludf.DUMMYFUNCTION("""COMPUTED_VALUE"""),186.0)</f>
        <v>186</v>
      </c>
      <c r="U20" s="172">
        <f>IFERROR(__xludf.DUMMYFUNCTION("""COMPUTED_VALUE"""),290.0)</f>
        <v>290</v>
      </c>
      <c r="V20" s="172">
        <f>IFERROR(__xludf.DUMMYFUNCTION("""COMPUTED_VALUE"""),292.0)</f>
        <v>292</v>
      </c>
      <c r="W20" s="172">
        <f>IFERROR(__xludf.DUMMYFUNCTION("""COMPUTED_VALUE"""),70.0)</f>
        <v>70</v>
      </c>
      <c r="X20" s="172">
        <f>IFERROR(__xludf.DUMMYFUNCTION("""COMPUTED_VALUE"""),50.0)</f>
        <v>50</v>
      </c>
      <c r="Y20" s="172">
        <f>IFERROR(__xludf.DUMMYFUNCTION("""COMPUTED_VALUE"""),13.0)</f>
        <v>13</v>
      </c>
      <c r="Z20" s="172">
        <f>IFERROR(__xludf.DUMMYFUNCTION("""COMPUTED_VALUE"""),600.0)</f>
        <v>600</v>
      </c>
    </row>
    <row r="21">
      <c r="A21" s="235">
        <f>IFERROR(__xludf.DUMMYFUNCTION("""COMPUTED_VALUE"""),43965.0)</f>
        <v>43965</v>
      </c>
      <c r="B21" s="172">
        <f>IFERROR(__xludf.DUMMYFUNCTION("""COMPUTED_VALUE"""),329.0)</f>
        <v>329</v>
      </c>
      <c r="C21" s="172">
        <f>IFERROR(__xludf.DUMMYFUNCTION("""COMPUTED_VALUE"""),356.0)</f>
        <v>356</v>
      </c>
      <c r="D21" s="172">
        <f>IFERROR(__xludf.DUMMYFUNCTION("""COMPUTED_VALUE"""),15138.0)</f>
        <v>15138</v>
      </c>
      <c r="E21" s="172">
        <f>IFERROR(__xludf.DUMMYFUNCTION("""COMPUTED_VALUE"""),3408.0)</f>
        <v>3408</v>
      </c>
      <c r="F21" s="172">
        <f>IFERROR(__xludf.DUMMYFUNCTION("""COMPUTED_VALUE"""),97080.0)</f>
        <v>97080</v>
      </c>
      <c r="G21" s="172">
        <f>IFERROR(__xludf.DUMMYFUNCTION("""COMPUTED_VALUE"""),3737.0)</f>
        <v>3737</v>
      </c>
      <c r="H21" s="172">
        <f>IFERROR(__xludf.DUMMYFUNCTION("""COMPUTED_VALUE"""),112218.0)</f>
        <v>112218</v>
      </c>
      <c r="I21" s="172">
        <f>IFERROR(__xludf.DUMMYFUNCTION("""COMPUTED_VALUE"""),232.0)</f>
        <v>232</v>
      </c>
      <c r="J21" s="172">
        <f>IFERROR(__xludf.DUMMYFUNCTION("""COMPUTED_VALUE"""),218.0)</f>
        <v>218</v>
      </c>
      <c r="K21" s="172">
        <f>IFERROR(__xludf.DUMMYFUNCTION("""COMPUTED_VALUE"""),12407.0)</f>
        <v>12407</v>
      </c>
      <c r="L21" s="172">
        <f>IFERROR(__xludf.DUMMYFUNCTION("""COMPUTED_VALUE"""),1970.0)</f>
        <v>1970</v>
      </c>
      <c r="M21" s="172">
        <f>IFERROR(__xludf.DUMMYFUNCTION("""COMPUTED_VALUE"""),73014.0)</f>
        <v>73014</v>
      </c>
      <c r="N21" s="172">
        <f>IFERROR(__xludf.DUMMYFUNCTION("""COMPUTED_VALUE"""),85421.0)</f>
        <v>85421</v>
      </c>
      <c r="O21" s="172">
        <f>IFERROR(__xludf.DUMMYFUNCTION("""COMPUTED_VALUE"""),19.0)</f>
        <v>19</v>
      </c>
      <c r="P21" s="172">
        <f>IFERROR(__xludf.DUMMYFUNCTION("""COMPUTED_VALUE"""),1449.0)</f>
        <v>1449</v>
      </c>
      <c r="Q21" s="172">
        <f>IFERROR(__xludf.DUMMYFUNCTION("""COMPUTED_VALUE"""),27.0)</f>
        <v>27</v>
      </c>
      <c r="R21" s="172">
        <f>IFERROR(__xludf.DUMMYFUNCTION("""COMPUTED_VALUE"""),981.0)</f>
        <v>981</v>
      </c>
      <c r="S21" s="172">
        <f>IFERROR(__xludf.DUMMYFUNCTION("""COMPUTED_VALUE"""),3.0)</f>
        <v>3</v>
      </c>
      <c r="T21" s="172">
        <f>IFERROR(__xludf.DUMMYFUNCTION("""COMPUTED_VALUE"""),189.0)</f>
        <v>189</v>
      </c>
      <c r="U21" s="172">
        <f>IFERROR(__xludf.DUMMYFUNCTION("""COMPUTED_VALUE"""),279.0)</f>
        <v>279</v>
      </c>
      <c r="V21" s="172">
        <f>IFERROR(__xludf.DUMMYFUNCTION("""COMPUTED_VALUE"""),287.0)</f>
        <v>287</v>
      </c>
      <c r="W21" s="172">
        <f>IFERROR(__xludf.DUMMYFUNCTION("""COMPUTED_VALUE"""),65.0)</f>
        <v>65</v>
      </c>
      <c r="X21" s="172">
        <f>IFERROR(__xludf.DUMMYFUNCTION("""COMPUTED_VALUE"""),46.0)</f>
        <v>46</v>
      </c>
      <c r="Y21" s="172">
        <f>IFERROR(__xludf.DUMMYFUNCTION("""COMPUTED_VALUE"""),15.0)</f>
        <v>15</v>
      </c>
      <c r="Z21" s="172">
        <f>IFERROR(__xludf.DUMMYFUNCTION("""COMPUTED_VALUE"""),615.0)</f>
        <v>615</v>
      </c>
    </row>
    <row r="22">
      <c r="A22" s="235">
        <f>IFERROR(__xludf.DUMMYFUNCTION("""COMPUTED_VALUE"""),43966.0)</f>
        <v>43966</v>
      </c>
      <c r="B22" s="172">
        <f>IFERROR(__xludf.DUMMYFUNCTION("""COMPUTED_VALUE"""),381.0)</f>
        <v>381</v>
      </c>
      <c r="C22" s="172">
        <f>IFERROR(__xludf.DUMMYFUNCTION("""COMPUTED_VALUE"""),354.0)</f>
        <v>354</v>
      </c>
      <c r="D22" s="172">
        <f>IFERROR(__xludf.DUMMYFUNCTION("""COMPUTED_VALUE"""),15519.0)</f>
        <v>15519</v>
      </c>
      <c r="E22" s="172">
        <f>IFERROR(__xludf.DUMMYFUNCTION("""COMPUTED_VALUE"""),3458.0)</f>
        <v>3458</v>
      </c>
      <c r="F22" s="172">
        <f>IFERROR(__xludf.DUMMYFUNCTION("""COMPUTED_VALUE"""),100538.0)</f>
        <v>100538</v>
      </c>
      <c r="G22" s="172">
        <f>IFERROR(__xludf.DUMMYFUNCTION("""COMPUTED_VALUE"""),3839.0)</f>
        <v>3839</v>
      </c>
      <c r="H22" s="172">
        <f>IFERROR(__xludf.DUMMYFUNCTION("""COMPUTED_VALUE"""),116057.0)</f>
        <v>116057</v>
      </c>
      <c r="I22" s="172">
        <f>IFERROR(__xludf.DUMMYFUNCTION("""COMPUTED_VALUE"""),232.0)</f>
        <v>232</v>
      </c>
      <c r="J22" s="172">
        <f>IFERROR(__xludf.DUMMYFUNCTION("""COMPUTED_VALUE"""),221.0)</f>
        <v>221</v>
      </c>
      <c r="K22" s="172">
        <f>IFERROR(__xludf.DUMMYFUNCTION("""COMPUTED_VALUE"""),12639.0)</f>
        <v>12639</v>
      </c>
      <c r="L22" s="172">
        <f>IFERROR(__xludf.DUMMYFUNCTION("""COMPUTED_VALUE"""),1772.0)</f>
        <v>1772</v>
      </c>
      <c r="M22" s="172">
        <f>IFERROR(__xludf.DUMMYFUNCTION("""COMPUTED_VALUE"""),74786.0)</f>
        <v>74786</v>
      </c>
      <c r="N22" s="172">
        <f>IFERROR(__xludf.DUMMYFUNCTION("""COMPUTED_VALUE"""),87425.0)</f>
        <v>87425</v>
      </c>
      <c r="O22" s="172">
        <f>IFERROR(__xludf.DUMMYFUNCTION("""COMPUTED_VALUE"""),24.0)</f>
        <v>24</v>
      </c>
      <c r="P22" s="172">
        <f>IFERROR(__xludf.DUMMYFUNCTION("""COMPUTED_VALUE"""),1473.0)</f>
        <v>1473</v>
      </c>
      <c r="Q22" s="172">
        <f>IFERROR(__xludf.DUMMYFUNCTION("""COMPUTED_VALUE"""),41.0)</f>
        <v>41</v>
      </c>
      <c r="R22" s="172">
        <f>IFERROR(__xludf.DUMMYFUNCTION("""COMPUTED_VALUE"""),1022.0)</f>
        <v>1022</v>
      </c>
      <c r="S22" s="172">
        <f>IFERROR(__xludf.DUMMYFUNCTION("""COMPUTED_VALUE"""),5.0)</f>
        <v>5</v>
      </c>
      <c r="T22" s="172">
        <f>IFERROR(__xludf.DUMMYFUNCTION("""COMPUTED_VALUE"""),194.0)</f>
        <v>194</v>
      </c>
      <c r="U22" s="172">
        <f>IFERROR(__xludf.DUMMYFUNCTION("""COMPUTED_VALUE"""),257.0)</f>
        <v>257</v>
      </c>
      <c r="V22" s="172">
        <f>IFERROR(__xludf.DUMMYFUNCTION("""COMPUTED_VALUE"""),275.0)</f>
        <v>275</v>
      </c>
      <c r="W22" s="172">
        <f>IFERROR(__xludf.DUMMYFUNCTION("""COMPUTED_VALUE"""),63.0)</f>
        <v>63</v>
      </c>
      <c r="X22" s="172">
        <f>IFERROR(__xludf.DUMMYFUNCTION("""COMPUTED_VALUE"""),46.0)</f>
        <v>46</v>
      </c>
      <c r="Y22" s="172">
        <f>IFERROR(__xludf.DUMMYFUNCTION("""COMPUTED_VALUE"""),14.0)</f>
        <v>14</v>
      </c>
      <c r="Z22" s="172">
        <f>IFERROR(__xludf.DUMMYFUNCTION("""COMPUTED_VALUE"""),629.0)</f>
        <v>629</v>
      </c>
    </row>
    <row r="23">
      <c r="A23" s="235">
        <f>IFERROR(__xludf.DUMMYFUNCTION("""COMPUTED_VALUE"""),43967.0)</f>
        <v>43967</v>
      </c>
      <c r="B23" s="172">
        <f>IFERROR(__xludf.DUMMYFUNCTION("""COMPUTED_VALUE"""),449.0)</f>
        <v>449</v>
      </c>
      <c r="C23" s="172">
        <f>IFERROR(__xludf.DUMMYFUNCTION("""COMPUTED_VALUE"""),386.0)</f>
        <v>386</v>
      </c>
      <c r="D23" s="172">
        <f>IFERROR(__xludf.DUMMYFUNCTION("""COMPUTED_VALUE"""),15968.0)</f>
        <v>15968</v>
      </c>
      <c r="E23" s="172">
        <f>IFERROR(__xludf.DUMMYFUNCTION("""COMPUTED_VALUE"""),4156.0)</f>
        <v>4156</v>
      </c>
      <c r="F23" s="172">
        <f>IFERROR(__xludf.DUMMYFUNCTION("""COMPUTED_VALUE"""),104694.0)</f>
        <v>104694</v>
      </c>
      <c r="G23" s="172">
        <f>IFERROR(__xludf.DUMMYFUNCTION("""COMPUTED_VALUE"""),4605.0)</f>
        <v>4605</v>
      </c>
      <c r="H23" s="172">
        <f>IFERROR(__xludf.DUMMYFUNCTION("""COMPUTED_VALUE"""),120662.0)</f>
        <v>120662</v>
      </c>
      <c r="I23" s="172">
        <f>IFERROR(__xludf.DUMMYFUNCTION("""COMPUTED_VALUE"""),247.0)</f>
        <v>247</v>
      </c>
      <c r="J23" s="172">
        <f>IFERROR(__xludf.DUMMYFUNCTION("""COMPUTED_VALUE"""),237.0)</f>
        <v>237</v>
      </c>
      <c r="K23" s="172">
        <f>IFERROR(__xludf.DUMMYFUNCTION("""COMPUTED_VALUE"""),12886.0)</f>
        <v>12886</v>
      </c>
      <c r="L23" s="172">
        <f>IFERROR(__xludf.DUMMYFUNCTION("""COMPUTED_VALUE"""),1913.0)</f>
        <v>1913</v>
      </c>
      <c r="M23" s="172">
        <f>IFERROR(__xludf.DUMMYFUNCTION("""COMPUTED_VALUE"""),76699.0)</f>
        <v>76699</v>
      </c>
      <c r="N23" s="172">
        <f>IFERROR(__xludf.DUMMYFUNCTION("""COMPUTED_VALUE"""),89585.0)</f>
        <v>89585</v>
      </c>
      <c r="O23" s="172">
        <f>IFERROR(__xludf.DUMMYFUNCTION("""COMPUTED_VALUE"""),25.0)</f>
        <v>25</v>
      </c>
      <c r="P23" s="172">
        <f>IFERROR(__xludf.DUMMYFUNCTION("""COMPUTED_VALUE"""),1498.0)</f>
        <v>1498</v>
      </c>
      <c r="Q23" s="172">
        <f>IFERROR(__xludf.DUMMYFUNCTION("""COMPUTED_VALUE"""),15.0)</f>
        <v>15</v>
      </c>
      <c r="R23" s="172">
        <f>IFERROR(__xludf.DUMMYFUNCTION("""COMPUTED_VALUE"""),1037.0)</f>
        <v>1037</v>
      </c>
      <c r="S23" s="172">
        <f>IFERROR(__xludf.DUMMYFUNCTION("""COMPUTED_VALUE"""),5.0)</f>
        <v>5</v>
      </c>
      <c r="T23" s="172">
        <f>IFERROR(__xludf.DUMMYFUNCTION("""COMPUTED_VALUE"""),199.0)</f>
        <v>199</v>
      </c>
      <c r="U23" s="172">
        <f>IFERROR(__xludf.DUMMYFUNCTION("""COMPUTED_VALUE"""),262.0)</f>
        <v>262</v>
      </c>
      <c r="V23" s="172">
        <f>IFERROR(__xludf.DUMMYFUNCTION("""COMPUTED_VALUE"""),266.0)</f>
        <v>266</v>
      </c>
      <c r="W23" s="172">
        <f>IFERROR(__xludf.DUMMYFUNCTION("""COMPUTED_VALUE"""),62.0)</f>
        <v>62</v>
      </c>
      <c r="X23" s="172">
        <f>IFERROR(__xludf.DUMMYFUNCTION("""COMPUTED_VALUE"""),47.0)</f>
        <v>47</v>
      </c>
      <c r="Y23" s="172">
        <f>IFERROR(__xludf.DUMMYFUNCTION("""COMPUTED_VALUE"""),15.0)</f>
        <v>15</v>
      </c>
      <c r="Z23" s="172">
        <f>IFERROR(__xludf.DUMMYFUNCTION("""COMPUTED_VALUE"""),644.0)</f>
        <v>644</v>
      </c>
    </row>
    <row r="24">
      <c r="A24" s="235">
        <f>IFERROR(__xludf.DUMMYFUNCTION("""COMPUTED_VALUE"""),43968.0)</f>
        <v>43968</v>
      </c>
      <c r="B24" s="172">
        <f>IFERROR(__xludf.DUMMYFUNCTION("""COMPUTED_VALUE"""),240.0)</f>
        <v>240</v>
      </c>
      <c r="C24" s="172">
        <f>IFERROR(__xludf.DUMMYFUNCTION("""COMPUTED_VALUE"""),357.0)</f>
        <v>357</v>
      </c>
      <c r="D24" s="172">
        <f>IFERROR(__xludf.DUMMYFUNCTION("""COMPUTED_VALUE"""),16208.0)</f>
        <v>16208</v>
      </c>
      <c r="E24" s="172">
        <f>IFERROR(__xludf.DUMMYFUNCTION("""COMPUTED_VALUE"""),2768.0)</f>
        <v>2768</v>
      </c>
      <c r="F24" s="172">
        <f>IFERROR(__xludf.DUMMYFUNCTION("""COMPUTED_VALUE"""),107462.0)</f>
        <v>107462</v>
      </c>
      <c r="G24" s="172">
        <f>IFERROR(__xludf.DUMMYFUNCTION("""COMPUTED_VALUE"""),3008.0)</f>
        <v>3008</v>
      </c>
      <c r="H24" s="172">
        <f>IFERROR(__xludf.DUMMYFUNCTION("""COMPUTED_VALUE"""),123670.0)</f>
        <v>123670</v>
      </c>
      <c r="I24" s="172">
        <f>IFERROR(__xludf.DUMMYFUNCTION("""COMPUTED_VALUE"""),126.0)</f>
        <v>126</v>
      </c>
      <c r="J24" s="172">
        <f>IFERROR(__xludf.DUMMYFUNCTION("""COMPUTED_VALUE"""),202.0)</f>
        <v>202</v>
      </c>
      <c r="K24" s="172">
        <f>IFERROR(__xludf.DUMMYFUNCTION("""COMPUTED_VALUE"""),13012.0)</f>
        <v>13012</v>
      </c>
      <c r="L24" s="172">
        <f>IFERROR(__xludf.DUMMYFUNCTION("""COMPUTED_VALUE"""),1520.0)</f>
        <v>1520</v>
      </c>
      <c r="M24" s="172">
        <f>IFERROR(__xludf.DUMMYFUNCTION("""COMPUTED_VALUE"""),78219.0)</f>
        <v>78219</v>
      </c>
      <c r="N24" s="172">
        <f>IFERROR(__xludf.DUMMYFUNCTION("""COMPUTED_VALUE"""),91231.0)</f>
        <v>91231</v>
      </c>
      <c r="O24" s="172">
        <f>IFERROR(__xludf.DUMMYFUNCTION("""COMPUTED_VALUE"""),17.0)</f>
        <v>17</v>
      </c>
      <c r="P24" s="172">
        <f>IFERROR(__xludf.DUMMYFUNCTION("""COMPUTED_VALUE"""),1515.0)</f>
        <v>1515</v>
      </c>
      <c r="Q24" s="172">
        <f>IFERROR(__xludf.DUMMYFUNCTION("""COMPUTED_VALUE"""),9.0)</f>
        <v>9</v>
      </c>
      <c r="R24" s="172">
        <f>IFERROR(__xludf.DUMMYFUNCTION("""COMPUTED_VALUE"""),1046.0)</f>
        <v>1046</v>
      </c>
      <c r="S24" s="172">
        <f>IFERROR(__xludf.DUMMYFUNCTION("""COMPUTED_VALUE"""),5.0)</f>
        <v>5</v>
      </c>
      <c r="T24" s="172">
        <f>IFERROR(__xludf.DUMMYFUNCTION("""COMPUTED_VALUE"""),204.0)</f>
        <v>204</v>
      </c>
      <c r="U24" s="172">
        <f>IFERROR(__xludf.DUMMYFUNCTION("""COMPUTED_VALUE"""),265.0)</f>
        <v>265</v>
      </c>
      <c r="V24" s="172">
        <f>IFERROR(__xludf.DUMMYFUNCTION("""COMPUTED_VALUE"""),261.0)</f>
        <v>261</v>
      </c>
      <c r="W24" s="172">
        <f>IFERROR(__xludf.DUMMYFUNCTION("""COMPUTED_VALUE"""),60.0)</f>
        <v>60</v>
      </c>
      <c r="X24" s="172">
        <f>IFERROR(__xludf.DUMMYFUNCTION("""COMPUTED_VALUE"""),46.0)</f>
        <v>46</v>
      </c>
      <c r="Y24" s="172">
        <f>IFERROR(__xludf.DUMMYFUNCTION("""COMPUTED_VALUE"""),10.0)</f>
        <v>10</v>
      </c>
      <c r="Z24" s="172">
        <f>IFERROR(__xludf.DUMMYFUNCTION("""COMPUTED_VALUE"""),654.0)</f>
        <v>654</v>
      </c>
    </row>
    <row r="25">
      <c r="A25" s="235">
        <f>IFERROR(__xludf.DUMMYFUNCTION("""COMPUTED_VALUE"""),43969.0)</f>
        <v>43969</v>
      </c>
      <c r="B25" s="172">
        <f>IFERROR(__xludf.DUMMYFUNCTION("""COMPUTED_VALUE"""),250.0)</f>
        <v>250</v>
      </c>
      <c r="C25" s="172">
        <f>IFERROR(__xludf.DUMMYFUNCTION("""COMPUTED_VALUE"""),313.0)</f>
        <v>313</v>
      </c>
      <c r="D25" s="172">
        <f>IFERROR(__xludf.DUMMYFUNCTION("""COMPUTED_VALUE"""),16458.0)</f>
        <v>16458</v>
      </c>
      <c r="E25" s="172">
        <f>IFERROR(__xludf.DUMMYFUNCTION("""COMPUTED_VALUE"""),2001.0)</f>
        <v>2001</v>
      </c>
      <c r="F25" s="172">
        <f>IFERROR(__xludf.DUMMYFUNCTION("""COMPUTED_VALUE"""),109463.0)</f>
        <v>109463</v>
      </c>
      <c r="G25" s="172">
        <f>IFERROR(__xludf.DUMMYFUNCTION("""COMPUTED_VALUE"""),2251.0)</f>
        <v>2251</v>
      </c>
      <c r="H25" s="172">
        <f>IFERROR(__xludf.DUMMYFUNCTION("""COMPUTED_VALUE"""),125921.0)</f>
        <v>125921</v>
      </c>
      <c r="I25" s="172">
        <f>IFERROR(__xludf.DUMMYFUNCTION("""COMPUTED_VALUE"""),135.0)</f>
        <v>135</v>
      </c>
      <c r="J25" s="172">
        <f>IFERROR(__xludf.DUMMYFUNCTION("""COMPUTED_VALUE"""),169.0)</f>
        <v>169</v>
      </c>
      <c r="K25" s="172">
        <f>IFERROR(__xludf.DUMMYFUNCTION("""COMPUTED_VALUE"""),13147.0)</f>
        <v>13147</v>
      </c>
      <c r="L25" s="172">
        <f>IFERROR(__xludf.DUMMYFUNCTION("""COMPUTED_VALUE"""),1354.0)</f>
        <v>1354</v>
      </c>
      <c r="M25" s="172">
        <f>IFERROR(__xludf.DUMMYFUNCTION("""COMPUTED_VALUE"""),79573.0)</f>
        <v>79573</v>
      </c>
      <c r="N25" s="172">
        <f>IFERROR(__xludf.DUMMYFUNCTION("""COMPUTED_VALUE"""),92720.0)</f>
        <v>92720</v>
      </c>
      <c r="O25" s="172">
        <f>IFERROR(__xludf.DUMMYFUNCTION("""COMPUTED_VALUE"""),19.0)</f>
        <v>19</v>
      </c>
      <c r="P25" s="172">
        <f>IFERROR(__xludf.DUMMYFUNCTION("""COMPUTED_VALUE"""),1534.0)</f>
        <v>1534</v>
      </c>
      <c r="Q25" s="172">
        <f>IFERROR(__xludf.DUMMYFUNCTION("""COMPUTED_VALUE"""),16.0)</f>
        <v>16</v>
      </c>
      <c r="R25" s="172">
        <f>IFERROR(__xludf.DUMMYFUNCTION("""COMPUTED_VALUE"""),1062.0)</f>
        <v>1062</v>
      </c>
      <c r="S25" s="172">
        <f>IFERROR(__xludf.DUMMYFUNCTION("""COMPUTED_VALUE"""),5.0)</f>
        <v>5</v>
      </c>
      <c r="T25" s="172">
        <f>IFERROR(__xludf.DUMMYFUNCTION("""COMPUTED_VALUE"""),209.0)</f>
        <v>209</v>
      </c>
      <c r="U25" s="172">
        <f>IFERROR(__xludf.DUMMYFUNCTION("""COMPUTED_VALUE"""),263.0)</f>
        <v>263</v>
      </c>
      <c r="V25" s="172">
        <f>IFERROR(__xludf.DUMMYFUNCTION("""COMPUTED_VALUE"""),263.0)</f>
        <v>263</v>
      </c>
      <c r="W25" s="172">
        <f>IFERROR(__xludf.DUMMYFUNCTION("""COMPUTED_VALUE"""),58.0)</f>
        <v>58</v>
      </c>
      <c r="X25" s="172">
        <f>IFERROR(__xludf.DUMMYFUNCTION("""COMPUTED_VALUE"""),41.0)</f>
        <v>41</v>
      </c>
      <c r="Y25" s="172">
        <f>IFERROR(__xludf.DUMMYFUNCTION("""COMPUTED_VALUE"""),18.0)</f>
        <v>18</v>
      </c>
      <c r="Z25" s="172">
        <f>IFERROR(__xludf.DUMMYFUNCTION("""COMPUTED_VALUE"""),672.0)</f>
        <v>672</v>
      </c>
    </row>
    <row r="26">
      <c r="A26" s="235">
        <f>IFERROR(__xludf.DUMMYFUNCTION("""COMPUTED_VALUE"""),43970.0)</f>
        <v>43970</v>
      </c>
      <c r="B26" s="172">
        <f>IFERROR(__xludf.DUMMYFUNCTION("""COMPUTED_VALUE"""),415.0)</f>
        <v>415</v>
      </c>
      <c r="C26" s="172">
        <f>IFERROR(__xludf.DUMMYFUNCTION("""COMPUTED_VALUE"""),302.0)</f>
        <v>302</v>
      </c>
      <c r="D26" s="172">
        <f>IFERROR(__xludf.DUMMYFUNCTION("""COMPUTED_VALUE"""),16873.0)</f>
        <v>16873</v>
      </c>
      <c r="E26" s="172">
        <f>IFERROR(__xludf.DUMMYFUNCTION("""COMPUTED_VALUE"""),3168.0)</f>
        <v>3168</v>
      </c>
      <c r="F26" s="172">
        <f>IFERROR(__xludf.DUMMYFUNCTION("""COMPUTED_VALUE"""),112631.0)</f>
        <v>112631</v>
      </c>
      <c r="G26" s="172">
        <f>IFERROR(__xludf.DUMMYFUNCTION("""COMPUTED_VALUE"""),3583.0)</f>
        <v>3583</v>
      </c>
      <c r="H26" s="172">
        <f>IFERROR(__xludf.DUMMYFUNCTION("""COMPUTED_VALUE"""),129504.0)</f>
        <v>129504</v>
      </c>
      <c r="I26" s="172">
        <f>IFERROR(__xludf.DUMMYFUNCTION("""COMPUTED_VALUE"""),215.0)</f>
        <v>215</v>
      </c>
      <c r="J26" s="172">
        <f>IFERROR(__xludf.DUMMYFUNCTION("""COMPUTED_VALUE"""),159.0)</f>
        <v>159</v>
      </c>
      <c r="K26" s="172">
        <f>IFERROR(__xludf.DUMMYFUNCTION("""COMPUTED_VALUE"""),13362.0)</f>
        <v>13362</v>
      </c>
      <c r="L26" s="172">
        <f>IFERROR(__xludf.DUMMYFUNCTION("""COMPUTED_VALUE"""),1900.0)</f>
        <v>1900</v>
      </c>
      <c r="M26" s="172">
        <f>IFERROR(__xludf.DUMMYFUNCTION("""COMPUTED_VALUE"""),81473.0)</f>
        <v>81473</v>
      </c>
      <c r="N26" s="172">
        <f>IFERROR(__xludf.DUMMYFUNCTION("""COMPUTED_VALUE"""),94835.0)</f>
        <v>94835</v>
      </c>
      <c r="O26" s="172">
        <f>IFERROR(__xludf.DUMMYFUNCTION("""COMPUTED_VALUE"""),23.0)</f>
        <v>23</v>
      </c>
      <c r="P26" s="172">
        <f>IFERROR(__xludf.DUMMYFUNCTION("""COMPUTED_VALUE"""),1557.0)</f>
        <v>1557</v>
      </c>
      <c r="Q26" s="172">
        <f>IFERROR(__xludf.DUMMYFUNCTION("""COMPUTED_VALUE"""),33.0)</f>
        <v>33</v>
      </c>
      <c r="R26" s="172">
        <f>IFERROR(__xludf.DUMMYFUNCTION("""COMPUTED_VALUE"""),1095.0)</f>
        <v>1095</v>
      </c>
      <c r="S26" s="172">
        <f>IFERROR(__xludf.DUMMYFUNCTION("""COMPUTED_VALUE"""),5.0)</f>
        <v>5</v>
      </c>
      <c r="T26" s="172">
        <f>IFERROR(__xludf.DUMMYFUNCTION("""COMPUTED_VALUE"""),214.0)</f>
        <v>214</v>
      </c>
      <c r="U26" s="172">
        <f>IFERROR(__xludf.DUMMYFUNCTION("""COMPUTED_VALUE"""),248.0)</f>
        <v>248</v>
      </c>
      <c r="V26" s="172">
        <f>IFERROR(__xludf.DUMMYFUNCTION("""COMPUTED_VALUE"""),259.0)</f>
        <v>259</v>
      </c>
      <c r="W26" s="172">
        <f>IFERROR(__xludf.DUMMYFUNCTION("""COMPUTED_VALUE"""),57.0)</f>
        <v>57</v>
      </c>
      <c r="X26" s="172">
        <f>IFERROR(__xludf.DUMMYFUNCTION("""COMPUTED_VALUE"""),39.0)</f>
        <v>39</v>
      </c>
      <c r="Y26" s="172">
        <f>IFERROR(__xludf.DUMMYFUNCTION("""COMPUTED_VALUE"""),11.0)</f>
        <v>11</v>
      </c>
      <c r="Z26" s="172">
        <f>IFERROR(__xludf.DUMMYFUNCTION("""COMPUTED_VALUE"""),683.0)</f>
        <v>683</v>
      </c>
    </row>
    <row r="27">
      <c r="A27" s="235">
        <f>IFERROR(__xludf.DUMMYFUNCTION("""COMPUTED_VALUE"""),43971.0)</f>
        <v>43971</v>
      </c>
      <c r="B27" s="172">
        <f>IFERROR(__xludf.DUMMYFUNCTION("""COMPUTED_VALUE"""),326.0)</f>
        <v>326</v>
      </c>
      <c r="C27" s="172">
        <f>IFERROR(__xludf.DUMMYFUNCTION("""COMPUTED_VALUE"""),330.0)</f>
        <v>330</v>
      </c>
      <c r="D27" s="172">
        <f>IFERROR(__xludf.DUMMYFUNCTION("""COMPUTED_VALUE"""),17199.0)</f>
        <v>17199</v>
      </c>
      <c r="E27" s="172">
        <f>IFERROR(__xludf.DUMMYFUNCTION("""COMPUTED_VALUE"""),2771.0)</f>
        <v>2771</v>
      </c>
      <c r="F27" s="172">
        <f>IFERROR(__xludf.DUMMYFUNCTION("""COMPUTED_VALUE"""),115402.0)</f>
        <v>115402</v>
      </c>
      <c r="G27" s="172">
        <f>IFERROR(__xludf.DUMMYFUNCTION("""COMPUTED_VALUE"""),3097.0)</f>
        <v>3097</v>
      </c>
      <c r="H27" s="172">
        <f>IFERROR(__xludf.DUMMYFUNCTION("""COMPUTED_VALUE"""),132601.0)</f>
        <v>132601</v>
      </c>
      <c r="I27" s="172">
        <f>IFERROR(__xludf.DUMMYFUNCTION("""COMPUTED_VALUE"""),184.0)</f>
        <v>184</v>
      </c>
      <c r="J27" s="172">
        <f>IFERROR(__xludf.DUMMYFUNCTION("""COMPUTED_VALUE"""),178.0)</f>
        <v>178</v>
      </c>
      <c r="K27" s="172">
        <f>IFERROR(__xludf.DUMMYFUNCTION("""COMPUTED_VALUE"""),13546.0)</f>
        <v>13546</v>
      </c>
      <c r="L27" s="172">
        <f>IFERROR(__xludf.DUMMYFUNCTION("""COMPUTED_VALUE"""),1499.0)</f>
        <v>1499</v>
      </c>
      <c r="M27" s="172">
        <f>IFERROR(__xludf.DUMMYFUNCTION("""COMPUTED_VALUE"""),82972.0)</f>
        <v>82972</v>
      </c>
      <c r="N27" s="172">
        <f>IFERROR(__xludf.DUMMYFUNCTION("""COMPUTED_VALUE"""),96518.0)</f>
        <v>96518</v>
      </c>
      <c r="O27" s="172">
        <f>IFERROR(__xludf.DUMMYFUNCTION("""COMPUTED_VALUE"""),19.0)</f>
        <v>19</v>
      </c>
      <c r="P27" s="172">
        <f>IFERROR(__xludf.DUMMYFUNCTION("""COMPUTED_VALUE"""),1576.0)</f>
        <v>1576</v>
      </c>
      <c r="Q27" s="172">
        <f>IFERROR(__xludf.DUMMYFUNCTION("""COMPUTED_VALUE"""),23.0)</f>
        <v>23</v>
      </c>
      <c r="R27" s="172">
        <f>IFERROR(__xludf.DUMMYFUNCTION("""COMPUTED_VALUE"""),1118.0)</f>
        <v>1118</v>
      </c>
      <c r="S27" s="172">
        <f>IFERROR(__xludf.DUMMYFUNCTION("""COMPUTED_VALUE"""),7.0)</f>
        <v>7</v>
      </c>
      <c r="T27" s="172">
        <f>IFERROR(__xludf.DUMMYFUNCTION("""COMPUTED_VALUE"""),221.0)</f>
        <v>221</v>
      </c>
      <c r="U27" s="172">
        <f>IFERROR(__xludf.DUMMYFUNCTION("""COMPUTED_VALUE"""),237.0)</f>
        <v>237</v>
      </c>
      <c r="V27" s="172">
        <f>IFERROR(__xludf.DUMMYFUNCTION("""COMPUTED_VALUE"""),249.0)</f>
        <v>249</v>
      </c>
      <c r="W27" s="172">
        <f>IFERROR(__xludf.DUMMYFUNCTION("""COMPUTED_VALUE"""),53.0)</f>
        <v>53</v>
      </c>
      <c r="X27" s="172">
        <f>IFERROR(__xludf.DUMMYFUNCTION("""COMPUTED_VALUE"""),34.0)</f>
        <v>34</v>
      </c>
      <c r="Y27" s="172">
        <f>IFERROR(__xludf.DUMMYFUNCTION("""COMPUTED_VALUE"""),22.0)</f>
        <v>22</v>
      </c>
      <c r="Z27" s="172">
        <f>IFERROR(__xludf.DUMMYFUNCTION("""COMPUTED_VALUE"""),705.0)</f>
        <v>705</v>
      </c>
    </row>
    <row r="28">
      <c r="A28" s="235">
        <f>IFERROR(__xludf.DUMMYFUNCTION("""COMPUTED_VALUE"""),43972.0)</f>
        <v>43972</v>
      </c>
      <c r="B28" s="172">
        <f>IFERROR(__xludf.DUMMYFUNCTION("""COMPUTED_VALUE"""),374.0)</f>
        <v>374</v>
      </c>
      <c r="C28" s="172">
        <f>IFERROR(__xludf.DUMMYFUNCTION("""COMPUTED_VALUE"""),372.0)</f>
        <v>372</v>
      </c>
      <c r="D28" s="172">
        <f>IFERROR(__xludf.DUMMYFUNCTION("""COMPUTED_VALUE"""),17573.0)</f>
        <v>17573</v>
      </c>
      <c r="E28" s="172">
        <f>IFERROR(__xludf.DUMMYFUNCTION("""COMPUTED_VALUE"""),3757.0)</f>
        <v>3757</v>
      </c>
      <c r="F28" s="172">
        <f>IFERROR(__xludf.DUMMYFUNCTION("""COMPUTED_VALUE"""),119159.0)</f>
        <v>119159</v>
      </c>
      <c r="G28" s="172">
        <f>IFERROR(__xludf.DUMMYFUNCTION("""COMPUTED_VALUE"""),4131.0)</f>
        <v>4131</v>
      </c>
      <c r="H28" s="172">
        <f>IFERROR(__xludf.DUMMYFUNCTION("""COMPUTED_VALUE"""),136732.0)</f>
        <v>136732</v>
      </c>
      <c r="I28" s="172">
        <f>IFERROR(__xludf.DUMMYFUNCTION("""COMPUTED_VALUE"""),168.0)</f>
        <v>168</v>
      </c>
      <c r="J28" s="172">
        <f>IFERROR(__xludf.DUMMYFUNCTION("""COMPUTED_VALUE"""),189.0)</f>
        <v>189</v>
      </c>
      <c r="K28" s="172">
        <f>IFERROR(__xludf.DUMMYFUNCTION("""COMPUTED_VALUE"""),13714.0)</f>
        <v>13714</v>
      </c>
      <c r="L28" s="172">
        <f>IFERROR(__xludf.DUMMYFUNCTION("""COMPUTED_VALUE"""),1915.0)</f>
        <v>1915</v>
      </c>
      <c r="M28" s="172">
        <f>IFERROR(__xludf.DUMMYFUNCTION("""COMPUTED_VALUE"""),84887.0)</f>
        <v>84887</v>
      </c>
      <c r="N28" s="172">
        <f>IFERROR(__xludf.DUMMYFUNCTION("""COMPUTED_VALUE"""),98601.0)</f>
        <v>98601</v>
      </c>
      <c r="O28" s="172">
        <f>IFERROR(__xludf.DUMMYFUNCTION("""COMPUTED_VALUE"""),25.0)</f>
        <v>25</v>
      </c>
      <c r="P28" s="172">
        <f>IFERROR(__xludf.DUMMYFUNCTION("""COMPUTED_VALUE"""),1601.0)</f>
        <v>1601</v>
      </c>
      <c r="Q28" s="172">
        <f>IFERROR(__xludf.DUMMYFUNCTION("""COMPUTED_VALUE"""),15.0)</f>
        <v>15</v>
      </c>
      <c r="R28" s="172">
        <f>IFERROR(__xludf.DUMMYFUNCTION("""COMPUTED_VALUE"""),1133.0)</f>
        <v>1133</v>
      </c>
      <c r="S28" s="172">
        <f>IFERROR(__xludf.DUMMYFUNCTION("""COMPUTED_VALUE"""),3.0)</f>
        <v>3</v>
      </c>
      <c r="T28" s="172">
        <f>IFERROR(__xludf.DUMMYFUNCTION("""COMPUTED_VALUE"""),224.0)</f>
        <v>224</v>
      </c>
      <c r="U28" s="172">
        <f>IFERROR(__xludf.DUMMYFUNCTION("""COMPUTED_VALUE"""),244.0)</f>
        <v>244</v>
      </c>
      <c r="V28" s="172">
        <f>IFERROR(__xludf.DUMMYFUNCTION("""COMPUTED_VALUE"""),243.0)</f>
        <v>243</v>
      </c>
      <c r="W28" s="172">
        <f>IFERROR(__xludf.DUMMYFUNCTION("""COMPUTED_VALUE"""),54.0)</f>
        <v>54</v>
      </c>
      <c r="X28" s="172">
        <f>IFERROR(__xludf.DUMMYFUNCTION("""COMPUTED_VALUE"""),30.0)</f>
        <v>30</v>
      </c>
      <c r="Y28" s="172">
        <f>IFERROR(__xludf.DUMMYFUNCTION("""COMPUTED_VALUE"""),20.0)</f>
        <v>20</v>
      </c>
      <c r="Z28" s="172">
        <f>IFERROR(__xludf.DUMMYFUNCTION("""COMPUTED_VALUE"""),725.0)</f>
        <v>725</v>
      </c>
    </row>
    <row r="29">
      <c r="A29" s="235">
        <f>IFERROR(__xludf.DUMMYFUNCTION("""COMPUTED_VALUE"""),43973.0)</f>
        <v>43973</v>
      </c>
      <c r="B29" s="172">
        <f>IFERROR(__xludf.DUMMYFUNCTION("""COMPUTED_VALUE"""),351.0)</f>
        <v>351</v>
      </c>
      <c r="C29" s="172">
        <f>IFERROR(__xludf.DUMMYFUNCTION("""COMPUTED_VALUE"""),350.0)</f>
        <v>350</v>
      </c>
      <c r="D29" s="172">
        <f>IFERROR(__xludf.DUMMYFUNCTION("""COMPUTED_VALUE"""),17924.0)</f>
        <v>17924</v>
      </c>
      <c r="E29" s="172">
        <f>IFERROR(__xludf.DUMMYFUNCTION("""COMPUTED_VALUE"""),3161.0)</f>
        <v>3161</v>
      </c>
      <c r="F29" s="172">
        <f>IFERROR(__xludf.DUMMYFUNCTION("""COMPUTED_VALUE"""),122320.0)</f>
        <v>122320</v>
      </c>
      <c r="G29" s="172">
        <f>IFERROR(__xludf.DUMMYFUNCTION("""COMPUTED_VALUE"""),3512.0)</f>
        <v>3512</v>
      </c>
      <c r="H29" s="172">
        <f>IFERROR(__xludf.DUMMYFUNCTION("""COMPUTED_VALUE"""),140244.0)</f>
        <v>140244</v>
      </c>
      <c r="I29" s="172">
        <f>IFERROR(__xludf.DUMMYFUNCTION("""COMPUTED_VALUE"""),206.0)</f>
        <v>206</v>
      </c>
      <c r="J29" s="172">
        <f>IFERROR(__xludf.DUMMYFUNCTION("""COMPUTED_VALUE"""),186.0)</f>
        <v>186</v>
      </c>
      <c r="K29" s="172">
        <f>IFERROR(__xludf.DUMMYFUNCTION("""COMPUTED_VALUE"""),13920.0)</f>
        <v>13920</v>
      </c>
      <c r="L29" s="172">
        <f>IFERROR(__xludf.DUMMYFUNCTION("""COMPUTED_VALUE"""),1583.0)</f>
        <v>1583</v>
      </c>
      <c r="M29" s="172">
        <f>IFERROR(__xludf.DUMMYFUNCTION("""COMPUTED_VALUE"""),86470.0)</f>
        <v>86470</v>
      </c>
      <c r="N29" s="172">
        <f>IFERROR(__xludf.DUMMYFUNCTION("""COMPUTED_VALUE"""),100390.0)</f>
        <v>100390</v>
      </c>
      <c r="O29" s="172">
        <f>IFERROR(__xludf.DUMMYFUNCTION("""COMPUTED_VALUE"""),20.0)</f>
        <v>20</v>
      </c>
      <c r="P29" s="172">
        <f>IFERROR(__xludf.DUMMYFUNCTION("""COMPUTED_VALUE"""),1621.0)</f>
        <v>1621</v>
      </c>
      <c r="Q29" s="172">
        <f>IFERROR(__xludf.DUMMYFUNCTION("""COMPUTED_VALUE"""),28.0)</f>
        <v>28</v>
      </c>
      <c r="R29" s="172">
        <f>IFERROR(__xludf.DUMMYFUNCTION("""COMPUTED_VALUE"""),1161.0)</f>
        <v>1161</v>
      </c>
      <c r="S29" s="172">
        <f>IFERROR(__xludf.DUMMYFUNCTION("""COMPUTED_VALUE"""),5.0)</f>
        <v>5</v>
      </c>
      <c r="T29" s="172">
        <f>IFERROR(__xludf.DUMMYFUNCTION("""COMPUTED_VALUE"""),229.0)</f>
        <v>229</v>
      </c>
      <c r="U29" s="172">
        <f>IFERROR(__xludf.DUMMYFUNCTION("""COMPUTED_VALUE"""),231.0)</f>
        <v>231</v>
      </c>
      <c r="V29" s="172">
        <f>IFERROR(__xludf.DUMMYFUNCTION("""COMPUTED_VALUE"""),237.0)</f>
        <v>237</v>
      </c>
      <c r="W29" s="172">
        <f>IFERROR(__xludf.DUMMYFUNCTION("""COMPUTED_VALUE"""),53.0)</f>
        <v>53</v>
      </c>
      <c r="X29" s="172">
        <f>IFERROR(__xludf.DUMMYFUNCTION("""COMPUTED_VALUE"""),30.0)</f>
        <v>30</v>
      </c>
      <c r="Y29" s="172">
        <f>IFERROR(__xludf.DUMMYFUNCTION("""COMPUTED_VALUE"""),11.0)</f>
        <v>11</v>
      </c>
      <c r="Z29" s="172">
        <f>IFERROR(__xludf.DUMMYFUNCTION("""COMPUTED_VALUE"""),736.0)</f>
        <v>736</v>
      </c>
    </row>
    <row r="30">
      <c r="A30" s="235">
        <f>IFERROR(__xludf.DUMMYFUNCTION("""COMPUTED_VALUE"""),43974.0)</f>
        <v>43974</v>
      </c>
      <c r="B30" s="172">
        <f>IFERROR(__xludf.DUMMYFUNCTION("""COMPUTED_VALUE"""),253.0)</f>
        <v>253</v>
      </c>
      <c r="C30" s="172">
        <f>IFERROR(__xludf.DUMMYFUNCTION("""COMPUTED_VALUE"""),326.0)</f>
        <v>326</v>
      </c>
      <c r="D30" s="172">
        <f>IFERROR(__xludf.DUMMYFUNCTION("""COMPUTED_VALUE"""),18177.0)</f>
        <v>18177</v>
      </c>
      <c r="E30" s="172">
        <f>IFERROR(__xludf.DUMMYFUNCTION("""COMPUTED_VALUE"""),2742.0)</f>
        <v>2742</v>
      </c>
      <c r="F30" s="172">
        <f>IFERROR(__xludf.DUMMYFUNCTION("""COMPUTED_VALUE"""),125062.0)</f>
        <v>125062</v>
      </c>
      <c r="G30" s="172">
        <f>IFERROR(__xludf.DUMMYFUNCTION("""COMPUTED_VALUE"""),2995.0)</f>
        <v>2995</v>
      </c>
      <c r="H30" s="172">
        <f>IFERROR(__xludf.DUMMYFUNCTION("""COMPUTED_VALUE"""),143239.0)</f>
        <v>143239</v>
      </c>
      <c r="I30" s="172">
        <f>IFERROR(__xludf.DUMMYFUNCTION("""COMPUTED_VALUE"""),109.0)</f>
        <v>109</v>
      </c>
      <c r="J30" s="172">
        <f>IFERROR(__xludf.DUMMYFUNCTION("""COMPUTED_VALUE"""),161.0)</f>
        <v>161</v>
      </c>
      <c r="K30" s="172">
        <f>IFERROR(__xludf.DUMMYFUNCTION("""COMPUTED_VALUE"""),14029.0)</f>
        <v>14029</v>
      </c>
      <c r="L30" s="172">
        <f>IFERROR(__xludf.DUMMYFUNCTION("""COMPUTED_VALUE"""),1250.0)</f>
        <v>1250</v>
      </c>
      <c r="M30" s="172">
        <f>IFERROR(__xludf.DUMMYFUNCTION("""COMPUTED_VALUE"""),87720.0)</f>
        <v>87720</v>
      </c>
      <c r="N30" s="172">
        <f>IFERROR(__xludf.DUMMYFUNCTION("""COMPUTED_VALUE"""),101749.0)</f>
        <v>101749</v>
      </c>
      <c r="O30" s="172">
        <f>IFERROR(__xludf.DUMMYFUNCTION("""COMPUTED_VALUE"""),19.0)</f>
        <v>19</v>
      </c>
      <c r="P30" s="172">
        <f>IFERROR(__xludf.DUMMYFUNCTION("""COMPUTED_VALUE"""),1640.0)</f>
        <v>1640</v>
      </c>
      <c r="Q30" s="172">
        <f>IFERROR(__xludf.DUMMYFUNCTION("""COMPUTED_VALUE"""),11.0)</f>
        <v>11</v>
      </c>
      <c r="R30" s="172">
        <f>IFERROR(__xludf.DUMMYFUNCTION("""COMPUTED_VALUE"""),1172.0)</f>
        <v>1172</v>
      </c>
      <c r="S30" s="172">
        <f>IFERROR(__xludf.DUMMYFUNCTION("""COMPUTED_VALUE"""),3.0)</f>
        <v>3</v>
      </c>
      <c r="T30" s="172">
        <f>IFERROR(__xludf.DUMMYFUNCTION("""COMPUTED_VALUE"""),232.0)</f>
        <v>232</v>
      </c>
      <c r="U30" s="172">
        <f>IFERROR(__xludf.DUMMYFUNCTION("""COMPUTED_VALUE"""),236.0)</f>
        <v>236</v>
      </c>
      <c r="V30" s="172">
        <f>IFERROR(__xludf.DUMMYFUNCTION("""COMPUTED_VALUE"""),237.0)</f>
        <v>237</v>
      </c>
      <c r="W30" s="172">
        <f>IFERROR(__xludf.DUMMYFUNCTION("""COMPUTED_VALUE"""),53.0)</f>
        <v>53</v>
      </c>
      <c r="X30" s="172">
        <f>IFERROR(__xludf.DUMMYFUNCTION("""COMPUTED_VALUE"""),33.0)</f>
        <v>33</v>
      </c>
      <c r="Y30" s="172">
        <f>IFERROR(__xludf.DUMMYFUNCTION("""COMPUTED_VALUE"""),13.0)</f>
        <v>13</v>
      </c>
      <c r="Z30" s="172">
        <f>IFERROR(__xludf.DUMMYFUNCTION("""COMPUTED_VALUE"""),749.0)</f>
        <v>749</v>
      </c>
    </row>
    <row r="31">
      <c r="A31" s="235">
        <f>IFERROR(__xludf.DUMMYFUNCTION("""COMPUTED_VALUE"""),43975.0)</f>
        <v>43975</v>
      </c>
      <c r="B31" s="172">
        <f>IFERROR(__xludf.DUMMYFUNCTION("""COMPUTED_VALUE"""),163.0)</f>
        <v>163</v>
      </c>
      <c r="C31" s="172">
        <f>IFERROR(__xludf.DUMMYFUNCTION("""COMPUTED_VALUE"""),256.0)</f>
        <v>256</v>
      </c>
      <c r="D31" s="172">
        <f>IFERROR(__xludf.DUMMYFUNCTION("""COMPUTED_VALUE"""),18340.0)</f>
        <v>18340</v>
      </c>
      <c r="E31" s="172">
        <f>IFERROR(__xludf.DUMMYFUNCTION("""COMPUTED_VALUE"""),1370.0)</f>
        <v>1370</v>
      </c>
      <c r="F31" s="172">
        <f>IFERROR(__xludf.DUMMYFUNCTION("""COMPUTED_VALUE"""),126432.0)</f>
        <v>126432</v>
      </c>
      <c r="G31" s="172">
        <f>IFERROR(__xludf.DUMMYFUNCTION("""COMPUTED_VALUE"""),1533.0)</f>
        <v>1533</v>
      </c>
      <c r="H31" s="172">
        <f>IFERROR(__xludf.DUMMYFUNCTION("""COMPUTED_VALUE"""),144772.0)</f>
        <v>144772</v>
      </c>
      <c r="I31" s="172">
        <f>IFERROR(__xludf.DUMMYFUNCTION("""COMPUTED_VALUE"""),83.0)</f>
        <v>83</v>
      </c>
      <c r="J31" s="172">
        <f>IFERROR(__xludf.DUMMYFUNCTION("""COMPUTED_VALUE"""),133.0)</f>
        <v>133</v>
      </c>
      <c r="K31" s="172">
        <f>IFERROR(__xludf.DUMMYFUNCTION("""COMPUTED_VALUE"""),14112.0)</f>
        <v>14112</v>
      </c>
      <c r="L31" s="172">
        <f>IFERROR(__xludf.DUMMYFUNCTION("""COMPUTED_VALUE"""),765.0)</f>
        <v>765</v>
      </c>
      <c r="M31" s="172">
        <f>IFERROR(__xludf.DUMMYFUNCTION("""COMPUTED_VALUE"""),88485.0)</f>
        <v>88485</v>
      </c>
      <c r="N31" s="172">
        <f>IFERROR(__xludf.DUMMYFUNCTION("""COMPUTED_VALUE"""),102597.0)</f>
        <v>102597</v>
      </c>
      <c r="O31" s="172">
        <f>IFERROR(__xludf.DUMMYFUNCTION("""COMPUTED_VALUE"""),13.0)</f>
        <v>13</v>
      </c>
      <c r="P31" s="172">
        <f>IFERROR(__xludf.DUMMYFUNCTION("""COMPUTED_VALUE"""),1653.0)</f>
        <v>1653</v>
      </c>
      <c r="Q31" s="172">
        <f>IFERROR(__xludf.DUMMYFUNCTION("""COMPUTED_VALUE"""),14.0)</f>
        <v>14</v>
      </c>
      <c r="R31" s="172">
        <f>IFERROR(__xludf.DUMMYFUNCTION("""COMPUTED_VALUE"""),1186.0)</f>
        <v>1186</v>
      </c>
      <c r="S31" s="172">
        <f>IFERROR(__xludf.DUMMYFUNCTION("""COMPUTED_VALUE"""),2.0)</f>
        <v>2</v>
      </c>
      <c r="T31" s="172">
        <f>IFERROR(__xludf.DUMMYFUNCTION("""COMPUTED_VALUE"""),234.0)</f>
        <v>234</v>
      </c>
      <c r="U31" s="172">
        <f>IFERROR(__xludf.DUMMYFUNCTION("""COMPUTED_VALUE"""),233.0)</f>
        <v>233</v>
      </c>
      <c r="V31" s="172">
        <f>IFERROR(__xludf.DUMMYFUNCTION("""COMPUTED_VALUE"""),233.0)</f>
        <v>233</v>
      </c>
      <c r="W31" s="172">
        <f>IFERROR(__xludf.DUMMYFUNCTION("""COMPUTED_VALUE"""),54.0)</f>
        <v>54</v>
      </c>
      <c r="X31" s="172">
        <f>IFERROR(__xludf.DUMMYFUNCTION("""COMPUTED_VALUE"""),36.0)</f>
        <v>36</v>
      </c>
      <c r="Y31" s="172">
        <f>IFERROR(__xludf.DUMMYFUNCTION("""COMPUTED_VALUE"""),8.0)</f>
        <v>8</v>
      </c>
      <c r="Z31" s="172">
        <f>IFERROR(__xludf.DUMMYFUNCTION("""COMPUTED_VALUE"""),757.0)</f>
        <v>757</v>
      </c>
    </row>
    <row r="32">
      <c r="A32" s="235">
        <f>IFERROR(__xludf.DUMMYFUNCTION("""COMPUTED_VALUE"""),43976.0)</f>
        <v>43976</v>
      </c>
      <c r="B32" s="172">
        <f>IFERROR(__xludf.DUMMYFUNCTION("""COMPUTED_VALUE"""),147.0)</f>
        <v>147</v>
      </c>
      <c r="C32" s="172">
        <f>IFERROR(__xludf.DUMMYFUNCTION("""COMPUTED_VALUE"""),188.0)</f>
        <v>188</v>
      </c>
      <c r="D32" s="172">
        <f>IFERROR(__xludf.DUMMYFUNCTION("""COMPUTED_VALUE"""),18487.0)</f>
        <v>18487</v>
      </c>
      <c r="E32" s="172">
        <f>IFERROR(__xludf.DUMMYFUNCTION("""COMPUTED_VALUE"""),1385.0)</f>
        <v>1385</v>
      </c>
      <c r="F32" s="172">
        <f>IFERROR(__xludf.DUMMYFUNCTION("""COMPUTED_VALUE"""),127817.0)</f>
        <v>127817</v>
      </c>
      <c r="G32" s="172">
        <f>IFERROR(__xludf.DUMMYFUNCTION("""COMPUTED_VALUE"""),1532.0)</f>
        <v>1532</v>
      </c>
      <c r="H32" s="172">
        <f>IFERROR(__xludf.DUMMYFUNCTION("""COMPUTED_VALUE"""),146304.0)</f>
        <v>146304</v>
      </c>
      <c r="I32" s="172">
        <f>IFERROR(__xludf.DUMMYFUNCTION("""COMPUTED_VALUE"""),76.0)</f>
        <v>76</v>
      </c>
      <c r="J32" s="172">
        <f>IFERROR(__xludf.DUMMYFUNCTION("""COMPUTED_VALUE"""),89.0)</f>
        <v>89</v>
      </c>
      <c r="K32" s="172">
        <f>IFERROR(__xludf.DUMMYFUNCTION("""COMPUTED_VALUE"""),14188.0)</f>
        <v>14188</v>
      </c>
      <c r="L32" s="172">
        <f>IFERROR(__xludf.DUMMYFUNCTION("""COMPUTED_VALUE"""),755.0)</f>
        <v>755</v>
      </c>
      <c r="M32" s="172">
        <f>IFERROR(__xludf.DUMMYFUNCTION("""COMPUTED_VALUE"""),89240.0)</f>
        <v>89240</v>
      </c>
      <c r="N32" s="172">
        <f>IFERROR(__xludf.DUMMYFUNCTION("""COMPUTED_VALUE"""),103428.0)</f>
        <v>103428</v>
      </c>
      <c r="O32" s="172">
        <f>IFERROR(__xludf.DUMMYFUNCTION("""COMPUTED_VALUE"""),14.0)</f>
        <v>14</v>
      </c>
      <c r="P32" s="172">
        <f>IFERROR(__xludf.DUMMYFUNCTION("""COMPUTED_VALUE"""),1667.0)</f>
        <v>1667</v>
      </c>
      <c r="Q32" s="172">
        <f>IFERROR(__xludf.DUMMYFUNCTION("""COMPUTED_VALUE"""),14.0)</f>
        <v>14</v>
      </c>
      <c r="R32" s="172">
        <f>IFERROR(__xludf.DUMMYFUNCTION("""COMPUTED_VALUE"""),1200.0)</f>
        <v>1200</v>
      </c>
      <c r="S32" s="172">
        <f>IFERROR(__xludf.DUMMYFUNCTION("""COMPUTED_VALUE"""),0.0)</f>
        <v>0</v>
      </c>
      <c r="T32" s="172">
        <f>IFERROR(__xludf.DUMMYFUNCTION("""COMPUTED_VALUE"""),234.0)</f>
        <v>234</v>
      </c>
      <c r="U32" s="172">
        <f>IFERROR(__xludf.DUMMYFUNCTION("""COMPUTED_VALUE"""),233.0)</f>
        <v>233</v>
      </c>
      <c r="V32" s="172">
        <f>IFERROR(__xludf.DUMMYFUNCTION("""COMPUTED_VALUE"""),234.0)</f>
        <v>234</v>
      </c>
      <c r="W32" s="172">
        <f>IFERROR(__xludf.DUMMYFUNCTION("""COMPUTED_VALUE"""),54.0)</f>
        <v>54</v>
      </c>
      <c r="X32" s="172">
        <f>IFERROR(__xludf.DUMMYFUNCTION("""COMPUTED_VALUE"""),34.0)</f>
        <v>34</v>
      </c>
      <c r="Y32" s="172">
        <f>IFERROR(__xludf.DUMMYFUNCTION("""COMPUTED_VALUE"""),10.0)</f>
        <v>10</v>
      </c>
      <c r="Z32" s="172">
        <f>IFERROR(__xludf.DUMMYFUNCTION("""COMPUTED_VALUE"""),767.0)</f>
        <v>767</v>
      </c>
    </row>
    <row r="33">
      <c r="A33" s="235">
        <f>IFERROR(__xludf.DUMMYFUNCTION("""COMPUTED_VALUE"""),43977.0)</f>
        <v>43977</v>
      </c>
      <c r="B33" s="172">
        <f>IFERROR(__xludf.DUMMYFUNCTION("""COMPUTED_VALUE"""),285.0)</f>
        <v>285</v>
      </c>
      <c r="C33" s="172">
        <f>IFERROR(__xludf.DUMMYFUNCTION("""COMPUTED_VALUE"""),198.0)</f>
        <v>198</v>
      </c>
      <c r="D33" s="172">
        <f>IFERROR(__xludf.DUMMYFUNCTION("""COMPUTED_VALUE"""),18772.0)</f>
        <v>18772</v>
      </c>
      <c r="E33" s="172">
        <f>IFERROR(__xludf.DUMMYFUNCTION("""COMPUTED_VALUE"""),2620.0)</f>
        <v>2620</v>
      </c>
      <c r="F33" s="172">
        <f>IFERROR(__xludf.DUMMYFUNCTION("""COMPUTED_VALUE"""),130437.0)</f>
        <v>130437</v>
      </c>
      <c r="G33" s="172">
        <f>IFERROR(__xludf.DUMMYFUNCTION("""COMPUTED_VALUE"""),2905.0)</f>
        <v>2905</v>
      </c>
      <c r="H33" s="172">
        <f>IFERROR(__xludf.DUMMYFUNCTION("""COMPUTED_VALUE"""),149209.0)</f>
        <v>149209</v>
      </c>
      <c r="I33" s="172">
        <f>IFERROR(__xludf.DUMMYFUNCTION("""COMPUTED_VALUE"""),158.0)</f>
        <v>158</v>
      </c>
      <c r="J33" s="172">
        <f>IFERROR(__xludf.DUMMYFUNCTION("""COMPUTED_VALUE"""),106.0)</f>
        <v>106</v>
      </c>
      <c r="K33" s="172">
        <f>IFERROR(__xludf.DUMMYFUNCTION("""COMPUTED_VALUE"""),14346.0)</f>
        <v>14346</v>
      </c>
      <c r="L33" s="172">
        <f>IFERROR(__xludf.DUMMYFUNCTION("""COMPUTED_VALUE"""),1758.0)</f>
        <v>1758</v>
      </c>
      <c r="M33" s="172">
        <f>IFERROR(__xludf.DUMMYFUNCTION("""COMPUTED_VALUE"""),90998.0)</f>
        <v>90998</v>
      </c>
      <c r="N33" s="172">
        <f>IFERROR(__xludf.DUMMYFUNCTION("""COMPUTED_VALUE"""),105344.0)</f>
        <v>105344</v>
      </c>
      <c r="O33" s="172">
        <f>IFERROR(__xludf.DUMMYFUNCTION("""COMPUTED_VALUE"""),24.0)</f>
        <v>24</v>
      </c>
      <c r="P33" s="172">
        <f>IFERROR(__xludf.DUMMYFUNCTION("""COMPUTED_VALUE"""),1691.0)</f>
        <v>1691</v>
      </c>
      <c r="Q33" s="172">
        <f>IFERROR(__xludf.DUMMYFUNCTION("""COMPUTED_VALUE"""),21.0)</f>
        <v>21</v>
      </c>
      <c r="R33" s="172">
        <f>IFERROR(__xludf.DUMMYFUNCTION("""COMPUTED_VALUE"""),1221.0)</f>
        <v>1221</v>
      </c>
      <c r="S33" s="172">
        <f>IFERROR(__xludf.DUMMYFUNCTION("""COMPUTED_VALUE"""),5.0)</f>
        <v>5</v>
      </c>
      <c r="T33" s="172">
        <f>IFERROR(__xludf.DUMMYFUNCTION("""COMPUTED_VALUE"""),239.0)</f>
        <v>239</v>
      </c>
      <c r="U33" s="172">
        <f>IFERROR(__xludf.DUMMYFUNCTION("""COMPUTED_VALUE"""),231.0)</f>
        <v>231</v>
      </c>
      <c r="V33" s="172">
        <f>IFERROR(__xludf.DUMMYFUNCTION("""COMPUTED_VALUE"""),232.0)</f>
        <v>232</v>
      </c>
      <c r="W33" s="172">
        <f>IFERROR(__xludf.DUMMYFUNCTION("""COMPUTED_VALUE"""),49.0)</f>
        <v>49</v>
      </c>
      <c r="X33" s="172">
        <f>IFERROR(__xludf.DUMMYFUNCTION("""COMPUTED_VALUE"""),33.0)</f>
        <v>33</v>
      </c>
      <c r="Y33" s="172">
        <f>IFERROR(__xludf.DUMMYFUNCTION("""COMPUTED_VALUE"""),15.0)</f>
        <v>15</v>
      </c>
      <c r="Z33" s="172">
        <f>IFERROR(__xludf.DUMMYFUNCTION("""COMPUTED_VALUE"""),782.0)</f>
        <v>782</v>
      </c>
    </row>
    <row r="34">
      <c r="A34" s="235">
        <f>IFERROR(__xludf.DUMMYFUNCTION("""COMPUTED_VALUE"""),43978.0)</f>
        <v>43978</v>
      </c>
      <c r="B34" s="172">
        <f>IFERROR(__xludf.DUMMYFUNCTION("""COMPUTED_VALUE"""),276.0)</f>
        <v>276</v>
      </c>
      <c r="C34" s="172">
        <f>IFERROR(__xludf.DUMMYFUNCTION("""COMPUTED_VALUE"""),236.0)</f>
        <v>236</v>
      </c>
      <c r="D34" s="172">
        <f>IFERROR(__xludf.DUMMYFUNCTION("""COMPUTED_VALUE"""),19048.0)</f>
        <v>19048</v>
      </c>
      <c r="E34" s="172">
        <f>IFERROR(__xludf.DUMMYFUNCTION("""COMPUTED_VALUE"""),2057.0)</f>
        <v>2057</v>
      </c>
      <c r="F34" s="172">
        <f>IFERROR(__xludf.DUMMYFUNCTION("""COMPUTED_VALUE"""),132494.0)</f>
        <v>132494</v>
      </c>
      <c r="G34" s="172">
        <f>IFERROR(__xludf.DUMMYFUNCTION("""COMPUTED_VALUE"""),2333.0)</f>
        <v>2333</v>
      </c>
      <c r="H34" s="172">
        <f>IFERROR(__xludf.DUMMYFUNCTION("""COMPUTED_VALUE"""),151542.0)</f>
        <v>151542</v>
      </c>
      <c r="I34" s="172">
        <f>IFERROR(__xludf.DUMMYFUNCTION("""COMPUTED_VALUE"""),132.0)</f>
        <v>132</v>
      </c>
      <c r="J34" s="172">
        <f>IFERROR(__xludf.DUMMYFUNCTION("""COMPUTED_VALUE"""),122.0)</f>
        <v>122</v>
      </c>
      <c r="K34" s="172">
        <f>IFERROR(__xludf.DUMMYFUNCTION("""COMPUTED_VALUE"""),14478.0)</f>
        <v>14478</v>
      </c>
      <c r="L34" s="172">
        <f>IFERROR(__xludf.DUMMYFUNCTION("""COMPUTED_VALUE"""),1120.0)</f>
        <v>1120</v>
      </c>
      <c r="M34" s="172">
        <f>IFERROR(__xludf.DUMMYFUNCTION("""COMPUTED_VALUE"""),92118.0)</f>
        <v>92118</v>
      </c>
      <c r="N34" s="172">
        <f>IFERROR(__xludf.DUMMYFUNCTION("""COMPUTED_VALUE"""),106596.0)</f>
        <v>106596</v>
      </c>
      <c r="O34" s="172">
        <f>IFERROR(__xludf.DUMMYFUNCTION("""COMPUTED_VALUE"""),20.0)</f>
        <v>20</v>
      </c>
      <c r="P34" s="172">
        <f>IFERROR(__xludf.DUMMYFUNCTION("""COMPUTED_VALUE"""),1711.0)</f>
        <v>1711</v>
      </c>
      <c r="Q34" s="172">
        <f>IFERROR(__xludf.DUMMYFUNCTION("""COMPUTED_VALUE"""),18.0)</f>
        <v>18</v>
      </c>
      <c r="R34" s="172">
        <f>IFERROR(__xludf.DUMMYFUNCTION("""COMPUTED_VALUE"""),1239.0)</f>
        <v>1239</v>
      </c>
      <c r="S34" s="172">
        <f>IFERROR(__xludf.DUMMYFUNCTION("""COMPUTED_VALUE"""),3.0)</f>
        <v>3</v>
      </c>
      <c r="T34" s="172">
        <f>IFERROR(__xludf.DUMMYFUNCTION("""COMPUTED_VALUE"""),242.0)</f>
        <v>242</v>
      </c>
      <c r="U34" s="172">
        <f>IFERROR(__xludf.DUMMYFUNCTION("""COMPUTED_VALUE"""),230.0)</f>
        <v>230</v>
      </c>
      <c r="V34" s="172">
        <f>IFERROR(__xludf.DUMMYFUNCTION("""COMPUTED_VALUE"""),231.0)</f>
        <v>231</v>
      </c>
      <c r="W34" s="172">
        <f>IFERROR(__xludf.DUMMYFUNCTION("""COMPUTED_VALUE"""),51.0)</f>
        <v>51</v>
      </c>
      <c r="X34" s="172">
        <f>IFERROR(__xludf.DUMMYFUNCTION("""COMPUTED_VALUE"""),33.0)</f>
        <v>33</v>
      </c>
      <c r="Y34" s="172">
        <f>IFERROR(__xludf.DUMMYFUNCTION("""COMPUTED_VALUE"""),10.0)</f>
        <v>10</v>
      </c>
      <c r="Z34" s="172">
        <f>IFERROR(__xludf.DUMMYFUNCTION("""COMPUTED_VALUE"""),792.0)</f>
        <v>792</v>
      </c>
    </row>
    <row r="35">
      <c r="A35" s="235">
        <f>IFERROR(__xludf.DUMMYFUNCTION("""COMPUTED_VALUE"""),43979.0)</f>
        <v>43979</v>
      </c>
      <c r="B35" s="172">
        <f>IFERROR(__xludf.DUMMYFUNCTION("""COMPUTED_VALUE"""),348.0)</f>
        <v>348</v>
      </c>
      <c r="C35" s="172">
        <f>IFERROR(__xludf.DUMMYFUNCTION("""COMPUTED_VALUE"""),303.0)</f>
        <v>303</v>
      </c>
      <c r="D35" s="172">
        <f>IFERROR(__xludf.DUMMYFUNCTION("""COMPUTED_VALUE"""),19396.0)</f>
        <v>19396</v>
      </c>
      <c r="E35" s="172">
        <f>IFERROR(__xludf.DUMMYFUNCTION("""COMPUTED_VALUE"""),3359.0)</f>
        <v>3359</v>
      </c>
      <c r="F35" s="172">
        <f>IFERROR(__xludf.DUMMYFUNCTION("""COMPUTED_VALUE"""),135853.0)</f>
        <v>135853</v>
      </c>
      <c r="G35" s="172">
        <f>IFERROR(__xludf.DUMMYFUNCTION("""COMPUTED_VALUE"""),3707.0)</f>
        <v>3707</v>
      </c>
      <c r="H35" s="172">
        <f>IFERROR(__xludf.DUMMYFUNCTION("""COMPUTED_VALUE"""),155249.0)</f>
        <v>155249</v>
      </c>
      <c r="I35" s="172">
        <f>IFERROR(__xludf.DUMMYFUNCTION("""COMPUTED_VALUE"""),130.0)</f>
        <v>130</v>
      </c>
      <c r="J35" s="172">
        <f>IFERROR(__xludf.DUMMYFUNCTION("""COMPUTED_VALUE"""),140.0)</f>
        <v>140</v>
      </c>
      <c r="K35" s="172">
        <f>IFERROR(__xludf.DUMMYFUNCTION("""COMPUTED_VALUE"""),14608.0)</f>
        <v>14608</v>
      </c>
      <c r="L35" s="172">
        <f>IFERROR(__xludf.DUMMYFUNCTION("""COMPUTED_VALUE"""),1106.0)</f>
        <v>1106</v>
      </c>
      <c r="M35" s="172">
        <f>IFERROR(__xludf.DUMMYFUNCTION("""COMPUTED_VALUE"""),93224.0)</f>
        <v>93224</v>
      </c>
      <c r="N35" s="172">
        <f>IFERROR(__xludf.DUMMYFUNCTION("""COMPUTED_VALUE"""),107832.0)</f>
        <v>107832</v>
      </c>
      <c r="O35" s="172">
        <f>IFERROR(__xludf.DUMMYFUNCTION("""COMPUTED_VALUE"""),17.0)</f>
        <v>17</v>
      </c>
      <c r="P35" s="172">
        <f>IFERROR(__xludf.DUMMYFUNCTION("""COMPUTED_VALUE"""),1728.0)</f>
        <v>1728</v>
      </c>
      <c r="Q35" s="172">
        <f>IFERROR(__xludf.DUMMYFUNCTION("""COMPUTED_VALUE"""),29.0)</f>
        <v>29</v>
      </c>
      <c r="R35" s="172">
        <f>IFERROR(__xludf.DUMMYFUNCTION("""COMPUTED_VALUE"""),1268.0)</f>
        <v>1268</v>
      </c>
      <c r="S35" s="172">
        <f>IFERROR(__xludf.DUMMYFUNCTION("""COMPUTED_VALUE"""),4.0)</f>
        <v>4</v>
      </c>
      <c r="T35" s="172">
        <f>IFERROR(__xludf.DUMMYFUNCTION("""COMPUTED_VALUE"""),246.0)</f>
        <v>246</v>
      </c>
      <c r="U35" s="172">
        <f>IFERROR(__xludf.DUMMYFUNCTION("""COMPUTED_VALUE"""),214.0)</f>
        <v>214</v>
      </c>
      <c r="V35" s="172">
        <f>IFERROR(__xludf.DUMMYFUNCTION("""COMPUTED_VALUE"""),225.0)</f>
        <v>225</v>
      </c>
      <c r="W35" s="172">
        <f>IFERROR(__xludf.DUMMYFUNCTION("""COMPUTED_VALUE"""),47.0)</f>
        <v>47</v>
      </c>
      <c r="X35" s="172">
        <f>IFERROR(__xludf.DUMMYFUNCTION("""COMPUTED_VALUE"""),32.0)</f>
        <v>32</v>
      </c>
      <c r="Y35" s="172">
        <f>IFERROR(__xludf.DUMMYFUNCTION("""COMPUTED_VALUE"""),8.0)</f>
        <v>8</v>
      </c>
      <c r="Z35" s="172">
        <f>IFERROR(__xludf.DUMMYFUNCTION("""COMPUTED_VALUE"""),800.0)</f>
        <v>800</v>
      </c>
    </row>
    <row r="36">
      <c r="A36" s="235">
        <f>IFERROR(__xludf.DUMMYFUNCTION("""COMPUTED_VALUE"""),43980.0)</f>
        <v>43980</v>
      </c>
      <c r="B36" s="172">
        <f>IFERROR(__xludf.DUMMYFUNCTION("""COMPUTED_VALUE"""),410.0)</f>
        <v>410</v>
      </c>
      <c r="C36" s="172">
        <f>IFERROR(__xludf.DUMMYFUNCTION("""COMPUTED_VALUE"""),345.0)</f>
        <v>345</v>
      </c>
      <c r="D36" s="172">
        <f>IFERROR(__xludf.DUMMYFUNCTION("""COMPUTED_VALUE"""),19806.0)</f>
        <v>19806</v>
      </c>
      <c r="E36" s="172">
        <f>IFERROR(__xludf.DUMMYFUNCTION("""COMPUTED_VALUE"""),3915.0)</f>
        <v>3915</v>
      </c>
      <c r="F36" s="172">
        <f>IFERROR(__xludf.DUMMYFUNCTION("""COMPUTED_VALUE"""),139768.0)</f>
        <v>139768</v>
      </c>
      <c r="G36" s="172">
        <f>IFERROR(__xludf.DUMMYFUNCTION("""COMPUTED_VALUE"""),4325.0)</f>
        <v>4325</v>
      </c>
      <c r="H36" s="172">
        <f>IFERROR(__xludf.DUMMYFUNCTION("""COMPUTED_VALUE"""),159574.0)</f>
        <v>159574</v>
      </c>
      <c r="I36" s="172">
        <f>IFERROR(__xludf.DUMMYFUNCTION("""COMPUTED_VALUE"""),174.0)</f>
        <v>174</v>
      </c>
      <c r="J36" s="172">
        <f>IFERROR(__xludf.DUMMYFUNCTION("""COMPUTED_VALUE"""),145.0)</f>
        <v>145</v>
      </c>
      <c r="K36" s="172">
        <f>IFERROR(__xludf.DUMMYFUNCTION("""COMPUTED_VALUE"""),14782.0)</f>
        <v>14782</v>
      </c>
      <c r="L36" s="172">
        <f>IFERROR(__xludf.DUMMYFUNCTION("""COMPUTED_VALUE"""),1555.0)</f>
        <v>1555</v>
      </c>
      <c r="M36" s="172">
        <f>IFERROR(__xludf.DUMMYFUNCTION("""COMPUTED_VALUE"""),94779.0)</f>
        <v>94779</v>
      </c>
      <c r="N36" s="172">
        <f>IFERROR(__xludf.DUMMYFUNCTION("""COMPUTED_VALUE"""),109561.0)</f>
        <v>109561</v>
      </c>
      <c r="O36" s="172">
        <f>IFERROR(__xludf.DUMMYFUNCTION("""COMPUTED_VALUE"""),19.0)</f>
        <v>19</v>
      </c>
      <c r="P36" s="172">
        <f>IFERROR(__xludf.DUMMYFUNCTION("""COMPUTED_VALUE"""),1747.0)</f>
        <v>1747</v>
      </c>
      <c r="Q36" s="172">
        <f>IFERROR(__xludf.DUMMYFUNCTION("""COMPUTED_VALUE"""),26.0)</f>
        <v>26</v>
      </c>
      <c r="R36" s="172">
        <f>IFERROR(__xludf.DUMMYFUNCTION("""COMPUTED_VALUE"""),1294.0)</f>
        <v>1294</v>
      </c>
      <c r="S36" s="172">
        <f>IFERROR(__xludf.DUMMYFUNCTION("""COMPUTED_VALUE"""),7.0)</f>
        <v>7</v>
      </c>
      <c r="T36" s="172">
        <f>IFERROR(__xludf.DUMMYFUNCTION("""COMPUTED_VALUE"""),253.0)</f>
        <v>253</v>
      </c>
      <c r="U36" s="172">
        <f>IFERROR(__xludf.DUMMYFUNCTION("""COMPUTED_VALUE"""),200.0)</f>
        <v>200</v>
      </c>
      <c r="V36" s="172">
        <f>IFERROR(__xludf.DUMMYFUNCTION("""COMPUTED_VALUE"""),215.0)</f>
        <v>215</v>
      </c>
      <c r="W36" s="172">
        <f>IFERROR(__xludf.DUMMYFUNCTION("""COMPUTED_VALUE"""),43.0)</f>
        <v>43</v>
      </c>
      <c r="X36" s="172">
        <f>IFERROR(__xludf.DUMMYFUNCTION("""COMPUTED_VALUE"""),31.0)</f>
        <v>31</v>
      </c>
      <c r="Y36" s="172">
        <f>IFERROR(__xludf.DUMMYFUNCTION("""COMPUTED_VALUE"""),12.0)</f>
        <v>12</v>
      </c>
      <c r="Z36" s="172">
        <f>IFERROR(__xludf.DUMMYFUNCTION("""COMPUTED_VALUE"""),812.0)</f>
        <v>812</v>
      </c>
    </row>
    <row r="37">
      <c r="A37" s="235">
        <f>IFERROR(__xludf.DUMMYFUNCTION("""COMPUTED_VALUE"""),43981.0)</f>
        <v>43981</v>
      </c>
      <c r="B37" s="172">
        <f>IFERROR(__xludf.DUMMYFUNCTION("""COMPUTED_VALUE"""),225.0)</f>
        <v>225</v>
      </c>
      <c r="C37" s="172">
        <f>IFERROR(__xludf.DUMMYFUNCTION("""COMPUTED_VALUE"""),328.0)</f>
        <v>328</v>
      </c>
      <c r="D37" s="172">
        <f>IFERROR(__xludf.DUMMYFUNCTION("""COMPUTED_VALUE"""),20031.0)</f>
        <v>20031</v>
      </c>
      <c r="E37" s="172">
        <f>IFERROR(__xludf.DUMMYFUNCTION("""COMPUTED_VALUE"""),3915.0)</f>
        <v>3915</v>
      </c>
      <c r="F37" s="172">
        <f>IFERROR(__xludf.DUMMYFUNCTION("""COMPUTED_VALUE"""),143683.0)</f>
        <v>143683</v>
      </c>
      <c r="G37" s="172">
        <f>IFERROR(__xludf.DUMMYFUNCTION("""COMPUTED_VALUE"""),4140.0)</f>
        <v>4140</v>
      </c>
      <c r="H37" s="172">
        <f>IFERROR(__xludf.DUMMYFUNCTION("""COMPUTED_VALUE"""),163714.0)</f>
        <v>163714</v>
      </c>
      <c r="I37" s="172">
        <f>IFERROR(__xludf.DUMMYFUNCTION("""COMPUTED_VALUE"""),109.0)</f>
        <v>109</v>
      </c>
      <c r="J37" s="172">
        <f>IFERROR(__xludf.DUMMYFUNCTION("""COMPUTED_VALUE"""),138.0)</f>
        <v>138</v>
      </c>
      <c r="K37" s="172">
        <f>IFERROR(__xludf.DUMMYFUNCTION("""COMPUTED_VALUE"""),14891.0)</f>
        <v>14891</v>
      </c>
      <c r="L37" s="172">
        <f>IFERROR(__xludf.DUMMYFUNCTION("""COMPUTED_VALUE"""),1796.0)</f>
        <v>1796</v>
      </c>
      <c r="M37" s="172">
        <f>IFERROR(__xludf.DUMMYFUNCTION("""COMPUTED_VALUE"""),96575.0)</f>
        <v>96575</v>
      </c>
      <c r="N37" s="172">
        <f>IFERROR(__xludf.DUMMYFUNCTION("""COMPUTED_VALUE"""),111466.0)</f>
        <v>111466</v>
      </c>
      <c r="O37" s="172">
        <f>IFERROR(__xludf.DUMMYFUNCTION("""COMPUTED_VALUE"""),16.0)</f>
        <v>16</v>
      </c>
      <c r="P37" s="172">
        <f>IFERROR(__xludf.DUMMYFUNCTION("""COMPUTED_VALUE"""),1763.0)</f>
        <v>1763</v>
      </c>
      <c r="Q37" s="172">
        <f>IFERROR(__xludf.DUMMYFUNCTION("""COMPUTED_VALUE"""),19.0)</f>
        <v>19</v>
      </c>
      <c r="R37" s="172">
        <f>IFERROR(__xludf.DUMMYFUNCTION("""COMPUTED_VALUE"""),1313.0)</f>
        <v>1313</v>
      </c>
      <c r="S37" s="172">
        <f>IFERROR(__xludf.DUMMYFUNCTION("""COMPUTED_VALUE"""),4.0)</f>
        <v>4</v>
      </c>
      <c r="T37" s="172">
        <f>IFERROR(__xludf.DUMMYFUNCTION("""COMPUTED_VALUE"""),257.0)</f>
        <v>257</v>
      </c>
      <c r="U37" s="172">
        <f>IFERROR(__xludf.DUMMYFUNCTION("""COMPUTED_VALUE"""),193.0)</f>
        <v>193</v>
      </c>
      <c r="V37" s="172">
        <f>IFERROR(__xludf.DUMMYFUNCTION("""COMPUTED_VALUE"""),202.0)</f>
        <v>202</v>
      </c>
      <c r="W37" s="172">
        <f>IFERROR(__xludf.DUMMYFUNCTION("""COMPUTED_VALUE"""),41.0)</f>
        <v>41</v>
      </c>
      <c r="X37" s="172">
        <f>IFERROR(__xludf.DUMMYFUNCTION("""COMPUTED_VALUE"""),29.0)</f>
        <v>29</v>
      </c>
      <c r="Y37" s="172">
        <f>IFERROR(__xludf.DUMMYFUNCTION("""COMPUTED_VALUE"""),12.0)</f>
        <v>12</v>
      </c>
      <c r="Z37" s="172">
        <f>IFERROR(__xludf.DUMMYFUNCTION("""COMPUTED_VALUE"""),824.0)</f>
        <v>824</v>
      </c>
    </row>
    <row r="38">
      <c r="A38" s="235">
        <f>IFERROR(__xludf.DUMMYFUNCTION("""COMPUTED_VALUE"""),43982.0)</f>
        <v>43982</v>
      </c>
      <c r="B38" s="172">
        <f>IFERROR(__xludf.DUMMYFUNCTION("""COMPUTED_VALUE"""),155.0)</f>
        <v>155</v>
      </c>
      <c r="C38" s="172">
        <f>IFERROR(__xludf.DUMMYFUNCTION("""COMPUTED_VALUE"""),263.0)</f>
        <v>263</v>
      </c>
      <c r="D38" s="172">
        <f>IFERROR(__xludf.DUMMYFUNCTION("""COMPUTED_VALUE"""),20186.0)</f>
        <v>20186</v>
      </c>
      <c r="E38" s="172">
        <f>IFERROR(__xludf.DUMMYFUNCTION("""COMPUTED_VALUE"""),1690.0)</f>
        <v>1690</v>
      </c>
      <c r="F38" s="172">
        <f>IFERROR(__xludf.DUMMYFUNCTION("""COMPUTED_VALUE"""),145373.0)</f>
        <v>145373</v>
      </c>
      <c r="G38" s="172">
        <f>IFERROR(__xludf.DUMMYFUNCTION("""COMPUTED_VALUE"""),1845.0)</f>
        <v>1845</v>
      </c>
      <c r="H38" s="172">
        <f>IFERROR(__xludf.DUMMYFUNCTION("""COMPUTED_VALUE"""),165559.0)</f>
        <v>165559</v>
      </c>
      <c r="I38" s="172">
        <f>IFERROR(__xludf.DUMMYFUNCTION("""COMPUTED_VALUE"""),78.0)</f>
        <v>78</v>
      </c>
      <c r="J38" s="172">
        <f>IFERROR(__xludf.DUMMYFUNCTION("""COMPUTED_VALUE"""),120.0)</f>
        <v>120</v>
      </c>
      <c r="K38" s="172">
        <f>IFERROR(__xludf.DUMMYFUNCTION("""COMPUTED_VALUE"""),14969.0)</f>
        <v>14969</v>
      </c>
      <c r="L38" s="172">
        <f>IFERROR(__xludf.DUMMYFUNCTION("""COMPUTED_VALUE"""),849.0)</f>
        <v>849</v>
      </c>
      <c r="M38" s="172">
        <f>IFERROR(__xludf.DUMMYFUNCTION("""COMPUTED_VALUE"""),97424.0)</f>
        <v>97424</v>
      </c>
      <c r="N38" s="172">
        <f>IFERROR(__xludf.DUMMYFUNCTION("""COMPUTED_VALUE"""),112393.0)</f>
        <v>112393</v>
      </c>
      <c r="O38" s="172">
        <f>IFERROR(__xludf.DUMMYFUNCTION("""COMPUTED_VALUE"""),11.0)</f>
        <v>11</v>
      </c>
      <c r="P38" s="172">
        <f>IFERROR(__xludf.DUMMYFUNCTION("""COMPUTED_VALUE"""),1774.0)</f>
        <v>1774</v>
      </c>
      <c r="Q38" s="172">
        <f>IFERROR(__xludf.DUMMYFUNCTION("""COMPUTED_VALUE"""),11.0)</f>
        <v>11</v>
      </c>
      <c r="R38" s="172">
        <f>IFERROR(__xludf.DUMMYFUNCTION("""COMPUTED_VALUE"""),1324.0)</f>
        <v>1324</v>
      </c>
      <c r="S38" s="172">
        <f>IFERROR(__xludf.DUMMYFUNCTION("""COMPUTED_VALUE"""),1.0)</f>
        <v>1</v>
      </c>
      <c r="T38" s="172">
        <f>IFERROR(__xludf.DUMMYFUNCTION("""COMPUTED_VALUE"""),258.0)</f>
        <v>258</v>
      </c>
      <c r="U38" s="172">
        <f>IFERROR(__xludf.DUMMYFUNCTION("""COMPUTED_VALUE"""),192.0)</f>
        <v>192</v>
      </c>
      <c r="V38" s="172">
        <f>IFERROR(__xludf.DUMMYFUNCTION("""COMPUTED_VALUE"""),195.0)</f>
        <v>195</v>
      </c>
      <c r="W38" s="172">
        <f>IFERROR(__xludf.DUMMYFUNCTION("""COMPUTED_VALUE"""),44.0)</f>
        <v>44</v>
      </c>
      <c r="X38" s="172">
        <f>IFERROR(__xludf.DUMMYFUNCTION("""COMPUTED_VALUE"""),26.0)</f>
        <v>26</v>
      </c>
      <c r="Y38" s="172">
        <f>IFERROR(__xludf.DUMMYFUNCTION("""COMPUTED_VALUE"""),3.0)</f>
        <v>3</v>
      </c>
      <c r="Z38" s="172">
        <f>IFERROR(__xludf.DUMMYFUNCTION("""COMPUTED_VALUE"""),827.0)</f>
        <v>827</v>
      </c>
    </row>
    <row r="39">
      <c r="A39" s="235">
        <f>IFERROR(__xludf.DUMMYFUNCTION("""COMPUTED_VALUE"""),43983.0)</f>
        <v>43983</v>
      </c>
      <c r="B39" s="172">
        <f>IFERROR(__xludf.DUMMYFUNCTION("""COMPUTED_VALUE"""),212.0)</f>
        <v>212</v>
      </c>
      <c r="C39" s="172">
        <f>IFERROR(__xludf.DUMMYFUNCTION("""COMPUTED_VALUE"""),197.0)</f>
        <v>197</v>
      </c>
      <c r="D39" s="172">
        <f>IFERROR(__xludf.DUMMYFUNCTION("""COMPUTED_VALUE"""),20398.0)</f>
        <v>20398</v>
      </c>
      <c r="E39" s="172">
        <f>IFERROR(__xludf.DUMMYFUNCTION("""COMPUTED_VALUE"""),2792.0)</f>
        <v>2792</v>
      </c>
      <c r="F39" s="172">
        <f>IFERROR(__xludf.DUMMYFUNCTION("""COMPUTED_VALUE"""),148165.0)</f>
        <v>148165</v>
      </c>
      <c r="G39" s="172">
        <f>IFERROR(__xludf.DUMMYFUNCTION("""COMPUTED_VALUE"""),3004.0)</f>
        <v>3004</v>
      </c>
      <c r="H39" s="172">
        <f>IFERROR(__xludf.DUMMYFUNCTION("""COMPUTED_VALUE"""),168563.0)</f>
        <v>168563</v>
      </c>
      <c r="I39" s="172">
        <f>IFERROR(__xludf.DUMMYFUNCTION("""COMPUTED_VALUE"""),93.0)</f>
        <v>93</v>
      </c>
      <c r="J39" s="172">
        <f>IFERROR(__xludf.DUMMYFUNCTION("""COMPUTED_VALUE"""),93.0)</f>
        <v>93</v>
      </c>
      <c r="K39" s="172">
        <f>IFERROR(__xludf.DUMMYFUNCTION("""COMPUTED_VALUE"""),15062.0)</f>
        <v>15062</v>
      </c>
      <c r="L39" s="172">
        <f>IFERROR(__xludf.DUMMYFUNCTION("""COMPUTED_VALUE"""),1369.0)</f>
        <v>1369</v>
      </c>
      <c r="M39" s="172">
        <f>IFERROR(__xludf.DUMMYFUNCTION("""COMPUTED_VALUE"""),98793.0)</f>
        <v>98793</v>
      </c>
      <c r="N39" s="172">
        <f>IFERROR(__xludf.DUMMYFUNCTION("""COMPUTED_VALUE"""),113855.0)</f>
        <v>113855</v>
      </c>
      <c r="O39" s="172">
        <f>IFERROR(__xludf.DUMMYFUNCTION("""COMPUTED_VALUE"""),8.0)</f>
        <v>8</v>
      </c>
      <c r="P39" s="172">
        <f>IFERROR(__xludf.DUMMYFUNCTION("""COMPUTED_VALUE"""),1782.0)</f>
        <v>1782</v>
      </c>
      <c r="Q39" s="172">
        <f>IFERROR(__xludf.DUMMYFUNCTION("""COMPUTED_VALUE"""),14.0)</f>
        <v>14</v>
      </c>
      <c r="R39" s="172">
        <f>IFERROR(__xludf.DUMMYFUNCTION("""COMPUTED_VALUE"""),1338.0)</f>
        <v>1338</v>
      </c>
      <c r="S39" s="172">
        <f>IFERROR(__xludf.DUMMYFUNCTION("""COMPUTED_VALUE"""),1.0)</f>
        <v>1</v>
      </c>
      <c r="T39" s="172">
        <f>IFERROR(__xludf.DUMMYFUNCTION("""COMPUTED_VALUE"""),259.0)</f>
        <v>259</v>
      </c>
      <c r="U39" s="172">
        <f>IFERROR(__xludf.DUMMYFUNCTION("""COMPUTED_VALUE"""),185.0)</f>
        <v>185</v>
      </c>
      <c r="V39" s="172">
        <f>IFERROR(__xludf.DUMMYFUNCTION("""COMPUTED_VALUE"""),190.0)</f>
        <v>190</v>
      </c>
      <c r="W39" s="172">
        <f>IFERROR(__xludf.DUMMYFUNCTION("""COMPUTED_VALUE"""),45.0)</f>
        <v>45</v>
      </c>
      <c r="X39" s="172">
        <f>IFERROR(__xludf.DUMMYFUNCTION("""COMPUTED_VALUE"""),29.0)</f>
        <v>29</v>
      </c>
      <c r="Y39" s="172">
        <f>IFERROR(__xludf.DUMMYFUNCTION("""COMPUTED_VALUE"""),5.0)</f>
        <v>5</v>
      </c>
      <c r="Z39" s="172">
        <f>IFERROR(__xludf.DUMMYFUNCTION("""COMPUTED_VALUE"""),832.0)</f>
        <v>832</v>
      </c>
    </row>
    <row r="40">
      <c r="A40" s="235">
        <f>IFERROR(__xludf.DUMMYFUNCTION("""COMPUTED_VALUE"""),43984.0)</f>
        <v>43984</v>
      </c>
      <c r="B40" s="172">
        <f>IFERROR(__xludf.DUMMYFUNCTION("""COMPUTED_VALUE"""),273.0)</f>
        <v>273</v>
      </c>
      <c r="C40" s="172">
        <f>IFERROR(__xludf.DUMMYFUNCTION("""COMPUTED_VALUE"""),213.0)</f>
        <v>213</v>
      </c>
      <c r="D40" s="172">
        <f>IFERROR(__xludf.DUMMYFUNCTION("""COMPUTED_VALUE"""),20671.0)</f>
        <v>20671</v>
      </c>
      <c r="E40" s="172">
        <f>IFERROR(__xludf.DUMMYFUNCTION("""COMPUTED_VALUE"""),3022.0)</f>
        <v>3022</v>
      </c>
      <c r="F40" s="172">
        <f>IFERROR(__xludf.DUMMYFUNCTION("""COMPUTED_VALUE"""),151187.0)</f>
        <v>151187</v>
      </c>
      <c r="G40" s="172">
        <f>IFERROR(__xludf.DUMMYFUNCTION("""COMPUTED_VALUE"""),3295.0)</f>
        <v>3295</v>
      </c>
      <c r="H40" s="172">
        <f>IFERROR(__xludf.DUMMYFUNCTION("""COMPUTED_VALUE"""),171858.0)</f>
        <v>171858</v>
      </c>
      <c r="I40" s="172">
        <f>IFERROR(__xludf.DUMMYFUNCTION("""COMPUTED_VALUE"""),98.0)</f>
        <v>98</v>
      </c>
      <c r="J40" s="172">
        <f>IFERROR(__xludf.DUMMYFUNCTION("""COMPUTED_VALUE"""),90.0)</f>
        <v>90</v>
      </c>
      <c r="K40" s="172">
        <f>IFERROR(__xludf.DUMMYFUNCTION("""COMPUTED_VALUE"""),15160.0)</f>
        <v>15160</v>
      </c>
      <c r="L40" s="172">
        <f>IFERROR(__xludf.DUMMYFUNCTION("""COMPUTED_VALUE"""),1419.0)</f>
        <v>1419</v>
      </c>
      <c r="M40" s="172">
        <f>IFERROR(__xludf.DUMMYFUNCTION("""COMPUTED_VALUE"""),100212.0)</f>
        <v>100212</v>
      </c>
      <c r="N40" s="172">
        <f>IFERROR(__xludf.DUMMYFUNCTION("""COMPUTED_VALUE"""),115372.0)</f>
        <v>115372</v>
      </c>
      <c r="O40" s="172">
        <f>IFERROR(__xludf.DUMMYFUNCTION("""COMPUTED_VALUE"""),8.0)</f>
        <v>8</v>
      </c>
      <c r="P40" s="172">
        <f>IFERROR(__xludf.DUMMYFUNCTION("""COMPUTED_VALUE"""),1790.0)</f>
        <v>1790</v>
      </c>
      <c r="Q40" s="172">
        <f>IFERROR(__xludf.DUMMYFUNCTION("""COMPUTED_VALUE"""),10.0)</f>
        <v>10</v>
      </c>
      <c r="R40" s="172">
        <f>IFERROR(__xludf.DUMMYFUNCTION("""COMPUTED_VALUE"""),1348.0)</f>
        <v>1348</v>
      </c>
      <c r="S40" s="172">
        <f>IFERROR(__xludf.DUMMYFUNCTION("""COMPUTED_VALUE"""),3.0)</f>
        <v>3</v>
      </c>
      <c r="T40" s="172">
        <f>IFERROR(__xludf.DUMMYFUNCTION("""COMPUTED_VALUE"""),262.0)</f>
        <v>262</v>
      </c>
      <c r="U40" s="172">
        <f>IFERROR(__xludf.DUMMYFUNCTION("""COMPUTED_VALUE"""),180.0)</f>
        <v>180</v>
      </c>
      <c r="V40" s="172">
        <f>IFERROR(__xludf.DUMMYFUNCTION("""COMPUTED_VALUE"""),186.0)</f>
        <v>186</v>
      </c>
      <c r="W40" s="172">
        <f>IFERROR(__xludf.DUMMYFUNCTION("""COMPUTED_VALUE"""),38.0)</f>
        <v>38</v>
      </c>
      <c r="X40" s="172">
        <f>IFERROR(__xludf.DUMMYFUNCTION("""COMPUTED_VALUE"""),25.0)</f>
        <v>25</v>
      </c>
      <c r="Y40" s="172">
        <f>IFERROR(__xludf.DUMMYFUNCTION("""COMPUTED_VALUE"""),10.0)</f>
        <v>10</v>
      </c>
      <c r="Z40" s="172">
        <f>IFERROR(__xludf.DUMMYFUNCTION("""COMPUTED_VALUE"""),842.0)</f>
        <v>842</v>
      </c>
    </row>
    <row r="41">
      <c r="A41" s="235">
        <f>IFERROR(__xludf.DUMMYFUNCTION("""COMPUTED_VALUE"""),43985.0)</f>
        <v>43985</v>
      </c>
      <c r="B41" s="172">
        <f>IFERROR(__xludf.DUMMYFUNCTION("""COMPUTED_VALUE"""),254.0)</f>
        <v>254</v>
      </c>
      <c r="C41" s="172">
        <f>IFERROR(__xludf.DUMMYFUNCTION("""COMPUTED_VALUE"""),246.0)</f>
        <v>246</v>
      </c>
      <c r="D41" s="172">
        <f>IFERROR(__xludf.DUMMYFUNCTION("""COMPUTED_VALUE"""),20925.0)</f>
        <v>20925</v>
      </c>
      <c r="E41" s="172">
        <f>IFERROR(__xludf.DUMMYFUNCTION("""COMPUTED_VALUE"""),3486.0)</f>
        <v>3486</v>
      </c>
      <c r="F41" s="172">
        <f>IFERROR(__xludf.DUMMYFUNCTION("""COMPUTED_VALUE"""),154673.0)</f>
        <v>154673</v>
      </c>
      <c r="G41" s="172">
        <f>IFERROR(__xludf.DUMMYFUNCTION("""COMPUTED_VALUE"""),3740.0)</f>
        <v>3740</v>
      </c>
      <c r="H41" s="172">
        <f>IFERROR(__xludf.DUMMYFUNCTION("""COMPUTED_VALUE"""),175598.0)</f>
        <v>175598</v>
      </c>
      <c r="I41" s="172">
        <f>IFERROR(__xludf.DUMMYFUNCTION("""COMPUTED_VALUE"""),99.0)</f>
        <v>99</v>
      </c>
      <c r="J41" s="172">
        <f>IFERROR(__xludf.DUMMYFUNCTION("""COMPUTED_VALUE"""),97.0)</f>
        <v>97</v>
      </c>
      <c r="K41" s="172">
        <f>IFERROR(__xludf.DUMMYFUNCTION("""COMPUTED_VALUE"""),15259.0)</f>
        <v>15259</v>
      </c>
      <c r="L41" s="172">
        <f>IFERROR(__xludf.DUMMYFUNCTION("""COMPUTED_VALUE"""),1640.0)</f>
        <v>1640</v>
      </c>
      <c r="M41" s="172">
        <f>IFERROR(__xludf.DUMMYFUNCTION("""COMPUTED_VALUE"""),101852.0)</f>
        <v>101852</v>
      </c>
      <c r="N41" s="172">
        <f>IFERROR(__xludf.DUMMYFUNCTION("""COMPUTED_VALUE"""),117111.0)</f>
        <v>117111</v>
      </c>
      <c r="O41" s="172">
        <f>IFERROR(__xludf.DUMMYFUNCTION("""COMPUTED_VALUE"""),14.0)</f>
        <v>14</v>
      </c>
      <c r="P41" s="172">
        <f>IFERROR(__xludf.DUMMYFUNCTION("""COMPUTED_VALUE"""),1804.0)</f>
        <v>1804</v>
      </c>
      <c r="Q41" s="172">
        <f>IFERROR(__xludf.DUMMYFUNCTION("""COMPUTED_VALUE"""),18.0)</f>
        <v>18</v>
      </c>
      <c r="R41" s="172">
        <f>IFERROR(__xludf.DUMMYFUNCTION("""COMPUTED_VALUE"""),1366.0)</f>
        <v>1366</v>
      </c>
      <c r="S41" s="172">
        <f>IFERROR(__xludf.DUMMYFUNCTION("""COMPUTED_VALUE"""),6.0)</f>
        <v>6</v>
      </c>
      <c r="T41" s="172">
        <f>IFERROR(__xludf.DUMMYFUNCTION("""COMPUTED_VALUE"""),268.0)</f>
        <v>268</v>
      </c>
      <c r="U41" s="172">
        <f>IFERROR(__xludf.DUMMYFUNCTION("""COMPUTED_VALUE"""),170.0)</f>
        <v>170</v>
      </c>
      <c r="V41" s="172">
        <f>IFERROR(__xludf.DUMMYFUNCTION("""COMPUTED_VALUE"""),178.0)</f>
        <v>178</v>
      </c>
      <c r="W41" s="172">
        <f>IFERROR(__xludf.DUMMYFUNCTION("""COMPUTED_VALUE"""),34.0)</f>
        <v>34</v>
      </c>
      <c r="X41" s="172">
        <f>IFERROR(__xludf.DUMMYFUNCTION("""COMPUTED_VALUE"""),25.0)</f>
        <v>25</v>
      </c>
      <c r="Y41" s="172">
        <f>IFERROR(__xludf.DUMMYFUNCTION("""COMPUTED_VALUE"""),11.0)</f>
        <v>11</v>
      </c>
      <c r="Z41" s="172">
        <f>IFERROR(__xludf.DUMMYFUNCTION("""COMPUTED_VALUE"""),853.0)</f>
        <v>853</v>
      </c>
    </row>
    <row r="42">
      <c r="A42" s="235">
        <f>IFERROR(__xludf.DUMMYFUNCTION("""COMPUTED_VALUE"""),43986.0)</f>
        <v>43986</v>
      </c>
      <c r="B42" s="172">
        <f>IFERROR(__xludf.DUMMYFUNCTION("""COMPUTED_VALUE"""),276.0)</f>
        <v>276</v>
      </c>
      <c r="C42" s="172">
        <f>IFERROR(__xludf.DUMMYFUNCTION("""COMPUTED_VALUE"""),268.0)</f>
        <v>268</v>
      </c>
      <c r="D42" s="172">
        <f>IFERROR(__xludf.DUMMYFUNCTION("""COMPUTED_VALUE"""),21201.0)</f>
        <v>21201</v>
      </c>
      <c r="E42" s="172">
        <f>IFERROR(__xludf.DUMMYFUNCTION("""COMPUTED_VALUE"""),4471.0)</f>
        <v>4471</v>
      </c>
      <c r="F42" s="172">
        <f>IFERROR(__xludf.DUMMYFUNCTION("""COMPUTED_VALUE"""),159144.0)</f>
        <v>159144</v>
      </c>
      <c r="G42" s="172">
        <f>IFERROR(__xludf.DUMMYFUNCTION("""COMPUTED_VALUE"""),4747.0)</f>
        <v>4747</v>
      </c>
      <c r="H42" s="172">
        <f>IFERROR(__xludf.DUMMYFUNCTION("""COMPUTED_VALUE"""),180345.0)</f>
        <v>180345</v>
      </c>
      <c r="I42" s="172">
        <f>IFERROR(__xludf.DUMMYFUNCTION("""COMPUTED_VALUE"""),107.0)</f>
        <v>107</v>
      </c>
      <c r="J42" s="172">
        <f>IFERROR(__xludf.DUMMYFUNCTION("""COMPUTED_VALUE"""),101.0)</f>
        <v>101</v>
      </c>
      <c r="K42" s="172">
        <f>IFERROR(__xludf.DUMMYFUNCTION("""COMPUTED_VALUE"""),15366.0)</f>
        <v>15366</v>
      </c>
      <c r="L42" s="172">
        <f>IFERROR(__xludf.DUMMYFUNCTION("""COMPUTED_VALUE"""),2014.0)</f>
        <v>2014</v>
      </c>
      <c r="M42" s="172">
        <f>IFERROR(__xludf.DUMMYFUNCTION("""COMPUTED_VALUE"""),103866.0)</f>
        <v>103866</v>
      </c>
      <c r="N42" s="172">
        <f>IFERROR(__xludf.DUMMYFUNCTION("""COMPUTED_VALUE"""),119232.0)</f>
        <v>119232</v>
      </c>
      <c r="O42" s="172">
        <f>IFERROR(__xludf.DUMMYFUNCTION("""COMPUTED_VALUE"""),7.0)</f>
        <v>7</v>
      </c>
      <c r="P42" s="172">
        <f>IFERROR(__xludf.DUMMYFUNCTION("""COMPUTED_VALUE"""),1811.0)</f>
        <v>1811</v>
      </c>
      <c r="Q42" s="172">
        <f>IFERROR(__xludf.DUMMYFUNCTION("""COMPUTED_VALUE"""),26.0)</f>
        <v>26</v>
      </c>
      <c r="R42" s="172">
        <f>IFERROR(__xludf.DUMMYFUNCTION("""COMPUTED_VALUE"""),1392.0)</f>
        <v>1392</v>
      </c>
      <c r="S42" s="172">
        <f>IFERROR(__xludf.DUMMYFUNCTION("""COMPUTED_VALUE"""),4.0)</f>
        <v>4</v>
      </c>
      <c r="T42" s="172">
        <f>IFERROR(__xludf.DUMMYFUNCTION("""COMPUTED_VALUE"""),272.0)</f>
        <v>272</v>
      </c>
      <c r="U42" s="172">
        <f>IFERROR(__xludf.DUMMYFUNCTION("""COMPUTED_VALUE"""),147.0)</f>
        <v>147</v>
      </c>
      <c r="V42" s="172">
        <f>IFERROR(__xludf.DUMMYFUNCTION("""COMPUTED_VALUE"""),166.0)</f>
        <v>166</v>
      </c>
      <c r="W42" s="172">
        <f>IFERROR(__xludf.DUMMYFUNCTION("""COMPUTED_VALUE"""),31.0)</f>
        <v>31</v>
      </c>
      <c r="X42" s="172">
        <f>IFERROR(__xludf.DUMMYFUNCTION("""COMPUTED_VALUE"""),24.0)</f>
        <v>24</v>
      </c>
      <c r="Y42" s="172">
        <f>IFERROR(__xludf.DUMMYFUNCTION("""COMPUTED_VALUE"""),12.0)</f>
        <v>12</v>
      </c>
      <c r="Z42" s="172">
        <f>IFERROR(__xludf.DUMMYFUNCTION("""COMPUTED_VALUE"""),865.0)</f>
        <v>865</v>
      </c>
    </row>
    <row r="43">
      <c r="A43" s="235">
        <f>IFERROR(__xludf.DUMMYFUNCTION("""COMPUTED_VALUE"""),43987.0)</f>
        <v>43987</v>
      </c>
      <c r="B43" s="172">
        <f>IFERROR(__xludf.DUMMYFUNCTION("""COMPUTED_VALUE"""),215.0)</f>
        <v>215</v>
      </c>
      <c r="C43" s="172">
        <f>IFERROR(__xludf.DUMMYFUNCTION("""COMPUTED_VALUE"""),248.0)</f>
        <v>248</v>
      </c>
      <c r="D43" s="172">
        <f>IFERROR(__xludf.DUMMYFUNCTION("""COMPUTED_VALUE"""),21416.0)</f>
        <v>21416</v>
      </c>
      <c r="E43" s="172">
        <f>IFERROR(__xludf.DUMMYFUNCTION("""COMPUTED_VALUE"""),3513.0)</f>
        <v>3513</v>
      </c>
      <c r="F43" s="172">
        <f>IFERROR(__xludf.DUMMYFUNCTION("""COMPUTED_VALUE"""),162657.0)</f>
        <v>162657</v>
      </c>
      <c r="G43" s="172">
        <f>IFERROR(__xludf.DUMMYFUNCTION("""COMPUTED_VALUE"""),3728.0)</f>
        <v>3728</v>
      </c>
      <c r="H43" s="172">
        <f>IFERROR(__xludf.DUMMYFUNCTION("""COMPUTED_VALUE"""),184073.0)</f>
        <v>184073</v>
      </c>
      <c r="I43" s="172">
        <f>IFERROR(__xludf.DUMMYFUNCTION("""COMPUTED_VALUE"""),99.0)</f>
        <v>99</v>
      </c>
      <c r="J43" s="172">
        <f>IFERROR(__xludf.DUMMYFUNCTION("""COMPUTED_VALUE"""),102.0)</f>
        <v>102</v>
      </c>
      <c r="K43" s="172">
        <f>IFERROR(__xludf.DUMMYFUNCTION("""COMPUTED_VALUE"""),15465.0)</f>
        <v>15465</v>
      </c>
      <c r="L43" s="172">
        <f>IFERROR(__xludf.DUMMYFUNCTION("""COMPUTED_VALUE"""),1550.0)</f>
        <v>1550</v>
      </c>
      <c r="M43" s="172">
        <f>IFERROR(__xludf.DUMMYFUNCTION("""COMPUTED_VALUE"""),105416.0)</f>
        <v>105416</v>
      </c>
      <c r="N43" s="172">
        <f>IFERROR(__xludf.DUMMYFUNCTION("""COMPUTED_VALUE"""),120881.0)</f>
        <v>120881</v>
      </c>
      <c r="O43" s="172">
        <f>IFERROR(__xludf.DUMMYFUNCTION("""COMPUTED_VALUE"""),15.0)</f>
        <v>15</v>
      </c>
      <c r="P43" s="172">
        <f>IFERROR(__xludf.DUMMYFUNCTION("""COMPUTED_VALUE"""),1826.0)</f>
        <v>1826</v>
      </c>
      <c r="Q43" s="172">
        <f>IFERROR(__xludf.DUMMYFUNCTION("""COMPUTED_VALUE"""),13.0)</f>
        <v>13</v>
      </c>
      <c r="R43" s="172">
        <f>IFERROR(__xludf.DUMMYFUNCTION("""COMPUTED_VALUE"""),1405.0)</f>
        <v>1405</v>
      </c>
      <c r="S43" s="172">
        <f>IFERROR(__xludf.DUMMYFUNCTION("""COMPUTED_VALUE"""),6.0)</f>
        <v>6</v>
      </c>
      <c r="T43" s="172">
        <f>IFERROR(__xludf.DUMMYFUNCTION("""COMPUTED_VALUE"""),278.0)</f>
        <v>278</v>
      </c>
      <c r="U43" s="172">
        <f>IFERROR(__xludf.DUMMYFUNCTION("""COMPUTED_VALUE"""),143.0)</f>
        <v>143</v>
      </c>
      <c r="V43" s="172">
        <f>IFERROR(__xludf.DUMMYFUNCTION("""COMPUTED_VALUE"""),153.0)</f>
        <v>153</v>
      </c>
      <c r="W43" s="172">
        <f>IFERROR(__xludf.DUMMYFUNCTION("""COMPUTED_VALUE"""),27.0)</f>
        <v>27</v>
      </c>
      <c r="X43" s="172">
        <f>IFERROR(__xludf.DUMMYFUNCTION("""COMPUTED_VALUE"""),21.0)</f>
        <v>21</v>
      </c>
      <c r="Y43" s="172">
        <f>IFERROR(__xludf.DUMMYFUNCTION("""COMPUTED_VALUE"""),11.0)</f>
        <v>11</v>
      </c>
      <c r="Z43" s="172">
        <f>IFERROR(__xludf.DUMMYFUNCTION("""COMPUTED_VALUE"""),876.0)</f>
        <v>876</v>
      </c>
    </row>
    <row r="44">
      <c r="A44" s="235">
        <f>IFERROR(__xludf.DUMMYFUNCTION("""COMPUTED_VALUE"""),43988.0)</f>
        <v>43988</v>
      </c>
      <c r="B44" s="172">
        <f>IFERROR(__xludf.DUMMYFUNCTION("""COMPUTED_VALUE"""),201.0)</f>
        <v>201</v>
      </c>
      <c r="C44" s="172">
        <f>IFERROR(__xludf.DUMMYFUNCTION("""COMPUTED_VALUE"""),231.0)</f>
        <v>231</v>
      </c>
      <c r="D44" s="172">
        <f>IFERROR(__xludf.DUMMYFUNCTION("""COMPUTED_VALUE"""),21617.0)</f>
        <v>21617</v>
      </c>
      <c r="E44" s="172">
        <f>IFERROR(__xludf.DUMMYFUNCTION("""COMPUTED_VALUE"""),2616.0)</f>
        <v>2616</v>
      </c>
      <c r="F44" s="172">
        <f>IFERROR(__xludf.DUMMYFUNCTION("""COMPUTED_VALUE"""),165273.0)</f>
        <v>165273</v>
      </c>
      <c r="G44" s="172">
        <f>IFERROR(__xludf.DUMMYFUNCTION("""COMPUTED_VALUE"""),2817.0)</f>
        <v>2817</v>
      </c>
      <c r="H44" s="172">
        <f>IFERROR(__xludf.DUMMYFUNCTION("""COMPUTED_VALUE"""),186890.0)</f>
        <v>186890</v>
      </c>
      <c r="I44" s="172">
        <f>IFERROR(__xludf.DUMMYFUNCTION("""COMPUTED_VALUE"""),67.0)</f>
        <v>67</v>
      </c>
      <c r="J44" s="172">
        <f>IFERROR(__xludf.DUMMYFUNCTION("""COMPUTED_VALUE"""),91.0)</f>
        <v>91</v>
      </c>
      <c r="K44" s="172">
        <f>IFERROR(__xludf.DUMMYFUNCTION("""COMPUTED_VALUE"""),15532.0)</f>
        <v>15532</v>
      </c>
      <c r="L44" s="172">
        <f>IFERROR(__xludf.DUMMYFUNCTION("""COMPUTED_VALUE"""),1108.0)</f>
        <v>1108</v>
      </c>
      <c r="M44" s="172">
        <f>IFERROR(__xludf.DUMMYFUNCTION("""COMPUTED_VALUE"""),106524.0)</f>
        <v>106524</v>
      </c>
      <c r="N44" s="172">
        <f>IFERROR(__xludf.DUMMYFUNCTION("""COMPUTED_VALUE"""),122056.0)</f>
        <v>122056</v>
      </c>
      <c r="O44" s="172">
        <f>IFERROR(__xludf.DUMMYFUNCTION("""COMPUTED_VALUE"""),10.0)</f>
        <v>10</v>
      </c>
      <c r="P44" s="172">
        <f>IFERROR(__xludf.DUMMYFUNCTION("""COMPUTED_VALUE"""),1836.0)</f>
        <v>1836</v>
      </c>
      <c r="Q44" s="172">
        <f>IFERROR(__xludf.DUMMYFUNCTION("""COMPUTED_VALUE"""),7.0)</f>
        <v>7</v>
      </c>
      <c r="R44" s="172">
        <f>IFERROR(__xludf.DUMMYFUNCTION("""COMPUTED_VALUE"""),1412.0)</f>
        <v>1412</v>
      </c>
      <c r="S44" s="172">
        <f>IFERROR(__xludf.DUMMYFUNCTION("""COMPUTED_VALUE"""),2.0)</f>
        <v>2</v>
      </c>
      <c r="T44" s="172">
        <f>IFERROR(__xludf.DUMMYFUNCTION("""COMPUTED_VALUE"""),280.0)</f>
        <v>280</v>
      </c>
      <c r="U44" s="172">
        <f>IFERROR(__xludf.DUMMYFUNCTION("""COMPUTED_VALUE"""),144.0)</f>
        <v>144</v>
      </c>
      <c r="V44" s="172">
        <f>IFERROR(__xludf.DUMMYFUNCTION("""COMPUTED_VALUE"""),145.0)</f>
        <v>145</v>
      </c>
      <c r="W44" s="172">
        <f>IFERROR(__xludf.DUMMYFUNCTION("""COMPUTED_VALUE"""),29.0)</f>
        <v>29</v>
      </c>
      <c r="X44" s="172">
        <f>IFERROR(__xludf.DUMMYFUNCTION("""COMPUTED_VALUE"""),19.0)</f>
        <v>19</v>
      </c>
      <c r="Y44" s="172">
        <f>IFERROR(__xludf.DUMMYFUNCTION("""COMPUTED_VALUE"""),6.0)</f>
        <v>6</v>
      </c>
      <c r="Z44" s="172">
        <f>IFERROR(__xludf.DUMMYFUNCTION("""COMPUTED_VALUE"""),882.0)</f>
        <v>882</v>
      </c>
    </row>
    <row r="45">
      <c r="A45" s="235">
        <f>IFERROR(__xludf.DUMMYFUNCTION("""COMPUTED_VALUE"""),43989.0)</f>
        <v>43989</v>
      </c>
      <c r="B45" s="172">
        <f>IFERROR(__xludf.DUMMYFUNCTION("""COMPUTED_VALUE"""),83.0)</f>
        <v>83</v>
      </c>
      <c r="C45" s="172">
        <f>IFERROR(__xludf.DUMMYFUNCTION("""COMPUTED_VALUE"""),166.0)</f>
        <v>166</v>
      </c>
      <c r="D45" s="172">
        <f>IFERROR(__xludf.DUMMYFUNCTION("""COMPUTED_VALUE"""),21700.0)</f>
        <v>21700</v>
      </c>
      <c r="E45" s="172">
        <f>IFERROR(__xludf.DUMMYFUNCTION("""COMPUTED_VALUE"""),1625.0)</f>
        <v>1625</v>
      </c>
      <c r="F45" s="172">
        <f>IFERROR(__xludf.DUMMYFUNCTION("""COMPUTED_VALUE"""),166898.0)</f>
        <v>166898</v>
      </c>
      <c r="G45" s="172">
        <f>IFERROR(__xludf.DUMMYFUNCTION("""COMPUTED_VALUE"""),1708.0)</f>
        <v>1708</v>
      </c>
      <c r="H45" s="172">
        <f>IFERROR(__xludf.DUMMYFUNCTION("""COMPUTED_VALUE"""),188598.0)</f>
        <v>188598</v>
      </c>
      <c r="I45" s="172">
        <f>IFERROR(__xludf.DUMMYFUNCTION("""COMPUTED_VALUE"""),51.0)</f>
        <v>51</v>
      </c>
      <c r="J45" s="172">
        <f>IFERROR(__xludf.DUMMYFUNCTION("""COMPUTED_VALUE"""),72.0)</f>
        <v>72</v>
      </c>
      <c r="K45" s="172">
        <f>IFERROR(__xludf.DUMMYFUNCTION("""COMPUTED_VALUE"""),15583.0)</f>
        <v>15583</v>
      </c>
      <c r="L45" s="172">
        <f>IFERROR(__xludf.DUMMYFUNCTION("""COMPUTED_VALUE"""),777.0)</f>
        <v>777</v>
      </c>
      <c r="M45" s="172">
        <f>IFERROR(__xludf.DUMMYFUNCTION("""COMPUTED_VALUE"""),107301.0)</f>
        <v>107301</v>
      </c>
      <c r="N45" s="172">
        <f>IFERROR(__xludf.DUMMYFUNCTION("""COMPUTED_VALUE"""),122884.0)</f>
        <v>122884</v>
      </c>
      <c r="O45" s="172">
        <f>IFERROR(__xludf.DUMMYFUNCTION("""COMPUTED_VALUE"""),11.0)</f>
        <v>11</v>
      </c>
      <c r="P45" s="172">
        <f>IFERROR(__xludf.DUMMYFUNCTION("""COMPUTED_VALUE"""),1847.0)</f>
        <v>1847</v>
      </c>
      <c r="Q45" s="172">
        <f>IFERROR(__xludf.DUMMYFUNCTION("""COMPUTED_VALUE"""),7.0)</f>
        <v>7</v>
      </c>
      <c r="R45" s="172">
        <f>IFERROR(__xludf.DUMMYFUNCTION("""COMPUTED_VALUE"""),1419.0)</f>
        <v>1419</v>
      </c>
      <c r="S45" s="172">
        <f>IFERROR(__xludf.DUMMYFUNCTION("""COMPUTED_VALUE"""),1.0)</f>
        <v>1</v>
      </c>
      <c r="T45" s="172">
        <f>IFERROR(__xludf.DUMMYFUNCTION("""COMPUTED_VALUE"""),281.0)</f>
        <v>281</v>
      </c>
      <c r="U45" s="172">
        <f>IFERROR(__xludf.DUMMYFUNCTION("""COMPUTED_VALUE"""),147.0)</f>
        <v>147</v>
      </c>
      <c r="V45" s="172">
        <f>IFERROR(__xludf.DUMMYFUNCTION("""COMPUTED_VALUE"""),145.0)</f>
        <v>145</v>
      </c>
      <c r="W45" s="172">
        <f>IFERROR(__xludf.DUMMYFUNCTION("""COMPUTED_VALUE"""),25.0)</f>
        <v>25</v>
      </c>
      <c r="X45" s="172">
        <f>IFERROR(__xludf.DUMMYFUNCTION("""COMPUTED_VALUE"""),17.0)</f>
        <v>17</v>
      </c>
      <c r="Y45" s="172">
        <f>IFERROR(__xludf.DUMMYFUNCTION("""COMPUTED_VALUE"""),4.0)</f>
        <v>4</v>
      </c>
      <c r="Z45" s="172">
        <f>IFERROR(__xludf.DUMMYFUNCTION("""COMPUTED_VALUE"""),886.0)</f>
        <v>886</v>
      </c>
    </row>
    <row r="46">
      <c r="A46" s="235">
        <f>IFERROR(__xludf.DUMMYFUNCTION("""COMPUTED_VALUE"""),43990.0)</f>
        <v>43990</v>
      </c>
      <c r="B46" s="236">
        <f>IFERROR(__xludf.DUMMYFUNCTION("""COMPUTED_VALUE"""),119.0)</f>
        <v>119</v>
      </c>
      <c r="C46" s="236">
        <f>IFERROR(__xludf.DUMMYFUNCTION("""COMPUTED_VALUE"""),134.0)</f>
        <v>134</v>
      </c>
      <c r="D46" s="236">
        <f>IFERROR(__xludf.DUMMYFUNCTION("""COMPUTED_VALUE"""),21819.0)</f>
        <v>21819</v>
      </c>
      <c r="E46" s="236">
        <f>IFERROR(__xludf.DUMMYFUNCTION("""COMPUTED_VALUE"""),1849.0)</f>
        <v>1849</v>
      </c>
      <c r="F46" s="172">
        <f>IFERROR(__xludf.DUMMYFUNCTION("""COMPUTED_VALUE"""),168747.0)</f>
        <v>168747</v>
      </c>
      <c r="G46" s="172">
        <f>IFERROR(__xludf.DUMMYFUNCTION("""COMPUTED_VALUE"""),1968.0)</f>
        <v>1968</v>
      </c>
      <c r="H46" s="172">
        <f>IFERROR(__xludf.DUMMYFUNCTION("""COMPUTED_VALUE"""),190566.0)</f>
        <v>190566</v>
      </c>
      <c r="I46" s="236">
        <f>IFERROR(__xludf.DUMMYFUNCTION("""COMPUTED_VALUE"""),45.0)</f>
        <v>45</v>
      </c>
      <c r="J46" s="236">
        <f>IFERROR(__xludf.DUMMYFUNCTION("""COMPUTED_VALUE"""),54.0)</f>
        <v>54</v>
      </c>
      <c r="K46" s="236">
        <f>IFERROR(__xludf.DUMMYFUNCTION("""COMPUTED_VALUE"""),15628.0)</f>
        <v>15628</v>
      </c>
      <c r="L46" s="236">
        <f>IFERROR(__xludf.DUMMYFUNCTION("""COMPUTED_VALUE"""),949.0)</f>
        <v>949</v>
      </c>
      <c r="M46" s="236">
        <f>IFERROR(__xludf.DUMMYFUNCTION("""COMPUTED_VALUE"""),108250.0)</f>
        <v>108250</v>
      </c>
      <c r="N46" s="236">
        <f>IFERROR(__xludf.DUMMYFUNCTION("""COMPUTED_VALUE"""),123878.0)</f>
        <v>123878</v>
      </c>
      <c r="O46" s="236">
        <f>IFERROR(__xludf.DUMMYFUNCTION("""COMPUTED_VALUE"""),15.0)</f>
        <v>15</v>
      </c>
      <c r="P46" s="236">
        <f>IFERROR(__xludf.DUMMYFUNCTION("""COMPUTED_VALUE"""),1862.0)</f>
        <v>1862</v>
      </c>
      <c r="Q46" s="236">
        <f>IFERROR(__xludf.DUMMYFUNCTION("""COMPUTED_VALUE"""),13.0)</f>
        <v>13</v>
      </c>
      <c r="R46" s="236">
        <f>IFERROR(__xludf.DUMMYFUNCTION("""COMPUTED_VALUE"""),1432.0)</f>
        <v>1432</v>
      </c>
      <c r="S46" s="236">
        <f>IFERROR(__xludf.DUMMYFUNCTION("""COMPUTED_VALUE"""),2.0)</f>
        <v>2</v>
      </c>
      <c r="T46" s="236">
        <f>IFERROR(__xludf.DUMMYFUNCTION("""COMPUTED_VALUE"""),283.0)</f>
        <v>283</v>
      </c>
      <c r="U46" s="236">
        <f>IFERROR(__xludf.DUMMYFUNCTION("""COMPUTED_VALUE"""),147.0)</f>
        <v>147</v>
      </c>
      <c r="V46" s="236">
        <f>IFERROR(__xludf.DUMMYFUNCTION("""COMPUTED_VALUE"""),146.0)</f>
        <v>146</v>
      </c>
      <c r="W46" s="236">
        <f>IFERROR(__xludf.DUMMYFUNCTION("""COMPUTED_VALUE"""),27.0)</f>
        <v>27</v>
      </c>
      <c r="X46" s="236">
        <f>IFERROR(__xludf.DUMMYFUNCTION("""COMPUTED_VALUE"""),18.0)</f>
        <v>18</v>
      </c>
      <c r="Y46" s="236">
        <f>IFERROR(__xludf.DUMMYFUNCTION("""COMPUTED_VALUE"""),4.0)</f>
        <v>4</v>
      </c>
      <c r="Z46" s="236">
        <f>IFERROR(__xludf.DUMMYFUNCTION("""COMPUTED_VALUE"""),890.0)</f>
        <v>890</v>
      </c>
    </row>
    <row r="47">
      <c r="A47" s="235">
        <f>IFERROR(__xludf.DUMMYFUNCTION("""COMPUTED_VALUE"""),43991.0)</f>
        <v>43991</v>
      </c>
      <c r="B47" s="236">
        <f>IFERROR(__xludf.DUMMYFUNCTION("""COMPUTED_VALUE"""),223.0)</f>
        <v>223</v>
      </c>
      <c r="C47" s="236">
        <f>IFERROR(__xludf.DUMMYFUNCTION("""COMPUTED_VALUE"""),142.0)</f>
        <v>142</v>
      </c>
      <c r="D47" s="236">
        <f>IFERROR(__xludf.DUMMYFUNCTION("""COMPUTED_VALUE"""),22042.0)</f>
        <v>22042</v>
      </c>
      <c r="E47" s="236">
        <f>IFERROR(__xludf.DUMMYFUNCTION("""COMPUTED_VALUE"""),2673.0)</f>
        <v>2673</v>
      </c>
      <c r="F47" s="172">
        <f>IFERROR(__xludf.DUMMYFUNCTION("""COMPUTED_VALUE"""),171420.0)</f>
        <v>171420</v>
      </c>
      <c r="G47" s="172">
        <f>IFERROR(__xludf.DUMMYFUNCTION("""COMPUTED_VALUE"""),2896.0)</f>
        <v>2896</v>
      </c>
      <c r="H47" s="172">
        <f>IFERROR(__xludf.DUMMYFUNCTION("""COMPUTED_VALUE"""),193462.0)</f>
        <v>193462</v>
      </c>
      <c r="I47" s="236">
        <f>IFERROR(__xludf.DUMMYFUNCTION("""COMPUTED_VALUE"""),64.0)</f>
        <v>64</v>
      </c>
      <c r="J47" s="236">
        <f>IFERROR(__xludf.DUMMYFUNCTION("""COMPUTED_VALUE"""),53.0)</f>
        <v>53</v>
      </c>
      <c r="K47" s="236">
        <f>IFERROR(__xludf.DUMMYFUNCTION("""COMPUTED_VALUE"""),15692.0)</f>
        <v>15692</v>
      </c>
      <c r="L47" s="236">
        <f>IFERROR(__xludf.DUMMYFUNCTION("""COMPUTED_VALUE"""),1243.0)</f>
        <v>1243</v>
      </c>
      <c r="M47" s="236">
        <f>IFERROR(__xludf.DUMMYFUNCTION("""COMPUTED_VALUE"""),109493.0)</f>
        <v>109493</v>
      </c>
      <c r="N47" s="236">
        <f>IFERROR(__xludf.DUMMYFUNCTION("""COMPUTED_VALUE"""),125185.0)</f>
        <v>125185</v>
      </c>
      <c r="O47" s="236">
        <f>IFERROR(__xludf.DUMMYFUNCTION("""COMPUTED_VALUE"""),10.0)</f>
        <v>10</v>
      </c>
      <c r="P47" s="236">
        <f>IFERROR(__xludf.DUMMYFUNCTION("""COMPUTED_VALUE"""),1872.0)</f>
        <v>1872</v>
      </c>
      <c r="Q47" s="236">
        <f>IFERROR(__xludf.DUMMYFUNCTION("""COMPUTED_VALUE"""),19.0)</f>
        <v>19</v>
      </c>
      <c r="R47" s="236">
        <f>IFERROR(__xludf.DUMMYFUNCTION("""COMPUTED_VALUE"""),1451.0)</f>
        <v>1451</v>
      </c>
      <c r="S47" s="236">
        <f>IFERROR(__xludf.DUMMYFUNCTION("""COMPUTED_VALUE"""),0.0)</f>
        <v>0</v>
      </c>
      <c r="T47" s="236">
        <f>IFERROR(__xludf.DUMMYFUNCTION("""COMPUTED_VALUE"""),283.0)</f>
        <v>283</v>
      </c>
      <c r="U47" s="236">
        <f>IFERROR(__xludf.DUMMYFUNCTION("""COMPUTED_VALUE"""),138.0)</f>
        <v>138</v>
      </c>
      <c r="V47" s="236">
        <f>IFERROR(__xludf.DUMMYFUNCTION("""COMPUTED_VALUE"""),144.0)</f>
        <v>144</v>
      </c>
      <c r="W47" s="236">
        <f>IFERROR(__xludf.DUMMYFUNCTION("""COMPUTED_VALUE"""),28.0)</f>
        <v>28</v>
      </c>
      <c r="X47" s="236">
        <f>IFERROR(__xludf.DUMMYFUNCTION("""COMPUTED_VALUE"""),21.0)</f>
        <v>21</v>
      </c>
      <c r="Y47" s="236">
        <f>IFERROR(__xludf.DUMMYFUNCTION("""COMPUTED_VALUE"""),1.0)</f>
        <v>1</v>
      </c>
      <c r="Z47" s="236">
        <f>IFERROR(__xludf.DUMMYFUNCTION("""COMPUTED_VALUE"""),891.0)</f>
        <v>891</v>
      </c>
    </row>
    <row r="48">
      <c r="A48" s="235">
        <f>IFERROR(__xludf.DUMMYFUNCTION("""COMPUTED_VALUE"""),43992.0)</f>
        <v>43992</v>
      </c>
      <c r="B48" s="236">
        <f>IFERROR(__xludf.DUMMYFUNCTION("""COMPUTED_VALUE"""),209.0)</f>
        <v>209</v>
      </c>
      <c r="C48" s="236">
        <f>IFERROR(__xludf.DUMMYFUNCTION("""COMPUTED_VALUE"""),184.0)</f>
        <v>184</v>
      </c>
      <c r="D48" s="236">
        <f>IFERROR(__xludf.DUMMYFUNCTION("""COMPUTED_VALUE"""),22251.0)</f>
        <v>22251</v>
      </c>
      <c r="E48" s="236">
        <f>IFERROR(__xludf.DUMMYFUNCTION("""COMPUTED_VALUE"""),2987.0)</f>
        <v>2987</v>
      </c>
      <c r="F48" s="172">
        <f>IFERROR(__xludf.DUMMYFUNCTION("""COMPUTED_VALUE"""),174407.0)</f>
        <v>174407</v>
      </c>
      <c r="G48" s="172">
        <f>IFERROR(__xludf.DUMMYFUNCTION("""COMPUTED_VALUE"""),3196.0)</f>
        <v>3196</v>
      </c>
      <c r="H48" s="172">
        <f>IFERROR(__xludf.DUMMYFUNCTION("""COMPUTED_VALUE"""),196658.0)</f>
        <v>196658</v>
      </c>
      <c r="I48" s="236">
        <f>IFERROR(__xludf.DUMMYFUNCTION("""COMPUTED_VALUE"""),101.0)</f>
        <v>101</v>
      </c>
      <c r="J48" s="236">
        <f>IFERROR(__xludf.DUMMYFUNCTION("""COMPUTED_VALUE"""),70.0)</f>
        <v>70</v>
      </c>
      <c r="K48" s="236">
        <f>IFERROR(__xludf.DUMMYFUNCTION("""COMPUTED_VALUE"""),15793.0)</f>
        <v>15793</v>
      </c>
      <c r="L48" s="236">
        <f>IFERROR(__xludf.DUMMYFUNCTION("""COMPUTED_VALUE"""),1450.0)</f>
        <v>1450</v>
      </c>
      <c r="M48" s="236">
        <f>IFERROR(__xludf.DUMMYFUNCTION("""COMPUTED_VALUE"""),110943.0)</f>
        <v>110943</v>
      </c>
      <c r="N48" s="236">
        <f>IFERROR(__xludf.DUMMYFUNCTION("""COMPUTED_VALUE"""),126736.0)</f>
        <v>126736</v>
      </c>
      <c r="O48" s="236">
        <f>IFERROR(__xludf.DUMMYFUNCTION("""COMPUTED_VALUE"""),13.0)</f>
        <v>13</v>
      </c>
      <c r="P48" s="236">
        <f>IFERROR(__xludf.DUMMYFUNCTION("""COMPUTED_VALUE"""),1885.0)</f>
        <v>1885</v>
      </c>
      <c r="Q48" s="236">
        <f>IFERROR(__xludf.DUMMYFUNCTION("""COMPUTED_VALUE"""),12.0)</f>
        <v>12</v>
      </c>
      <c r="R48" s="236">
        <f>IFERROR(__xludf.DUMMYFUNCTION("""COMPUTED_VALUE"""),1463.0)</f>
        <v>1463</v>
      </c>
      <c r="S48" s="236">
        <f>IFERROR(__xludf.DUMMYFUNCTION("""COMPUTED_VALUE"""),2.0)</f>
        <v>2</v>
      </c>
      <c r="T48" s="236">
        <f>IFERROR(__xludf.DUMMYFUNCTION("""COMPUTED_VALUE"""),285.0)</f>
        <v>285</v>
      </c>
      <c r="U48" s="236">
        <f>IFERROR(__xludf.DUMMYFUNCTION("""COMPUTED_VALUE"""),137.0)</f>
        <v>137</v>
      </c>
      <c r="V48" s="236">
        <f>IFERROR(__xludf.DUMMYFUNCTION("""COMPUTED_VALUE"""),141.0)</f>
        <v>141</v>
      </c>
      <c r="W48" s="236">
        <f>IFERROR(__xludf.DUMMYFUNCTION("""COMPUTED_VALUE"""),24.0)</f>
        <v>24</v>
      </c>
      <c r="X48" s="236">
        <f>IFERROR(__xludf.DUMMYFUNCTION("""COMPUTED_VALUE"""),17.0)</f>
        <v>17</v>
      </c>
      <c r="Y48" s="236">
        <f>IFERROR(__xludf.DUMMYFUNCTION("""COMPUTED_VALUE"""),4.0)</f>
        <v>4</v>
      </c>
      <c r="Z48" s="236">
        <f>IFERROR(__xludf.DUMMYFUNCTION("""COMPUTED_VALUE"""),895.0)</f>
        <v>895</v>
      </c>
    </row>
    <row r="49">
      <c r="A49" s="235">
        <f>IFERROR(__xludf.DUMMYFUNCTION("""COMPUTED_VALUE"""),43993.0)</f>
        <v>43993</v>
      </c>
      <c r="B49" s="236">
        <f>IFERROR(__xludf.DUMMYFUNCTION("""COMPUTED_VALUE"""),195.0)</f>
        <v>195</v>
      </c>
      <c r="C49" s="236">
        <f>IFERROR(__xludf.DUMMYFUNCTION("""COMPUTED_VALUE"""),209.0)</f>
        <v>209</v>
      </c>
      <c r="D49" s="236">
        <f>IFERROR(__xludf.DUMMYFUNCTION("""COMPUTED_VALUE"""),22446.0)</f>
        <v>22446</v>
      </c>
      <c r="E49" s="236">
        <f>IFERROR(__xludf.DUMMYFUNCTION("""COMPUTED_VALUE"""),3513.0)</f>
        <v>3513</v>
      </c>
      <c r="F49" s="172">
        <f>IFERROR(__xludf.DUMMYFUNCTION("""COMPUTED_VALUE"""),177920.0)</f>
        <v>177920</v>
      </c>
      <c r="G49" s="172">
        <f>IFERROR(__xludf.DUMMYFUNCTION("""COMPUTED_VALUE"""),3708.0)</f>
        <v>3708</v>
      </c>
      <c r="H49" s="172">
        <f>IFERROR(__xludf.DUMMYFUNCTION("""COMPUTED_VALUE"""),200366.0)</f>
        <v>200366</v>
      </c>
      <c r="I49" s="236">
        <f>IFERROR(__xludf.DUMMYFUNCTION("""COMPUTED_VALUE"""),88.0)</f>
        <v>88</v>
      </c>
      <c r="J49" s="236">
        <f>IFERROR(__xludf.DUMMYFUNCTION("""COMPUTED_VALUE"""),84.0)</f>
        <v>84</v>
      </c>
      <c r="K49" s="236">
        <f>IFERROR(__xludf.DUMMYFUNCTION("""COMPUTED_VALUE"""),15881.0)</f>
        <v>15881</v>
      </c>
      <c r="L49" s="236">
        <f>IFERROR(__xludf.DUMMYFUNCTION("""COMPUTED_VALUE"""),1515.0)</f>
        <v>1515</v>
      </c>
      <c r="M49" s="236">
        <f>IFERROR(__xludf.DUMMYFUNCTION("""COMPUTED_VALUE"""),112458.0)</f>
        <v>112458</v>
      </c>
      <c r="N49" s="236">
        <f>IFERROR(__xludf.DUMMYFUNCTION("""COMPUTED_VALUE"""),128339.0)</f>
        <v>128339</v>
      </c>
      <c r="O49" s="236">
        <f>IFERROR(__xludf.DUMMYFUNCTION("""COMPUTED_VALUE"""),7.0)</f>
        <v>7</v>
      </c>
      <c r="P49" s="236">
        <f>IFERROR(__xludf.DUMMYFUNCTION("""COMPUTED_VALUE"""),1892.0)</f>
        <v>1892</v>
      </c>
      <c r="Q49" s="236">
        <f>IFERROR(__xludf.DUMMYFUNCTION("""COMPUTED_VALUE"""),15.0)</f>
        <v>15</v>
      </c>
      <c r="R49" s="236">
        <f>IFERROR(__xludf.DUMMYFUNCTION("""COMPUTED_VALUE"""),1478.0)</f>
        <v>1478</v>
      </c>
      <c r="S49" s="236">
        <f>IFERROR(__xludf.DUMMYFUNCTION("""COMPUTED_VALUE"""),1.0)</f>
        <v>1</v>
      </c>
      <c r="T49" s="236">
        <f>IFERROR(__xludf.DUMMYFUNCTION("""COMPUTED_VALUE"""),286.0)</f>
        <v>286</v>
      </c>
      <c r="U49" s="236">
        <f>IFERROR(__xludf.DUMMYFUNCTION("""COMPUTED_VALUE"""),128.0)</f>
        <v>128</v>
      </c>
      <c r="V49" s="236">
        <f>IFERROR(__xludf.DUMMYFUNCTION("""COMPUTED_VALUE"""),134.0)</f>
        <v>134</v>
      </c>
      <c r="W49" s="236">
        <f>IFERROR(__xludf.DUMMYFUNCTION("""COMPUTED_VALUE"""),25.0)</f>
        <v>25</v>
      </c>
      <c r="X49" s="236">
        <f>IFERROR(__xludf.DUMMYFUNCTION("""COMPUTED_VALUE"""),16.0)</f>
        <v>16</v>
      </c>
      <c r="Y49" s="236">
        <f>IFERROR(__xludf.DUMMYFUNCTION("""COMPUTED_VALUE"""),6.0)</f>
        <v>6</v>
      </c>
      <c r="Z49" s="236">
        <f>IFERROR(__xludf.DUMMYFUNCTION("""COMPUTED_VALUE"""),901.0)</f>
        <v>901</v>
      </c>
    </row>
    <row r="50">
      <c r="A50" s="235">
        <f>IFERROR(__xludf.DUMMYFUNCTION("""COMPUTED_VALUE"""),43994.0)</f>
        <v>43994</v>
      </c>
      <c r="B50" s="236">
        <f>IFERROR(__xludf.DUMMYFUNCTION("""COMPUTED_VALUE"""),209.0)</f>
        <v>209</v>
      </c>
      <c r="C50" s="236">
        <f>IFERROR(__xludf.DUMMYFUNCTION("""COMPUTED_VALUE"""),204.0)</f>
        <v>204</v>
      </c>
      <c r="D50" s="236">
        <f>IFERROR(__xludf.DUMMYFUNCTION("""COMPUTED_VALUE"""),22655.0)</f>
        <v>22655</v>
      </c>
      <c r="E50" s="236">
        <f>IFERROR(__xludf.DUMMYFUNCTION("""COMPUTED_VALUE"""),4601.0)</f>
        <v>4601</v>
      </c>
      <c r="F50" s="172">
        <f>IFERROR(__xludf.DUMMYFUNCTION("""COMPUTED_VALUE"""),182521.0)</f>
        <v>182521</v>
      </c>
      <c r="G50" s="172">
        <f>IFERROR(__xludf.DUMMYFUNCTION("""COMPUTED_VALUE"""),4810.0)</f>
        <v>4810</v>
      </c>
      <c r="H50" s="172">
        <f>IFERROR(__xludf.DUMMYFUNCTION("""COMPUTED_VALUE"""),205176.0)</f>
        <v>205176</v>
      </c>
      <c r="I50" s="236">
        <f>IFERROR(__xludf.DUMMYFUNCTION("""COMPUTED_VALUE"""),78.0)</f>
        <v>78</v>
      </c>
      <c r="J50" s="236">
        <f>IFERROR(__xludf.DUMMYFUNCTION("""COMPUTED_VALUE"""),89.0)</f>
        <v>89</v>
      </c>
      <c r="K50" s="236">
        <f>IFERROR(__xludf.DUMMYFUNCTION("""COMPUTED_VALUE"""),15959.0)</f>
        <v>15959</v>
      </c>
      <c r="L50" s="236">
        <f>IFERROR(__xludf.DUMMYFUNCTION("""COMPUTED_VALUE"""),2160.0)</f>
        <v>2160</v>
      </c>
      <c r="M50" s="236">
        <f>IFERROR(__xludf.DUMMYFUNCTION("""COMPUTED_VALUE"""),114618.0)</f>
        <v>114618</v>
      </c>
      <c r="N50" s="236">
        <f>IFERROR(__xludf.DUMMYFUNCTION("""COMPUTED_VALUE"""),130577.0)</f>
        <v>130577</v>
      </c>
      <c r="O50" s="236">
        <f>IFERROR(__xludf.DUMMYFUNCTION("""COMPUTED_VALUE"""),9.0)</f>
        <v>9</v>
      </c>
      <c r="P50" s="236">
        <f>IFERROR(__xludf.DUMMYFUNCTION("""COMPUTED_VALUE"""),1901.0)</f>
        <v>1901</v>
      </c>
      <c r="Q50" s="236">
        <f>IFERROR(__xludf.DUMMYFUNCTION("""COMPUTED_VALUE"""),16.0)</f>
        <v>16</v>
      </c>
      <c r="R50" s="236">
        <f>IFERROR(__xludf.DUMMYFUNCTION("""COMPUTED_VALUE"""),1494.0)</f>
        <v>1494</v>
      </c>
      <c r="S50" s="236">
        <f>IFERROR(__xludf.DUMMYFUNCTION("""COMPUTED_VALUE"""),1.0)</f>
        <v>1</v>
      </c>
      <c r="T50" s="236">
        <f>IFERROR(__xludf.DUMMYFUNCTION("""COMPUTED_VALUE"""),287.0)</f>
        <v>287</v>
      </c>
      <c r="U50" s="236">
        <f>IFERROR(__xludf.DUMMYFUNCTION("""COMPUTED_VALUE"""),120.0)</f>
        <v>120</v>
      </c>
      <c r="V50" s="236">
        <f>IFERROR(__xludf.DUMMYFUNCTION("""COMPUTED_VALUE"""),128.0)</f>
        <v>128</v>
      </c>
      <c r="W50" s="236">
        <f>IFERROR(__xludf.DUMMYFUNCTION("""COMPUTED_VALUE"""),24.0)</f>
        <v>24</v>
      </c>
      <c r="X50" s="236">
        <f>IFERROR(__xludf.DUMMYFUNCTION("""COMPUTED_VALUE"""),16.0)</f>
        <v>16</v>
      </c>
      <c r="Y50" s="236">
        <f>IFERROR(__xludf.DUMMYFUNCTION("""COMPUTED_VALUE"""),2.0)</f>
        <v>2</v>
      </c>
      <c r="Z50" s="236">
        <f>IFERROR(__xludf.DUMMYFUNCTION("""COMPUTED_VALUE"""),903.0)</f>
        <v>903</v>
      </c>
    </row>
    <row r="51">
      <c r="A51" s="235">
        <f>IFERROR(__xludf.DUMMYFUNCTION("""COMPUTED_VALUE"""),43995.0)</f>
        <v>43995</v>
      </c>
      <c r="B51" s="236">
        <f>IFERROR(__xludf.DUMMYFUNCTION("""COMPUTED_VALUE"""),113.0)</f>
        <v>113</v>
      </c>
      <c r="C51" s="236">
        <f>IFERROR(__xludf.DUMMYFUNCTION("""COMPUTED_VALUE"""),172.0)</f>
        <v>172</v>
      </c>
      <c r="D51" s="236">
        <f>IFERROR(__xludf.DUMMYFUNCTION("""COMPUTED_VALUE"""),22768.0)</f>
        <v>22768</v>
      </c>
      <c r="E51" s="236">
        <f>IFERROR(__xludf.DUMMYFUNCTION("""COMPUTED_VALUE"""),3036.0)</f>
        <v>3036</v>
      </c>
      <c r="F51" s="172">
        <f>IFERROR(__xludf.DUMMYFUNCTION("""COMPUTED_VALUE"""),185557.0)</f>
        <v>185557</v>
      </c>
      <c r="G51" s="172">
        <f>IFERROR(__xludf.DUMMYFUNCTION("""COMPUTED_VALUE"""),3149.0)</f>
        <v>3149</v>
      </c>
      <c r="H51" s="172">
        <f>IFERROR(__xludf.DUMMYFUNCTION("""COMPUTED_VALUE"""),208325.0)</f>
        <v>208325</v>
      </c>
      <c r="I51" s="236">
        <f>IFERROR(__xludf.DUMMYFUNCTION("""COMPUTED_VALUE"""),49.0)</f>
        <v>49</v>
      </c>
      <c r="J51" s="236">
        <f>IFERROR(__xludf.DUMMYFUNCTION("""COMPUTED_VALUE"""),72.0)</f>
        <v>72</v>
      </c>
      <c r="K51" s="236">
        <f>IFERROR(__xludf.DUMMYFUNCTION("""COMPUTED_VALUE"""),16008.0)</f>
        <v>16008</v>
      </c>
      <c r="L51" s="236">
        <f>IFERROR(__xludf.DUMMYFUNCTION("""COMPUTED_VALUE"""),1359.0)</f>
        <v>1359</v>
      </c>
      <c r="M51" s="236">
        <f>IFERROR(__xludf.DUMMYFUNCTION("""COMPUTED_VALUE"""),115977.0)</f>
        <v>115977</v>
      </c>
      <c r="N51" s="236">
        <f>IFERROR(__xludf.DUMMYFUNCTION("""COMPUTED_VALUE"""),131985.0)</f>
        <v>131985</v>
      </c>
      <c r="O51" s="236">
        <f>IFERROR(__xludf.DUMMYFUNCTION("""COMPUTED_VALUE"""),6.0)</f>
        <v>6</v>
      </c>
      <c r="P51" s="236">
        <f>IFERROR(__xludf.DUMMYFUNCTION("""COMPUTED_VALUE"""),1907.0)</f>
        <v>1907</v>
      </c>
      <c r="Q51" s="236">
        <f>IFERROR(__xludf.DUMMYFUNCTION("""COMPUTED_VALUE"""),5.0)</f>
        <v>5</v>
      </c>
      <c r="R51" s="236">
        <f>IFERROR(__xludf.DUMMYFUNCTION("""COMPUTED_VALUE"""),1499.0)</f>
        <v>1499</v>
      </c>
      <c r="S51" s="236">
        <f>IFERROR(__xludf.DUMMYFUNCTION("""COMPUTED_VALUE"""),0.0)</f>
        <v>0</v>
      </c>
      <c r="T51" s="236">
        <f>IFERROR(__xludf.DUMMYFUNCTION("""COMPUTED_VALUE"""),287.0)</f>
        <v>287</v>
      </c>
      <c r="U51" s="236">
        <f>IFERROR(__xludf.DUMMYFUNCTION("""COMPUTED_VALUE"""),121.0)</f>
        <v>121</v>
      </c>
      <c r="V51" s="236">
        <f>IFERROR(__xludf.DUMMYFUNCTION("""COMPUTED_VALUE"""),123.0)</f>
        <v>123</v>
      </c>
      <c r="W51" s="236">
        <f>IFERROR(__xludf.DUMMYFUNCTION("""COMPUTED_VALUE"""),20.0)</f>
        <v>20</v>
      </c>
      <c r="X51" s="236">
        <f>IFERROR(__xludf.DUMMYFUNCTION("""COMPUTED_VALUE"""),15.0)</f>
        <v>15</v>
      </c>
      <c r="Y51" s="236">
        <f>IFERROR(__xludf.DUMMYFUNCTION("""COMPUTED_VALUE"""),3.0)</f>
        <v>3</v>
      </c>
      <c r="Z51" s="236">
        <f>IFERROR(__xludf.DUMMYFUNCTION("""COMPUTED_VALUE"""),906.0)</f>
        <v>906</v>
      </c>
    </row>
    <row r="52">
      <c r="A52" s="235">
        <f>IFERROR(__xludf.DUMMYFUNCTION("""COMPUTED_VALUE"""),43996.0)</f>
        <v>43996</v>
      </c>
      <c r="B52" s="236">
        <f>IFERROR(__xludf.DUMMYFUNCTION("""COMPUTED_VALUE"""),81.0)</f>
        <v>81</v>
      </c>
      <c r="C52" s="236">
        <f>IFERROR(__xludf.DUMMYFUNCTION("""COMPUTED_VALUE"""),134.0)</f>
        <v>134</v>
      </c>
      <c r="D52" s="236">
        <f>IFERROR(__xludf.DUMMYFUNCTION("""COMPUTED_VALUE"""),22849.0)</f>
        <v>22849</v>
      </c>
      <c r="E52" s="236">
        <f>IFERROR(__xludf.DUMMYFUNCTION("""COMPUTED_VALUE"""),2046.0)</f>
        <v>2046</v>
      </c>
      <c r="F52" s="172">
        <f>IFERROR(__xludf.DUMMYFUNCTION("""COMPUTED_VALUE"""),187603.0)</f>
        <v>187603</v>
      </c>
      <c r="G52" s="172">
        <f>IFERROR(__xludf.DUMMYFUNCTION("""COMPUTED_VALUE"""),2127.0)</f>
        <v>2127</v>
      </c>
      <c r="H52" s="172">
        <f>IFERROR(__xludf.DUMMYFUNCTION("""COMPUTED_VALUE"""),210452.0)</f>
        <v>210452</v>
      </c>
      <c r="I52" s="236">
        <f>IFERROR(__xludf.DUMMYFUNCTION("""COMPUTED_VALUE"""),33.0)</f>
        <v>33</v>
      </c>
      <c r="J52" s="236">
        <f>IFERROR(__xludf.DUMMYFUNCTION("""COMPUTED_VALUE"""),53.0)</f>
        <v>53</v>
      </c>
      <c r="K52" s="236">
        <f>IFERROR(__xludf.DUMMYFUNCTION("""COMPUTED_VALUE"""),16041.0)</f>
        <v>16041</v>
      </c>
      <c r="L52" s="236">
        <f>IFERROR(__xludf.DUMMYFUNCTION("""COMPUTED_VALUE"""),960.0)</f>
        <v>960</v>
      </c>
      <c r="M52" s="236">
        <f>IFERROR(__xludf.DUMMYFUNCTION("""COMPUTED_VALUE"""),116937.0)</f>
        <v>116937</v>
      </c>
      <c r="N52" s="236">
        <f>IFERROR(__xludf.DUMMYFUNCTION("""COMPUTED_VALUE"""),132978.0)</f>
        <v>132978</v>
      </c>
      <c r="O52" s="236">
        <f>IFERROR(__xludf.DUMMYFUNCTION("""COMPUTED_VALUE"""),7.0)</f>
        <v>7</v>
      </c>
      <c r="P52" s="236">
        <f>IFERROR(__xludf.DUMMYFUNCTION("""COMPUTED_VALUE"""),1914.0)</f>
        <v>1914</v>
      </c>
      <c r="Q52" s="236">
        <f>IFERROR(__xludf.DUMMYFUNCTION("""COMPUTED_VALUE"""),8.0)</f>
        <v>8</v>
      </c>
      <c r="R52" s="236">
        <f>IFERROR(__xludf.DUMMYFUNCTION("""COMPUTED_VALUE"""),1507.0)</f>
        <v>1507</v>
      </c>
      <c r="S52" s="236">
        <f>IFERROR(__xludf.DUMMYFUNCTION("""COMPUTED_VALUE"""),1.0)</f>
        <v>1</v>
      </c>
      <c r="T52" s="236">
        <f>IFERROR(__xludf.DUMMYFUNCTION("""COMPUTED_VALUE"""),288.0)</f>
        <v>288</v>
      </c>
      <c r="U52" s="236">
        <f>IFERROR(__xludf.DUMMYFUNCTION("""COMPUTED_VALUE"""),119.0)</f>
        <v>119</v>
      </c>
      <c r="V52" s="236">
        <f>IFERROR(__xludf.DUMMYFUNCTION("""COMPUTED_VALUE"""),120.0)</f>
        <v>120</v>
      </c>
      <c r="W52" s="236">
        <f>IFERROR(__xludf.DUMMYFUNCTION("""COMPUTED_VALUE"""),20.0)</f>
        <v>20</v>
      </c>
      <c r="X52" s="236">
        <f>IFERROR(__xludf.DUMMYFUNCTION("""COMPUTED_VALUE"""),14.0)</f>
        <v>14</v>
      </c>
      <c r="Y52" s="236">
        <f>IFERROR(__xludf.DUMMYFUNCTION("""COMPUTED_VALUE"""),3.0)</f>
        <v>3</v>
      </c>
      <c r="Z52" s="236">
        <f>IFERROR(__xludf.DUMMYFUNCTION("""COMPUTED_VALUE"""),909.0)</f>
        <v>909</v>
      </c>
    </row>
    <row r="53">
      <c r="A53" s="235">
        <f>IFERROR(__xludf.DUMMYFUNCTION("""COMPUTED_VALUE"""),43997.0)</f>
        <v>43997</v>
      </c>
      <c r="B53" s="236">
        <f>IFERROR(__xludf.DUMMYFUNCTION("""COMPUTED_VALUE"""),188.0)</f>
        <v>188</v>
      </c>
      <c r="C53" s="236">
        <f>IFERROR(__xludf.DUMMYFUNCTION("""COMPUTED_VALUE"""),127.0)</f>
        <v>127</v>
      </c>
      <c r="D53" s="236">
        <f>IFERROR(__xludf.DUMMYFUNCTION("""COMPUTED_VALUE"""),23037.0)</f>
        <v>23037</v>
      </c>
      <c r="E53" s="236">
        <f>IFERROR(__xludf.DUMMYFUNCTION("""COMPUTED_VALUE"""),3108.0)</f>
        <v>3108</v>
      </c>
      <c r="F53" s="172">
        <f>IFERROR(__xludf.DUMMYFUNCTION("""COMPUTED_VALUE"""),190711.0)</f>
        <v>190711</v>
      </c>
      <c r="G53" s="172">
        <f>IFERROR(__xludf.DUMMYFUNCTION("""COMPUTED_VALUE"""),3296.0)</f>
        <v>3296</v>
      </c>
      <c r="H53" s="172">
        <f>IFERROR(__xludf.DUMMYFUNCTION("""COMPUTED_VALUE"""),213748.0)</f>
        <v>213748</v>
      </c>
      <c r="I53" s="236">
        <f>IFERROR(__xludf.DUMMYFUNCTION("""COMPUTED_VALUE"""),75.0)</f>
        <v>75</v>
      </c>
      <c r="J53" s="236">
        <f>IFERROR(__xludf.DUMMYFUNCTION("""COMPUTED_VALUE"""),52.0)</f>
        <v>52</v>
      </c>
      <c r="K53" s="236">
        <f>IFERROR(__xludf.DUMMYFUNCTION("""COMPUTED_VALUE"""),16116.0)</f>
        <v>16116</v>
      </c>
      <c r="L53" s="236">
        <f>IFERROR(__xludf.DUMMYFUNCTION("""COMPUTED_VALUE"""),1771.0)</f>
        <v>1771</v>
      </c>
      <c r="M53" s="236">
        <f>IFERROR(__xludf.DUMMYFUNCTION("""COMPUTED_VALUE"""),118708.0)</f>
        <v>118708</v>
      </c>
      <c r="N53" s="236">
        <f>IFERROR(__xludf.DUMMYFUNCTION("""COMPUTED_VALUE"""),134824.0)</f>
        <v>134824</v>
      </c>
      <c r="O53" s="236">
        <f>IFERROR(__xludf.DUMMYFUNCTION("""COMPUTED_VALUE"""),14.0)</f>
        <v>14</v>
      </c>
      <c r="P53" s="236">
        <f>IFERROR(__xludf.DUMMYFUNCTION("""COMPUTED_VALUE"""),1928.0)</f>
        <v>1928</v>
      </c>
      <c r="Q53" s="236">
        <f>IFERROR(__xludf.DUMMYFUNCTION("""COMPUTED_VALUE"""),19.0)</f>
        <v>19</v>
      </c>
      <c r="R53" s="236">
        <f>IFERROR(__xludf.DUMMYFUNCTION("""COMPUTED_VALUE"""),1526.0)</f>
        <v>1526</v>
      </c>
      <c r="S53" s="236">
        <f>IFERROR(__xludf.DUMMYFUNCTION("""COMPUTED_VALUE"""),0.0)</f>
        <v>0</v>
      </c>
      <c r="T53" s="236">
        <f>IFERROR(__xludf.DUMMYFUNCTION("""COMPUTED_VALUE"""),288.0)</f>
        <v>288</v>
      </c>
      <c r="U53" s="236">
        <f>IFERROR(__xludf.DUMMYFUNCTION("""COMPUTED_VALUE"""),114.0)</f>
        <v>114</v>
      </c>
      <c r="V53" s="236">
        <f>IFERROR(__xludf.DUMMYFUNCTION("""COMPUTED_VALUE"""),118.0)</f>
        <v>118</v>
      </c>
      <c r="W53" s="236">
        <f>IFERROR(__xludf.DUMMYFUNCTION("""COMPUTED_VALUE"""),20.0)</f>
        <v>20</v>
      </c>
      <c r="X53" s="236">
        <f>IFERROR(__xludf.DUMMYFUNCTION("""COMPUTED_VALUE"""),16.0)</f>
        <v>16</v>
      </c>
      <c r="Y53" s="236">
        <f>IFERROR(__xludf.DUMMYFUNCTION("""COMPUTED_VALUE"""),5.0)</f>
        <v>5</v>
      </c>
      <c r="Z53" s="236">
        <f>IFERROR(__xludf.DUMMYFUNCTION("""COMPUTED_VALUE"""),914.0)</f>
        <v>914</v>
      </c>
    </row>
    <row r="54">
      <c r="A54" s="235">
        <f>IFERROR(__xludf.DUMMYFUNCTION("""COMPUTED_VALUE"""),43998.0)</f>
        <v>43998</v>
      </c>
      <c r="B54" s="236">
        <f>IFERROR(__xludf.DUMMYFUNCTION("""COMPUTED_VALUE"""),110.0)</f>
        <v>110</v>
      </c>
      <c r="C54" s="236">
        <f>IFERROR(__xludf.DUMMYFUNCTION("""COMPUTED_VALUE"""),126.0)</f>
        <v>126</v>
      </c>
      <c r="D54" s="236">
        <f>IFERROR(__xludf.DUMMYFUNCTION("""COMPUTED_VALUE"""),23147.0)</f>
        <v>23147</v>
      </c>
      <c r="E54" s="236">
        <f>IFERROR(__xludf.DUMMYFUNCTION("""COMPUTED_VALUE"""),3017.0)</f>
        <v>3017</v>
      </c>
      <c r="F54" s="172">
        <f>IFERROR(__xludf.DUMMYFUNCTION("""COMPUTED_VALUE"""),193728.0)</f>
        <v>193728</v>
      </c>
      <c r="G54" s="172">
        <f>IFERROR(__xludf.DUMMYFUNCTION("""COMPUTED_VALUE"""),3127.0)</f>
        <v>3127</v>
      </c>
      <c r="H54" s="172">
        <f>IFERROR(__xludf.DUMMYFUNCTION("""COMPUTED_VALUE"""),216875.0)</f>
        <v>216875</v>
      </c>
      <c r="I54" s="236">
        <f>IFERROR(__xludf.DUMMYFUNCTION("""COMPUTED_VALUE"""),50.0)</f>
        <v>50</v>
      </c>
      <c r="J54" s="236">
        <f>IFERROR(__xludf.DUMMYFUNCTION("""COMPUTED_VALUE"""),53.0)</f>
        <v>53</v>
      </c>
      <c r="K54" s="236">
        <f>IFERROR(__xludf.DUMMYFUNCTION("""COMPUTED_VALUE"""),16166.0)</f>
        <v>16166</v>
      </c>
      <c r="L54" s="236">
        <f>IFERROR(__xludf.DUMMYFUNCTION("""COMPUTED_VALUE"""),1520.0)</f>
        <v>1520</v>
      </c>
      <c r="M54" s="236">
        <f>IFERROR(__xludf.DUMMYFUNCTION("""COMPUTED_VALUE"""),120228.0)</f>
        <v>120228</v>
      </c>
      <c r="N54" s="236">
        <f>IFERROR(__xludf.DUMMYFUNCTION("""COMPUTED_VALUE"""),136394.0)</f>
        <v>136394</v>
      </c>
      <c r="O54" s="236">
        <f>IFERROR(__xludf.DUMMYFUNCTION("""COMPUTED_VALUE"""),11.0)</f>
        <v>11</v>
      </c>
      <c r="P54" s="236">
        <f>IFERROR(__xludf.DUMMYFUNCTION("""COMPUTED_VALUE"""),1939.0)</f>
        <v>1939</v>
      </c>
      <c r="Q54" s="236">
        <f>IFERROR(__xludf.DUMMYFUNCTION("""COMPUTED_VALUE"""),9.0)</f>
        <v>9</v>
      </c>
      <c r="R54" s="236">
        <f>IFERROR(__xludf.DUMMYFUNCTION("""COMPUTED_VALUE"""),1535.0)</f>
        <v>1535</v>
      </c>
      <c r="S54" s="236">
        <f>IFERROR(__xludf.DUMMYFUNCTION("""COMPUTED_VALUE"""),1.0)</f>
        <v>1</v>
      </c>
      <c r="T54" s="236">
        <f>IFERROR(__xludf.DUMMYFUNCTION("""COMPUTED_VALUE"""),289.0)</f>
        <v>289</v>
      </c>
      <c r="U54" s="236">
        <f>IFERROR(__xludf.DUMMYFUNCTION("""COMPUTED_VALUE"""),115.0)</f>
        <v>115</v>
      </c>
      <c r="V54" s="236">
        <f>IFERROR(__xludf.DUMMYFUNCTION("""COMPUTED_VALUE"""),116.0)</f>
        <v>116</v>
      </c>
      <c r="W54" s="236">
        <f>IFERROR(__xludf.DUMMYFUNCTION("""COMPUTED_VALUE"""),22.0)</f>
        <v>22</v>
      </c>
      <c r="X54" s="236">
        <f>IFERROR(__xludf.DUMMYFUNCTION("""COMPUTED_VALUE"""),16.0)</f>
        <v>16</v>
      </c>
      <c r="Y54" s="236">
        <f>IFERROR(__xludf.DUMMYFUNCTION("""COMPUTED_VALUE"""),8.0)</f>
        <v>8</v>
      </c>
      <c r="Z54" s="236">
        <f>IFERROR(__xludf.DUMMYFUNCTION("""COMPUTED_VALUE"""),922.0)</f>
        <v>922</v>
      </c>
    </row>
    <row r="55">
      <c r="A55" s="235">
        <f>IFERROR(__xludf.DUMMYFUNCTION("""COMPUTED_VALUE"""),43999.0)</f>
        <v>43999</v>
      </c>
      <c r="B55" s="236">
        <f>IFERROR(__xludf.DUMMYFUNCTION("""COMPUTED_VALUE"""),127.0)</f>
        <v>127</v>
      </c>
      <c r="C55" s="236">
        <f>IFERROR(__xludf.DUMMYFUNCTION("""COMPUTED_VALUE"""),142.0)</f>
        <v>142</v>
      </c>
      <c r="D55" s="236">
        <f>IFERROR(__xludf.DUMMYFUNCTION("""COMPUTED_VALUE"""),23274.0)</f>
        <v>23274</v>
      </c>
      <c r="E55" s="236">
        <f>IFERROR(__xludf.DUMMYFUNCTION("""COMPUTED_VALUE"""),2835.0)</f>
        <v>2835</v>
      </c>
      <c r="F55" s="172">
        <f>IFERROR(__xludf.DUMMYFUNCTION("""COMPUTED_VALUE"""),196563.0)</f>
        <v>196563</v>
      </c>
      <c r="G55" s="172">
        <f>IFERROR(__xludf.DUMMYFUNCTION("""COMPUTED_VALUE"""),2962.0)</f>
        <v>2962</v>
      </c>
      <c r="H55" s="172">
        <f>IFERROR(__xludf.DUMMYFUNCTION("""COMPUTED_VALUE"""),219837.0)</f>
        <v>219837</v>
      </c>
      <c r="I55" s="236">
        <f>IFERROR(__xludf.DUMMYFUNCTION("""COMPUTED_VALUE"""),50.0)</f>
        <v>50</v>
      </c>
      <c r="J55" s="236">
        <f>IFERROR(__xludf.DUMMYFUNCTION("""COMPUTED_VALUE"""),58.0)</f>
        <v>58</v>
      </c>
      <c r="K55" s="236">
        <f>IFERROR(__xludf.DUMMYFUNCTION("""COMPUTED_VALUE"""),16216.0)</f>
        <v>16216</v>
      </c>
      <c r="L55" s="236">
        <f>IFERROR(__xludf.DUMMYFUNCTION("""COMPUTED_VALUE"""),1299.0)</f>
        <v>1299</v>
      </c>
      <c r="M55" s="236">
        <f>IFERROR(__xludf.DUMMYFUNCTION("""COMPUTED_VALUE"""),121527.0)</f>
        <v>121527</v>
      </c>
      <c r="N55" s="236">
        <f>IFERROR(__xludf.DUMMYFUNCTION("""COMPUTED_VALUE"""),137743.0)</f>
        <v>137743</v>
      </c>
      <c r="O55" s="236">
        <f>IFERROR(__xludf.DUMMYFUNCTION("""COMPUTED_VALUE"""),15.0)</f>
        <v>15</v>
      </c>
      <c r="P55" s="236">
        <f>IFERROR(__xludf.DUMMYFUNCTION("""COMPUTED_VALUE"""),1954.0)</f>
        <v>1954</v>
      </c>
      <c r="Q55" s="236">
        <f>IFERROR(__xludf.DUMMYFUNCTION("""COMPUTED_VALUE"""),21.0)</f>
        <v>21</v>
      </c>
      <c r="R55" s="236">
        <f>IFERROR(__xludf.DUMMYFUNCTION("""COMPUTED_VALUE"""),1556.0)</f>
        <v>1556</v>
      </c>
      <c r="S55" s="236">
        <f>IFERROR(__xludf.DUMMYFUNCTION("""COMPUTED_VALUE"""),4.0)</f>
        <v>4</v>
      </c>
      <c r="T55" s="236">
        <f>IFERROR(__xludf.DUMMYFUNCTION("""COMPUTED_VALUE"""),293.0)</f>
        <v>293</v>
      </c>
      <c r="U55" s="236">
        <f>IFERROR(__xludf.DUMMYFUNCTION("""COMPUTED_VALUE"""),105.0)</f>
        <v>105</v>
      </c>
      <c r="V55" s="236">
        <f>IFERROR(__xludf.DUMMYFUNCTION("""COMPUTED_VALUE"""),111.0)</f>
        <v>111</v>
      </c>
      <c r="W55" s="236">
        <f>IFERROR(__xludf.DUMMYFUNCTION("""COMPUTED_VALUE"""),18.0)</f>
        <v>18</v>
      </c>
      <c r="X55" s="236">
        <f>IFERROR(__xludf.DUMMYFUNCTION("""COMPUTED_VALUE"""),14.0)</f>
        <v>14</v>
      </c>
      <c r="Y55" s="236">
        <f>IFERROR(__xludf.DUMMYFUNCTION("""COMPUTED_VALUE"""),6.0)</f>
        <v>6</v>
      </c>
      <c r="Z55" s="236">
        <f>IFERROR(__xludf.DUMMYFUNCTION("""COMPUTED_VALUE"""),928.0)</f>
        <v>928</v>
      </c>
    </row>
    <row r="56">
      <c r="A56" s="235">
        <f>IFERROR(__xludf.DUMMYFUNCTION("""COMPUTED_VALUE"""),44000.0)</f>
        <v>44000</v>
      </c>
      <c r="B56" s="236">
        <f>IFERROR(__xludf.DUMMYFUNCTION("""COMPUTED_VALUE"""),149.0)</f>
        <v>149</v>
      </c>
      <c r="C56" s="236">
        <f>IFERROR(__xludf.DUMMYFUNCTION("""COMPUTED_VALUE"""),129.0)</f>
        <v>129</v>
      </c>
      <c r="D56" s="236">
        <f>IFERROR(__xludf.DUMMYFUNCTION("""COMPUTED_VALUE"""),23423.0)</f>
        <v>23423</v>
      </c>
      <c r="E56" s="236">
        <f>IFERROR(__xludf.DUMMYFUNCTION("""COMPUTED_VALUE"""),3048.0)</f>
        <v>3048</v>
      </c>
      <c r="F56" s="172">
        <f>IFERROR(__xludf.DUMMYFUNCTION("""COMPUTED_VALUE"""),199611.0)</f>
        <v>199611</v>
      </c>
      <c r="G56" s="172">
        <f>IFERROR(__xludf.DUMMYFUNCTION("""COMPUTED_VALUE"""),3197.0)</f>
        <v>3197</v>
      </c>
      <c r="H56" s="172">
        <f>IFERROR(__xludf.DUMMYFUNCTION("""COMPUTED_VALUE"""),223034.0)</f>
        <v>223034</v>
      </c>
      <c r="I56" s="236">
        <f>IFERROR(__xludf.DUMMYFUNCTION("""COMPUTED_VALUE"""),70.0)</f>
        <v>70</v>
      </c>
      <c r="J56" s="236">
        <f>IFERROR(__xludf.DUMMYFUNCTION("""COMPUTED_VALUE"""),57.0)</f>
        <v>57</v>
      </c>
      <c r="K56" s="236">
        <f>IFERROR(__xludf.DUMMYFUNCTION("""COMPUTED_VALUE"""),16286.0)</f>
        <v>16286</v>
      </c>
      <c r="L56" s="236">
        <f>IFERROR(__xludf.DUMMYFUNCTION("""COMPUTED_VALUE"""),1306.0)</f>
        <v>1306</v>
      </c>
      <c r="M56" s="236">
        <f>IFERROR(__xludf.DUMMYFUNCTION("""COMPUTED_VALUE"""),122833.0)</f>
        <v>122833</v>
      </c>
      <c r="N56" s="236">
        <f>IFERROR(__xludf.DUMMYFUNCTION("""COMPUTED_VALUE"""),139119.0)</f>
        <v>139119</v>
      </c>
      <c r="O56" s="236">
        <f>IFERROR(__xludf.DUMMYFUNCTION("""COMPUTED_VALUE"""),9.0)</f>
        <v>9</v>
      </c>
      <c r="P56" s="236">
        <f>IFERROR(__xludf.DUMMYFUNCTION("""COMPUTED_VALUE"""),1963.0)</f>
        <v>1963</v>
      </c>
      <c r="Q56" s="236">
        <f>IFERROR(__xludf.DUMMYFUNCTION("""COMPUTED_VALUE"""),15.0)</f>
        <v>15</v>
      </c>
      <c r="R56" s="236">
        <f>IFERROR(__xludf.DUMMYFUNCTION("""COMPUTED_VALUE"""),1571.0)</f>
        <v>1571</v>
      </c>
      <c r="S56" s="236">
        <f>IFERROR(__xludf.DUMMYFUNCTION("""COMPUTED_VALUE"""),1.0)</f>
        <v>1</v>
      </c>
      <c r="T56" s="236">
        <f>IFERROR(__xludf.DUMMYFUNCTION("""COMPUTED_VALUE"""),294.0)</f>
        <v>294</v>
      </c>
      <c r="U56" s="236">
        <f>IFERROR(__xludf.DUMMYFUNCTION("""COMPUTED_VALUE"""),98.0)</f>
        <v>98</v>
      </c>
      <c r="V56" s="236">
        <f>IFERROR(__xludf.DUMMYFUNCTION("""COMPUTED_VALUE"""),106.0)</f>
        <v>106</v>
      </c>
      <c r="W56" s="236">
        <f>IFERROR(__xludf.DUMMYFUNCTION("""COMPUTED_VALUE"""),19.0)</f>
        <v>19</v>
      </c>
      <c r="X56" s="236">
        <f>IFERROR(__xludf.DUMMYFUNCTION("""COMPUTED_VALUE"""),16.0)</f>
        <v>16</v>
      </c>
      <c r="Y56" s="236">
        <f>IFERROR(__xludf.DUMMYFUNCTION("""COMPUTED_VALUE"""),7.0)</f>
        <v>7</v>
      </c>
      <c r="Z56" s="236">
        <f>IFERROR(__xludf.DUMMYFUNCTION("""COMPUTED_VALUE"""),935.0)</f>
        <v>935</v>
      </c>
    </row>
    <row r="57">
      <c r="A57" s="235">
        <f>IFERROR(__xludf.DUMMYFUNCTION("""COMPUTED_VALUE"""),44001.0)</f>
        <v>44001</v>
      </c>
      <c r="B57" s="236">
        <f>IFERROR(__xludf.DUMMYFUNCTION("""COMPUTED_VALUE"""),141.0)</f>
        <v>141</v>
      </c>
      <c r="C57" s="236">
        <f>IFERROR(__xludf.DUMMYFUNCTION("""COMPUTED_VALUE"""),139.0)</f>
        <v>139</v>
      </c>
      <c r="D57" s="236">
        <f>IFERROR(__xludf.DUMMYFUNCTION("""COMPUTED_VALUE"""),23564.0)</f>
        <v>23564</v>
      </c>
      <c r="E57" s="236">
        <f>IFERROR(__xludf.DUMMYFUNCTION("""COMPUTED_VALUE"""),3769.0)</f>
        <v>3769</v>
      </c>
      <c r="F57" s="172">
        <f>IFERROR(__xludf.DUMMYFUNCTION("""COMPUTED_VALUE"""),203380.0)</f>
        <v>203380</v>
      </c>
      <c r="G57" s="172">
        <f>IFERROR(__xludf.DUMMYFUNCTION("""COMPUTED_VALUE"""),3910.0)</f>
        <v>3910</v>
      </c>
      <c r="H57" s="172">
        <f>IFERROR(__xludf.DUMMYFUNCTION("""COMPUTED_VALUE"""),226944.0)</f>
        <v>226944</v>
      </c>
      <c r="I57" s="236">
        <f>IFERROR(__xludf.DUMMYFUNCTION("""COMPUTED_VALUE"""),59.0)</f>
        <v>59</v>
      </c>
      <c r="J57" s="236">
        <f>IFERROR(__xludf.DUMMYFUNCTION("""COMPUTED_VALUE"""),60.0)</f>
        <v>60</v>
      </c>
      <c r="K57" s="236">
        <f>IFERROR(__xludf.DUMMYFUNCTION("""COMPUTED_VALUE"""),16345.0)</f>
        <v>16345</v>
      </c>
      <c r="L57" s="236">
        <f>IFERROR(__xludf.DUMMYFUNCTION("""COMPUTED_VALUE"""),1348.0)</f>
        <v>1348</v>
      </c>
      <c r="M57" s="236">
        <f>IFERROR(__xludf.DUMMYFUNCTION("""COMPUTED_VALUE"""),124181.0)</f>
        <v>124181</v>
      </c>
      <c r="N57" s="236">
        <f>IFERROR(__xludf.DUMMYFUNCTION("""COMPUTED_VALUE"""),140526.0)</f>
        <v>140526</v>
      </c>
      <c r="O57" s="236">
        <f>IFERROR(__xludf.DUMMYFUNCTION("""COMPUTED_VALUE"""),12.0)</f>
        <v>12</v>
      </c>
      <c r="P57" s="236">
        <f>IFERROR(__xludf.DUMMYFUNCTION("""COMPUTED_VALUE"""),1975.0)</f>
        <v>1975</v>
      </c>
      <c r="Q57" s="236">
        <f>IFERROR(__xludf.DUMMYFUNCTION("""COMPUTED_VALUE"""),12.0)</f>
        <v>12</v>
      </c>
      <c r="R57" s="236">
        <f>IFERROR(__xludf.DUMMYFUNCTION("""COMPUTED_VALUE"""),1583.0)</f>
        <v>1583</v>
      </c>
      <c r="S57" s="236">
        <f>IFERROR(__xludf.DUMMYFUNCTION("""COMPUTED_VALUE"""),1.0)</f>
        <v>1</v>
      </c>
      <c r="T57" s="236">
        <f>IFERROR(__xludf.DUMMYFUNCTION("""COMPUTED_VALUE"""),295.0)</f>
        <v>295</v>
      </c>
      <c r="U57" s="236">
        <f>IFERROR(__xludf.DUMMYFUNCTION("""COMPUTED_VALUE"""),97.0)</f>
        <v>97</v>
      </c>
      <c r="V57" s="236">
        <f>IFERROR(__xludf.DUMMYFUNCTION("""COMPUTED_VALUE"""),100.0)</f>
        <v>100</v>
      </c>
      <c r="W57" s="236">
        <f>IFERROR(__xludf.DUMMYFUNCTION("""COMPUTED_VALUE"""),20.0)</f>
        <v>20</v>
      </c>
      <c r="X57" s="236">
        <f>IFERROR(__xludf.DUMMYFUNCTION("""COMPUTED_VALUE"""),17.0)</f>
        <v>17</v>
      </c>
      <c r="Y57" s="236">
        <f>IFERROR(__xludf.DUMMYFUNCTION("""COMPUTED_VALUE"""),3.0)</f>
        <v>3</v>
      </c>
      <c r="Z57" s="236">
        <f>IFERROR(__xludf.DUMMYFUNCTION("""COMPUTED_VALUE"""),938.0)</f>
        <v>938</v>
      </c>
    </row>
    <row r="58">
      <c r="A58" s="235">
        <f>IFERROR(__xludf.DUMMYFUNCTION("""COMPUTED_VALUE"""),44002.0)</f>
        <v>44002</v>
      </c>
      <c r="B58" s="236">
        <f>IFERROR(__xludf.DUMMYFUNCTION("""COMPUTED_VALUE"""),84.0)</f>
        <v>84</v>
      </c>
      <c r="C58" s="236">
        <f>IFERROR(__xludf.DUMMYFUNCTION("""COMPUTED_VALUE"""),125.0)</f>
        <v>125</v>
      </c>
      <c r="D58" s="236">
        <f>IFERROR(__xludf.DUMMYFUNCTION("""COMPUTED_VALUE"""),23648.0)</f>
        <v>23648</v>
      </c>
      <c r="E58" s="236">
        <f>IFERROR(__xludf.DUMMYFUNCTION("""COMPUTED_VALUE"""),1891.0)</f>
        <v>1891</v>
      </c>
      <c r="F58" s="172">
        <f>IFERROR(__xludf.DUMMYFUNCTION("""COMPUTED_VALUE"""),205271.0)</f>
        <v>205271</v>
      </c>
      <c r="G58" s="172">
        <f>IFERROR(__xludf.DUMMYFUNCTION("""COMPUTED_VALUE"""),1975.0)</f>
        <v>1975</v>
      </c>
      <c r="H58" s="172">
        <f>IFERROR(__xludf.DUMMYFUNCTION("""COMPUTED_VALUE"""),228919.0)</f>
        <v>228919</v>
      </c>
      <c r="I58" s="236">
        <f>IFERROR(__xludf.DUMMYFUNCTION("""COMPUTED_VALUE"""),36.0)</f>
        <v>36</v>
      </c>
      <c r="J58" s="236">
        <f>IFERROR(__xludf.DUMMYFUNCTION("""COMPUTED_VALUE"""),55.0)</f>
        <v>55</v>
      </c>
      <c r="K58" s="236">
        <f>IFERROR(__xludf.DUMMYFUNCTION("""COMPUTED_VALUE"""),16381.0)</f>
        <v>16381</v>
      </c>
      <c r="L58" s="236">
        <f>IFERROR(__xludf.DUMMYFUNCTION("""COMPUTED_VALUE"""),809.0)</f>
        <v>809</v>
      </c>
      <c r="M58" s="236">
        <f>IFERROR(__xludf.DUMMYFUNCTION("""COMPUTED_VALUE"""),124990.0)</f>
        <v>124990</v>
      </c>
      <c r="N58" s="236">
        <f>IFERROR(__xludf.DUMMYFUNCTION("""COMPUTED_VALUE"""),141371.0)</f>
        <v>141371</v>
      </c>
      <c r="O58" s="236">
        <f>IFERROR(__xludf.DUMMYFUNCTION("""COMPUTED_VALUE"""),9.0)</f>
        <v>9</v>
      </c>
      <c r="P58" s="236">
        <f>IFERROR(__xludf.DUMMYFUNCTION("""COMPUTED_VALUE"""),1984.0)</f>
        <v>1984</v>
      </c>
      <c r="Q58" s="236">
        <f>IFERROR(__xludf.DUMMYFUNCTION("""COMPUTED_VALUE"""),12.0)</f>
        <v>12</v>
      </c>
      <c r="R58" s="236">
        <f>IFERROR(__xludf.DUMMYFUNCTION("""COMPUTED_VALUE"""),1595.0)</f>
        <v>1595</v>
      </c>
      <c r="S58" s="236">
        <f>IFERROR(__xludf.DUMMYFUNCTION("""COMPUTED_VALUE"""),0.0)</f>
        <v>0</v>
      </c>
      <c r="T58" s="236">
        <f>IFERROR(__xludf.DUMMYFUNCTION("""COMPUTED_VALUE"""),295.0)</f>
        <v>295</v>
      </c>
      <c r="U58" s="236">
        <f>IFERROR(__xludf.DUMMYFUNCTION("""COMPUTED_VALUE"""),94.0)</f>
        <v>94</v>
      </c>
      <c r="V58" s="236">
        <f>IFERROR(__xludf.DUMMYFUNCTION("""COMPUTED_VALUE"""),96.0)</f>
        <v>96</v>
      </c>
      <c r="W58" s="236">
        <f>IFERROR(__xludf.DUMMYFUNCTION("""COMPUTED_VALUE"""),20.0)</f>
        <v>20</v>
      </c>
      <c r="X58" s="236">
        <f>IFERROR(__xludf.DUMMYFUNCTION("""COMPUTED_VALUE"""),18.0)</f>
        <v>18</v>
      </c>
      <c r="Y58" s="236">
        <f>IFERROR(__xludf.DUMMYFUNCTION("""COMPUTED_VALUE"""),4.0)</f>
        <v>4</v>
      </c>
      <c r="Z58" s="236">
        <f>IFERROR(__xludf.DUMMYFUNCTION("""COMPUTED_VALUE"""),942.0)</f>
        <v>942</v>
      </c>
    </row>
    <row r="59">
      <c r="A59" s="235">
        <f>IFERROR(__xludf.DUMMYFUNCTION("""COMPUTED_VALUE"""),44003.0)</f>
        <v>44003</v>
      </c>
      <c r="B59" s="236">
        <f>IFERROR(__xludf.DUMMYFUNCTION("""COMPUTED_VALUE"""),37.0)</f>
        <v>37</v>
      </c>
      <c r="C59" s="236">
        <f>IFERROR(__xludf.DUMMYFUNCTION("""COMPUTED_VALUE"""),87.0)</f>
        <v>87</v>
      </c>
      <c r="D59" s="236">
        <f>IFERROR(__xludf.DUMMYFUNCTION("""COMPUTED_VALUE"""),23685.0)</f>
        <v>23685</v>
      </c>
      <c r="E59" s="236">
        <f>IFERROR(__xludf.DUMMYFUNCTION("""COMPUTED_VALUE"""),1064.0)</f>
        <v>1064</v>
      </c>
      <c r="F59" s="172">
        <f>IFERROR(__xludf.DUMMYFUNCTION("""COMPUTED_VALUE"""),206335.0)</f>
        <v>206335</v>
      </c>
      <c r="G59" s="172">
        <f>IFERROR(__xludf.DUMMYFUNCTION("""COMPUTED_VALUE"""),1101.0)</f>
        <v>1101</v>
      </c>
      <c r="H59" s="172">
        <f>IFERROR(__xludf.DUMMYFUNCTION("""COMPUTED_VALUE"""),230020.0)</f>
        <v>230020</v>
      </c>
      <c r="I59" s="236">
        <f>IFERROR(__xludf.DUMMYFUNCTION("""COMPUTED_VALUE"""),30.0)</f>
        <v>30</v>
      </c>
      <c r="J59" s="236">
        <f>IFERROR(__xludf.DUMMYFUNCTION("""COMPUTED_VALUE"""),42.0)</f>
        <v>42</v>
      </c>
      <c r="K59" s="236">
        <f>IFERROR(__xludf.DUMMYFUNCTION("""COMPUTED_VALUE"""),16411.0)</f>
        <v>16411</v>
      </c>
      <c r="L59" s="236">
        <f>IFERROR(__xludf.DUMMYFUNCTION("""COMPUTED_VALUE"""),685.0)</f>
        <v>685</v>
      </c>
      <c r="M59" s="236">
        <f>IFERROR(__xludf.DUMMYFUNCTION("""COMPUTED_VALUE"""),125675.0)</f>
        <v>125675</v>
      </c>
      <c r="N59" s="236">
        <f>IFERROR(__xludf.DUMMYFUNCTION("""COMPUTED_VALUE"""),142086.0)</f>
        <v>142086</v>
      </c>
      <c r="O59" s="236">
        <f>IFERROR(__xludf.DUMMYFUNCTION("""COMPUTED_VALUE"""),8.0)</f>
        <v>8</v>
      </c>
      <c r="P59" s="236">
        <f>IFERROR(__xludf.DUMMYFUNCTION("""COMPUTED_VALUE"""),1992.0)</f>
        <v>1992</v>
      </c>
      <c r="Q59" s="236">
        <f>IFERROR(__xludf.DUMMYFUNCTION("""COMPUTED_VALUE"""),5.0)</f>
        <v>5</v>
      </c>
      <c r="R59" s="236">
        <f>IFERROR(__xludf.DUMMYFUNCTION("""COMPUTED_VALUE"""),1600.0)</f>
        <v>1600</v>
      </c>
      <c r="S59" s="236">
        <f>IFERROR(__xludf.DUMMYFUNCTION("""COMPUTED_VALUE"""),0.0)</f>
        <v>0</v>
      </c>
      <c r="T59" s="236">
        <f>IFERROR(__xludf.DUMMYFUNCTION("""COMPUTED_VALUE"""),295.0)</f>
        <v>295</v>
      </c>
      <c r="U59" s="236">
        <f>IFERROR(__xludf.DUMMYFUNCTION("""COMPUTED_VALUE"""),97.0)</f>
        <v>97</v>
      </c>
      <c r="V59" s="236">
        <f>IFERROR(__xludf.DUMMYFUNCTION("""COMPUTED_VALUE"""),96.0)</f>
        <v>96</v>
      </c>
      <c r="W59" s="236">
        <f>IFERROR(__xludf.DUMMYFUNCTION("""COMPUTED_VALUE"""),20.0)</f>
        <v>20</v>
      </c>
      <c r="X59" s="236">
        <f>IFERROR(__xludf.DUMMYFUNCTION("""COMPUTED_VALUE"""),18.0)</f>
        <v>18</v>
      </c>
      <c r="Y59" s="236">
        <f>IFERROR(__xludf.DUMMYFUNCTION("""COMPUTED_VALUE"""),2.0)</f>
        <v>2</v>
      </c>
      <c r="Z59" s="236">
        <f>IFERROR(__xludf.DUMMYFUNCTION("""COMPUTED_VALUE"""),944.0)</f>
        <v>944</v>
      </c>
    </row>
    <row r="60">
      <c r="A60" s="235">
        <f>IFERROR(__xludf.DUMMYFUNCTION("""COMPUTED_VALUE"""),44004.0)</f>
        <v>44004</v>
      </c>
      <c r="B60" s="236">
        <f>IFERROR(__xludf.DUMMYFUNCTION("""COMPUTED_VALUE"""),138.0)</f>
        <v>138</v>
      </c>
      <c r="C60" s="236">
        <f>IFERROR(__xludf.DUMMYFUNCTION("""COMPUTED_VALUE"""),86.0)</f>
        <v>86</v>
      </c>
      <c r="D60" s="236">
        <f>IFERROR(__xludf.DUMMYFUNCTION("""COMPUTED_VALUE"""),23823.0)</f>
        <v>23823</v>
      </c>
      <c r="E60" s="236">
        <f>IFERROR(__xludf.DUMMYFUNCTION("""COMPUTED_VALUE"""),3730.0)</f>
        <v>3730</v>
      </c>
      <c r="F60" s="172">
        <f>IFERROR(__xludf.DUMMYFUNCTION("""COMPUTED_VALUE"""),210065.0)</f>
        <v>210065</v>
      </c>
      <c r="G60" s="172">
        <f>IFERROR(__xludf.DUMMYFUNCTION("""COMPUTED_VALUE"""),3868.0)</f>
        <v>3868</v>
      </c>
      <c r="H60" s="172">
        <f>IFERROR(__xludf.DUMMYFUNCTION("""COMPUTED_VALUE"""),233888.0)</f>
        <v>233888</v>
      </c>
      <c r="I60" s="236">
        <f>IFERROR(__xludf.DUMMYFUNCTION("""COMPUTED_VALUE"""),65.0)</f>
        <v>65</v>
      </c>
      <c r="J60" s="236">
        <f>IFERROR(__xludf.DUMMYFUNCTION("""COMPUTED_VALUE"""),44.0)</f>
        <v>44</v>
      </c>
      <c r="K60" s="236">
        <f>IFERROR(__xludf.DUMMYFUNCTION("""COMPUTED_VALUE"""),16476.0)</f>
        <v>16476</v>
      </c>
      <c r="L60" s="236">
        <f>IFERROR(__xludf.DUMMYFUNCTION("""COMPUTED_VALUE"""),1692.0)</f>
        <v>1692</v>
      </c>
      <c r="M60" s="236">
        <f>IFERROR(__xludf.DUMMYFUNCTION("""COMPUTED_VALUE"""),127367.0)</f>
        <v>127367</v>
      </c>
      <c r="N60" s="236">
        <f>IFERROR(__xludf.DUMMYFUNCTION("""COMPUTED_VALUE"""),143843.0)</f>
        <v>143843</v>
      </c>
      <c r="O60" s="236">
        <f>IFERROR(__xludf.DUMMYFUNCTION("""COMPUTED_VALUE"""),12.0)</f>
        <v>12</v>
      </c>
      <c r="P60" s="236">
        <f>IFERROR(__xludf.DUMMYFUNCTION("""COMPUTED_VALUE"""),2004.0)</f>
        <v>2004</v>
      </c>
      <c r="Q60" s="236">
        <f>IFERROR(__xludf.DUMMYFUNCTION("""COMPUTED_VALUE"""),17.0)</f>
        <v>17</v>
      </c>
      <c r="R60" s="236">
        <f>IFERROR(__xludf.DUMMYFUNCTION("""COMPUTED_VALUE"""),1617.0)</f>
        <v>1617</v>
      </c>
      <c r="S60" s="236">
        <f>IFERROR(__xludf.DUMMYFUNCTION("""COMPUTED_VALUE"""),0.0)</f>
        <v>0</v>
      </c>
      <c r="T60" s="236">
        <f>IFERROR(__xludf.DUMMYFUNCTION("""COMPUTED_VALUE"""),295.0)</f>
        <v>295</v>
      </c>
      <c r="U60" s="236">
        <f>IFERROR(__xludf.DUMMYFUNCTION("""COMPUTED_VALUE"""),92.0)</f>
        <v>92</v>
      </c>
      <c r="V60" s="236">
        <f>IFERROR(__xludf.DUMMYFUNCTION("""COMPUTED_VALUE"""),94.0)</f>
        <v>94</v>
      </c>
      <c r="W60" s="236">
        <f>IFERROR(__xludf.DUMMYFUNCTION("""COMPUTED_VALUE"""),19.0)</f>
        <v>19</v>
      </c>
      <c r="X60" s="236">
        <f>IFERROR(__xludf.DUMMYFUNCTION("""COMPUTED_VALUE"""),18.0)</f>
        <v>18</v>
      </c>
      <c r="Y60" s="236">
        <f>IFERROR(__xludf.DUMMYFUNCTION("""COMPUTED_VALUE"""),2.0)</f>
        <v>2</v>
      </c>
      <c r="Z60" s="236">
        <f>IFERROR(__xludf.DUMMYFUNCTION("""COMPUTED_VALUE"""),946.0)</f>
        <v>946</v>
      </c>
    </row>
    <row r="61">
      <c r="A61" s="235">
        <f>IFERROR(__xludf.DUMMYFUNCTION("""COMPUTED_VALUE"""),44005.0)</f>
        <v>44005</v>
      </c>
      <c r="B61" s="236">
        <f>IFERROR(__xludf.DUMMYFUNCTION("""COMPUTED_VALUE"""),163.0)</f>
        <v>163</v>
      </c>
      <c r="C61" s="236">
        <f>IFERROR(__xludf.DUMMYFUNCTION("""COMPUTED_VALUE"""),113.0)</f>
        <v>113</v>
      </c>
      <c r="D61" s="236">
        <f>IFERROR(__xludf.DUMMYFUNCTION("""COMPUTED_VALUE"""),23986.0)</f>
        <v>23986</v>
      </c>
      <c r="E61" s="236">
        <f>IFERROR(__xludf.DUMMYFUNCTION("""COMPUTED_VALUE"""),3831.0)</f>
        <v>3831</v>
      </c>
      <c r="F61" s="172">
        <f>IFERROR(__xludf.DUMMYFUNCTION("""COMPUTED_VALUE"""),213896.0)</f>
        <v>213896</v>
      </c>
      <c r="G61" s="172">
        <f>IFERROR(__xludf.DUMMYFUNCTION("""COMPUTED_VALUE"""),3994.0)</f>
        <v>3994</v>
      </c>
      <c r="H61" s="172">
        <f>IFERROR(__xludf.DUMMYFUNCTION("""COMPUTED_VALUE"""),237882.0)</f>
        <v>237882</v>
      </c>
      <c r="I61" s="236">
        <f>IFERROR(__xludf.DUMMYFUNCTION("""COMPUTED_VALUE"""),82.0)</f>
        <v>82</v>
      </c>
      <c r="J61" s="236">
        <f>IFERROR(__xludf.DUMMYFUNCTION("""COMPUTED_VALUE"""),59.0)</f>
        <v>59</v>
      </c>
      <c r="K61" s="236">
        <f>IFERROR(__xludf.DUMMYFUNCTION("""COMPUTED_VALUE"""),16558.0)</f>
        <v>16558</v>
      </c>
      <c r="L61" s="236">
        <f>IFERROR(__xludf.DUMMYFUNCTION("""COMPUTED_VALUE"""),1763.0)</f>
        <v>1763</v>
      </c>
      <c r="M61" s="236">
        <f>IFERROR(__xludf.DUMMYFUNCTION("""COMPUTED_VALUE"""),129130.0)</f>
        <v>129130</v>
      </c>
      <c r="N61" s="236">
        <f>IFERROR(__xludf.DUMMYFUNCTION("""COMPUTED_VALUE"""),145688.0)</f>
        <v>145688</v>
      </c>
      <c r="O61" s="236">
        <f>IFERROR(__xludf.DUMMYFUNCTION("""COMPUTED_VALUE"""),3.0)</f>
        <v>3</v>
      </c>
      <c r="P61" s="236">
        <f>IFERROR(__xludf.DUMMYFUNCTION("""COMPUTED_VALUE"""),2007.0)</f>
        <v>2007</v>
      </c>
      <c r="Q61" s="236">
        <f>IFERROR(__xludf.DUMMYFUNCTION("""COMPUTED_VALUE"""),13.0)</f>
        <v>13</v>
      </c>
      <c r="R61" s="236">
        <f>IFERROR(__xludf.DUMMYFUNCTION("""COMPUTED_VALUE"""),1630.0)</f>
        <v>1630</v>
      </c>
      <c r="S61" s="236">
        <f>IFERROR(__xludf.DUMMYFUNCTION("""COMPUTED_VALUE"""),3.0)</f>
        <v>3</v>
      </c>
      <c r="T61" s="236">
        <f>IFERROR(__xludf.DUMMYFUNCTION("""COMPUTED_VALUE"""),298.0)</f>
        <v>298</v>
      </c>
      <c r="U61" s="236">
        <f>IFERROR(__xludf.DUMMYFUNCTION("""COMPUTED_VALUE"""),79.0)</f>
        <v>79</v>
      </c>
      <c r="V61" s="236">
        <f>IFERROR(__xludf.DUMMYFUNCTION("""COMPUTED_VALUE"""),89.0)</f>
        <v>89</v>
      </c>
      <c r="W61" s="236">
        <f>IFERROR(__xludf.DUMMYFUNCTION("""COMPUTED_VALUE"""),18.0)</f>
        <v>18</v>
      </c>
      <c r="X61" s="236">
        <f>IFERROR(__xludf.DUMMYFUNCTION("""COMPUTED_VALUE"""),18.0)</f>
        <v>18</v>
      </c>
      <c r="Y61" s="236">
        <f>IFERROR(__xludf.DUMMYFUNCTION("""COMPUTED_VALUE"""),7.0)</f>
        <v>7</v>
      </c>
      <c r="Z61" s="236">
        <f>IFERROR(__xludf.DUMMYFUNCTION("""COMPUTED_VALUE"""),953.0)</f>
        <v>953</v>
      </c>
    </row>
    <row r="62">
      <c r="A62" s="235">
        <f>IFERROR(__xludf.DUMMYFUNCTION("""COMPUTED_VALUE"""),44006.0)</f>
        <v>44006</v>
      </c>
      <c r="B62" s="236">
        <f>IFERROR(__xludf.DUMMYFUNCTION("""COMPUTED_VALUE"""),120.0)</f>
        <v>120</v>
      </c>
      <c r="C62" s="236">
        <f>IFERROR(__xludf.DUMMYFUNCTION("""COMPUTED_VALUE"""),140.0)</f>
        <v>140</v>
      </c>
      <c r="D62" s="236">
        <f>IFERROR(__xludf.DUMMYFUNCTION("""COMPUTED_VALUE"""),24106.0)</f>
        <v>24106</v>
      </c>
      <c r="E62" s="236">
        <f>IFERROR(__xludf.DUMMYFUNCTION("""COMPUTED_VALUE"""),3502.0)</f>
        <v>3502</v>
      </c>
      <c r="F62" s="172">
        <f>IFERROR(__xludf.DUMMYFUNCTION("""COMPUTED_VALUE"""),217398.0)</f>
        <v>217398</v>
      </c>
      <c r="G62" s="172">
        <f>IFERROR(__xludf.DUMMYFUNCTION("""COMPUTED_VALUE"""),3622.0)</f>
        <v>3622</v>
      </c>
      <c r="H62" s="172">
        <f>IFERROR(__xludf.DUMMYFUNCTION("""COMPUTED_VALUE"""),241504.0)</f>
        <v>241504</v>
      </c>
      <c r="I62" s="236">
        <f>IFERROR(__xludf.DUMMYFUNCTION("""COMPUTED_VALUE"""),44.0)</f>
        <v>44</v>
      </c>
      <c r="J62" s="236">
        <f>IFERROR(__xludf.DUMMYFUNCTION("""COMPUTED_VALUE"""),64.0)</f>
        <v>64</v>
      </c>
      <c r="K62" s="236">
        <f>IFERROR(__xludf.DUMMYFUNCTION("""COMPUTED_VALUE"""),16602.0)</f>
        <v>16602</v>
      </c>
      <c r="L62" s="236">
        <f>IFERROR(__xludf.DUMMYFUNCTION("""COMPUTED_VALUE"""),1667.0)</f>
        <v>1667</v>
      </c>
      <c r="M62" s="236">
        <f>IFERROR(__xludf.DUMMYFUNCTION("""COMPUTED_VALUE"""),130797.0)</f>
        <v>130797</v>
      </c>
      <c r="N62" s="236">
        <f>IFERROR(__xludf.DUMMYFUNCTION("""COMPUTED_VALUE"""),147399.0)</f>
        <v>147399</v>
      </c>
      <c r="O62" s="236">
        <f>IFERROR(__xludf.DUMMYFUNCTION("""COMPUTED_VALUE"""),9.0)</f>
        <v>9</v>
      </c>
      <c r="P62" s="236">
        <f>IFERROR(__xludf.DUMMYFUNCTION("""COMPUTED_VALUE"""),2016.0)</f>
        <v>2016</v>
      </c>
      <c r="Q62" s="236">
        <f>IFERROR(__xludf.DUMMYFUNCTION("""COMPUTED_VALUE"""),11.0)</f>
        <v>11</v>
      </c>
      <c r="R62" s="236">
        <f>IFERROR(__xludf.DUMMYFUNCTION("""COMPUTED_VALUE"""),1641.0)</f>
        <v>1641</v>
      </c>
      <c r="S62" s="236">
        <f>IFERROR(__xludf.DUMMYFUNCTION("""COMPUTED_VALUE"""),1.0)</f>
        <v>1</v>
      </c>
      <c r="T62" s="236">
        <f>IFERROR(__xludf.DUMMYFUNCTION("""COMPUTED_VALUE"""),299.0)</f>
        <v>299</v>
      </c>
      <c r="U62" s="236">
        <f>IFERROR(__xludf.DUMMYFUNCTION("""COMPUTED_VALUE"""),76.0)</f>
        <v>76</v>
      </c>
      <c r="V62" s="236">
        <f>IFERROR(__xludf.DUMMYFUNCTION("""COMPUTED_VALUE"""),82.0)</f>
        <v>82</v>
      </c>
      <c r="W62" s="236">
        <f>IFERROR(__xludf.DUMMYFUNCTION("""COMPUTED_VALUE"""),18.0)</f>
        <v>18</v>
      </c>
      <c r="X62" s="236">
        <f>IFERROR(__xludf.DUMMYFUNCTION("""COMPUTED_VALUE"""),18.0)</f>
        <v>18</v>
      </c>
      <c r="Y62" s="236">
        <f>IFERROR(__xludf.DUMMYFUNCTION("""COMPUTED_VALUE"""),5.0)</f>
        <v>5</v>
      </c>
      <c r="Z62" s="236">
        <f>IFERROR(__xludf.DUMMYFUNCTION("""COMPUTED_VALUE"""),958.0)</f>
        <v>958</v>
      </c>
    </row>
    <row r="63">
      <c r="A63" s="235">
        <f>IFERROR(__xludf.DUMMYFUNCTION("""COMPUTED_VALUE"""),44007.0)</f>
        <v>44007</v>
      </c>
      <c r="B63" s="236">
        <f>IFERROR(__xludf.DUMMYFUNCTION("""COMPUTED_VALUE"""),103.0)</f>
        <v>103</v>
      </c>
      <c r="C63" s="236">
        <f>IFERROR(__xludf.DUMMYFUNCTION("""COMPUTED_VALUE"""),129.0)</f>
        <v>129</v>
      </c>
      <c r="D63" s="236">
        <f>IFERROR(__xludf.DUMMYFUNCTION("""COMPUTED_VALUE"""),24209.0)</f>
        <v>24209</v>
      </c>
      <c r="E63" s="236">
        <f>IFERROR(__xludf.DUMMYFUNCTION("""COMPUTED_VALUE"""),2883.0)</f>
        <v>2883</v>
      </c>
      <c r="F63" s="172">
        <f>IFERROR(__xludf.DUMMYFUNCTION("""COMPUTED_VALUE"""),220281.0)</f>
        <v>220281</v>
      </c>
      <c r="G63" s="172">
        <f>IFERROR(__xludf.DUMMYFUNCTION("""COMPUTED_VALUE"""),2986.0)</f>
        <v>2986</v>
      </c>
      <c r="H63" s="172">
        <f>IFERROR(__xludf.DUMMYFUNCTION("""COMPUTED_VALUE"""),244490.0)</f>
        <v>244490</v>
      </c>
      <c r="I63" s="236">
        <f>IFERROR(__xludf.DUMMYFUNCTION("""COMPUTED_VALUE"""),50.0)</f>
        <v>50</v>
      </c>
      <c r="J63" s="236">
        <f>IFERROR(__xludf.DUMMYFUNCTION("""COMPUTED_VALUE"""),59.0)</f>
        <v>59</v>
      </c>
      <c r="K63" s="236">
        <f>IFERROR(__xludf.DUMMYFUNCTION("""COMPUTED_VALUE"""),16652.0)</f>
        <v>16652</v>
      </c>
      <c r="L63" s="236">
        <f>IFERROR(__xludf.DUMMYFUNCTION("""COMPUTED_VALUE"""),1489.0)</f>
        <v>1489</v>
      </c>
      <c r="M63" s="236">
        <f>IFERROR(__xludf.DUMMYFUNCTION("""COMPUTED_VALUE"""),132286.0)</f>
        <v>132286</v>
      </c>
      <c r="N63" s="236">
        <f>IFERROR(__xludf.DUMMYFUNCTION("""COMPUTED_VALUE"""),148938.0)</f>
        <v>148938</v>
      </c>
      <c r="O63" s="236">
        <f>IFERROR(__xludf.DUMMYFUNCTION("""COMPUTED_VALUE"""),6.0)</f>
        <v>6</v>
      </c>
      <c r="P63" s="236">
        <f>IFERROR(__xludf.DUMMYFUNCTION("""COMPUTED_VALUE"""),2022.0)</f>
        <v>2022</v>
      </c>
      <c r="Q63" s="236">
        <f>IFERROR(__xludf.DUMMYFUNCTION("""COMPUTED_VALUE"""),14.0)</f>
        <v>14</v>
      </c>
      <c r="R63" s="236">
        <f>IFERROR(__xludf.DUMMYFUNCTION("""COMPUTED_VALUE"""),1655.0)</f>
        <v>1655</v>
      </c>
      <c r="S63" s="236">
        <f>IFERROR(__xludf.DUMMYFUNCTION("""COMPUTED_VALUE"""),1.0)</f>
        <v>1</v>
      </c>
      <c r="T63" s="236">
        <f>IFERROR(__xludf.DUMMYFUNCTION("""COMPUTED_VALUE"""),300.0)</f>
        <v>300</v>
      </c>
      <c r="U63" s="236">
        <f>IFERROR(__xludf.DUMMYFUNCTION("""COMPUTED_VALUE"""),67.0)</f>
        <v>67</v>
      </c>
      <c r="V63" s="236">
        <f>IFERROR(__xludf.DUMMYFUNCTION("""COMPUTED_VALUE"""),74.0)</f>
        <v>74</v>
      </c>
      <c r="W63" s="236">
        <f>IFERROR(__xludf.DUMMYFUNCTION("""COMPUTED_VALUE"""),17.0)</f>
        <v>17</v>
      </c>
      <c r="X63" s="236">
        <f>IFERROR(__xludf.DUMMYFUNCTION("""COMPUTED_VALUE"""),17.0)</f>
        <v>17</v>
      </c>
      <c r="Y63" s="236">
        <f>IFERROR(__xludf.DUMMYFUNCTION("""COMPUTED_VALUE"""),1.0)</f>
        <v>1</v>
      </c>
      <c r="Z63" s="236">
        <f>IFERROR(__xludf.DUMMYFUNCTION("""COMPUTED_VALUE"""),959.0)</f>
        <v>959</v>
      </c>
    </row>
    <row r="64">
      <c r="A64" s="235">
        <f>IFERROR(__xludf.DUMMYFUNCTION("""COMPUTED_VALUE"""),44008.0)</f>
        <v>44008</v>
      </c>
      <c r="B64" s="236">
        <f>IFERROR(__xludf.DUMMYFUNCTION("""COMPUTED_VALUE"""),94.0)</f>
        <v>94</v>
      </c>
      <c r="C64" s="236">
        <f>IFERROR(__xludf.DUMMYFUNCTION("""COMPUTED_VALUE"""),106.0)</f>
        <v>106</v>
      </c>
      <c r="D64" s="236">
        <f>IFERROR(__xludf.DUMMYFUNCTION("""COMPUTED_VALUE"""),24303.0)</f>
        <v>24303</v>
      </c>
      <c r="E64" s="236">
        <f>IFERROR(__xludf.DUMMYFUNCTION("""COMPUTED_VALUE"""),2488.0)</f>
        <v>2488</v>
      </c>
      <c r="F64" s="172">
        <f>IFERROR(__xludf.DUMMYFUNCTION("""COMPUTED_VALUE"""),222769.0)</f>
        <v>222769</v>
      </c>
      <c r="G64" s="172">
        <f>IFERROR(__xludf.DUMMYFUNCTION("""COMPUTED_VALUE"""),2582.0)</f>
        <v>2582</v>
      </c>
      <c r="H64" s="172">
        <f>IFERROR(__xludf.DUMMYFUNCTION("""COMPUTED_VALUE"""),247072.0)</f>
        <v>247072</v>
      </c>
      <c r="I64" s="236">
        <f>IFERROR(__xludf.DUMMYFUNCTION("""COMPUTED_VALUE"""),60.0)</f>
        <v>60</v>
      </c>
      <c r="J64" s="236">
        <f>IFERROR(__xludf.DUMMYFUNCTION("""COMPUTED_VALUE"""),51.0)</f>
        <v>51</v>
      </c>
      <c r="K64" s="236">
        <f>IFERROR(__xludf.DUMMYFUNCTION("""COMPUTED_VALUE"""),16712.0)</f>
        <v>16712</v>
      </c>
      <c r="L64" s="236">
        <f>IFERROR(__xludf.DUMMYFUNCTION("""COMPUTED_VALUE"""),1316.0)</f>
        <v>1316</v>
      </c>
      <c r="M64" s="236">
        <f>IFERROR(__xludf.DUMMYFUNCTION("""COMPUTED_VALUE"""),133602.0)</f>
        <v>133602</v>
      </c>
      <c r="N64" s="236">
        <f>IFERROR(__xludf.DUMMYFUNCTION("""COMPUTED_VALUE"""),150314.0)</f>
        <v>150314</v>
      </c>
      <c r="O64" s="236">
        <f>IFERROR(__xludf.DUMMYFUNCTION("""COMPUTED_VALUE"""),2.0)</f>
        <v>2</v>
      </c>
      <c r="P64" s="236">
        <f>IFERROR(__xludf.DUMMYFUNCTION("""COMPUTED_VALUE"""),2024.0)</f>
        <v>2024</v>
      </c>
      <c r="Q64" s="236">
        <f>IFERROR(__xludf.DUMMYFUNCTION("""COMPUTED_VALUE"""),10.0)</f>
        <v>10</v>
      </c>
      <c r="R64" s="236">
        <f>IFERROR(__xludf.DUMMYFUNCTION("""COMPUTED_VALUE"""),1665.0)</f>
        <v>1665</v>
      </c>
      <c r="S64" s="236">
        <f>IFERROR(__xludf.DUMMYFUNCTION("""COMPUTED_VALUE"""),0.0)</f>
        <v>0</v>
      </c>
      <c r="T64" s="236">
        <f>IFERROR(__xludf.DUMMYFUNCTION("""COMPUTED_VALUE"""),300.0)</f>
        <v>300</v>
      </c>
      <c r="U64" s="236">
        <f>IFERROR(__xludf.DUMMYFUNCTION("""COMPUTED_VALUE"""),59.0)</f>
        <v>59</v>
      </c>
      <c r="V64" s="236">
        <f>IFERROR(__xludf.DUMMYFUNCTION("""COMPUTED_VALUE"""),67.0)</f>
        <v>67</v>
      </c>
      <c r="W64" s="236">
        <f>IFERROR(__xludf.DUMMYFUNCTION("""COMPUTED_VALUE"""),18.0)</f>
        <v>18</v>
      </c>
      <c r="X64" s="236">
        <f>IFERROR(__xludf.DUMMYFUNCTION("""COMPUTED_VALUE"""),18.0)</f>
        <v>18</v>
      </c>
      <c r="Y64" s="236">
        <f>IFERROR(__xludf.DUMMYFUNCTION("""COMPUTED_VALUE"""),1.0)</f>
        <v>1</v>
      </c>
      <c r="Z64" s="236">
        <f>IFERROR(__xludf.DUMMYFUNCTION("""COMPUTED_VALUE"""),960.0)</f>
        <v>960</v>
      </c>
    </row>
    <row r="65">
      <c r="A65" s="235">
        <f>IFERROR(__xludf.DUMMYFUNCTION("""COMPUTED_VALUE"""),44009.0)</f>
        <v>44009</v>
      </c>
      <c r="B65" s="236">
        <f>IFERROR(__xludf.DUMMYFUNCTION("""COMPUTED_VALUE"""),84.0)</f>
        <v>84</v>
      </c>
      <c r="C65" s="236">
        <f>IFERROR(__xludf.DUMMYFUNCTION("""COMPUTED_VALUE"""),94.0)</f>
        <v>94</v>
      </c>
      <c r="D65" s="236">
        <f>IFERROR(__xludf.DUMMYFUNCTION("""COMPUTED_VALUE"""),24387.0)</f>
        <v>24387</v>
      </c>
      <c r="E65" s="236">
        <f>IFERROR(__xludf.DUMMYFUNCTION("""COMPUTED_VALUE"""),3216.0)</f>
        <v>3216</v>
      </c>
      <c r="F65" s="172">
        <f>IFERROR(__xludf.DUMMYFUNCTION("""COMPUTED_VALUE"""),225985.0)</f>
        <v>225985</v>
      </c>
      <c r="G65" s="172">
        <f>IFERROR(__xludf.DUMMYFUNCTION("""COMPUTED_VALUE"""),3300.0)</f>
        <v>3300</v>
      </c>
      <c r="H65" s="172">
        <f>IFERROR(__xludf.DUMMYFUNCTION("""COMPUTED_VALUE"""),250372.0)</f>
        <v>250372</v>
      </c>
      <c r="I65" s="236">
        <f>IFERROR(__xludf.DUMMYFUNCTION("""COMPUTED_VALUE"""),37.0)</f>
        <v>37</v>
      </c>
      <c r="J65" s="236">
        <f>IFERROR(__xludf.DUMMYFUNCTION("""COMPUTED_VALUE"""),49.0)</f>
        <v>49</v>
      </c>
      <c r="K65" s="236">
        <f>IFERROR(__xludf.DUMMYFUNCTION("""COMPUTED_VALUE"""),16749.0)</f>
        <v>16749</v>
      </c>
      <c r="L65" s="236">
        <f>IFERROR(__xludf.DUMMYFUNCTION("""COMPUTED_VALUE"""),1202.0)</f>
        <v>1202</v>
      </c>
      <c r="M65" s="236">
        <f>IFERROR(__xludf.DUMMYFUNCTION("""COMPUTED_VALUE"""),134804.0)</f>
        <v>134804</v>
      </c>
      <c r="N65" s="236">
        <f>IFERROR(__xludf.DUMMYFUNCTION("""COMPUTED_VALUE"""),151553.0)</f>
        <v>151553</v>
      </c>
      <c r="O65" s="236">
        <f>IFERROR(__xludf.DUMMYFUNCTION("""COMPUTED_VALUE"""),5.0)</f>
        <v>5</v>
      </c>
      <c r="P65" s="236">
        <f>IFERROR(__xludf.DUMMYFUNCTION("""COMPUTED_VALUE"""),2029.0)</f>
        <v>2029</v>
      </c>
      <c r="Q65" s="236">
        <f>IFERROR(__xludf.DUMMYFUNCTION("""COMPUTED_VALUE"""),3.0)</f>
        <v>3</v>
      </c>
      <c r="R65" s="236">
        <f>IFERROR(__xludf.DUMMYFUNCTION("""COMPUTED_VALUE"""),1668.0)</f>
        <v>1668</v>
      </c>
      <c r="S65" s="236">
        <f>IFERROR(__xludf.DUMMYFUNCTION("""COMPUTED_VALUE"""),1.0)</f>
        <v>1</v>
      </c>
      <c r="T65" s="236">
        <f>IFERROR(__xludf.DUMMYFUNCTION("""COMPUTED_VALUE"""),301.0)</f>
        <v>301</v>
      </c>
      <c r="U65" s="236">
        <f>IFERROR(__xludf.DUMMYFUNCTION("""COMPUTED_VALUE"""),60.0)</f>
        <v>60</v>
      </c>
      <c r="V65" s="236">
        <f>IFERROR(__xludf.DUMMYFUNCTION("""COMPUTED_VALUE"""),62.0)</f>
        <v>62</v>
      </c>
      <c r="W65" s="236">
        <f>IFERROR(__xludf.DUMMYFUNCTION("""COMPUTED_VALUE"""),17.0)</f>
        <v>17</v>
      </c>
      <c r="X65" s="236">
        <f>IFERROR(__xludf.DUMMYFUNCTION("""COMPUTED_VALUE"""),17.0)</f>
        <v>17</v>
      </c>
      <c r="Y65" s="236">
        <f>IFERROR(__xludf.DUMMYFUNCTION("""COMPUTED_VALUE"""),5.0)</f>
        <v>5</v>
      </c>
      <c r="Z65" s="236">
        <f>IFERROR(__xludf.DUMMYFUNCTION("""COMPUTED_VALUE"""),965.0)</f>
        <v>965</v>
      </c>
    </row>
    <row r="66">
      <c r="A66" s="235">
        <f>IFERROR(__xludf.DUMMYFUNCTION("""COMPUTED_VALUE"""),44010.0)</f>
        <v>44010</v>
      </c>
      <c r="B66" s="236">
        <f>IFERROR(__xludf.DUMMYFUNCTION("""COMPUTED_VALUE"""),39.0)</f>
        <v>39</v>
      </c>
      <c r="C66" s="236">
        <f>IFERROR(__xludf.DUMMYFUNCTION("""COMPUTED_VALUE"""),72.0)</f>
        <v>72</v>
      </c>
      <c r="D66" s="236">
        <f>IFERROR(__xludf.DUMMYFUNCTION("""COMPUTED_VALUE"""),24426.0)</f>
        <v>24426</v>
      </c>
      <c r="E66" s="236">
        <f>IFERROR(__xludf.DUMMYFUNCTION("""COMPUTED_VALUE"""),1469.0)</f>
        <v>1469</v>
      </c>
      <c r="F66" s="172">
        <f>IFERROR(__xludf.DUMMYFUNCTION("""COMPUTED_VALUE"""),227454.0)</f>
        <v>227454</v>
      </c>
      <c r="G66" s="172">
        <f>IFERROR(__xludf.DUMMYFUNCTION("""COMPUTED_VALUE"""),1508.0)</f>
        <v>1508</v>
      </c>
      <c r="H66" s="172">
        <f>IFERROR(__xludf.DUMMYFUNCTION("""COMPUTED_VALUE"""),251880.0)</f>
        <v>251880</v>
      </c>
      <c r="I66" s="236">
        <f>IFERROR(__xludf.DUMMYFUNCTION("""COMPUTED_VALUE"""),17.0)</f>
        <v>17</v>
      </c>
      <c r="J66" s="236">
        <f>IFERROR(__xludf.DUMMYFUNCTION("""COMPUTED_VALUE"""),38.0)</f>
        <v>38</v>
      </c>
      <c r="K66" s="236">
        <f>IFERROR(__xludf.DUMMYFUNCTION("""COMPUTED_VALUE"""),16766.0)</f>
        <v>16766</v>
      </c>
      <c r="L66" s="236">
        <f>IFERROR(__xludf.DUMMYFUNCTION("""COMPUTED_VALUE"""),590.0)</f>
        <v>590</v>
      </c>
      <c r="M66" s="236">
        <f>IFERROR(__xludf.DUMMYFUNCTION("""COMPUTED_VALUE"""),135394.0)</f>
        <v>135394</v>
      </c>
      <c r="N66" s="236">
        <f>IFERROR(__xludf.DUMMYFUNCTION("""COMPUTED_VALUE"""),152160.0)</f>
        <v>152160</v>
      </c>
      <c r="O66" s="236">
        <f>IFERROR(__xludf.DUMMYFUNCTION("""COMPUTED_VALUE"""),4.0)</f>
        <v>4</v>
      </c>
      <c r="P66" s="236">
        <f>IFERROR(__xludf.DUMMYFUNCTION("""COMPUTED_VALUE"""),2033.0)</f>
        <v>2033</v>
      </c>
      <c r="Q66" s="236">
        <f>IFERROR(__xludf.DUMMYFUNCTION("""COMPUTED_VALUE"""),4.0)</f>
        <v>4</v>
      </c>
      <c r="R66" s="236">
        <f>IFERROR(__xludf.DUMMYFUNCTION("""COMPUTED_VALUE"""),1672.0)</f>
        <v>1672</v>
      </c>
      <c r="S66" s="236">
        <f>IFERROR(__xludf.DUMMYFUNCTION("""COMPUTED_VALUE"""),4.0)</f>
        <v>4</v>
      </c>
      <c r="T66" s="236">
        <f>IFERROR(__xludf.DUMMYFUNCTION("""COMPUTED_VALUE"""),305.0)</f>
        <v>305</v>
      </c>
      <c r="U66" s="236">
        <f>IFERROR(__xludf.DUMMYFUNCTION("""COMPUTED_VALUE"""),56.0)</f>
        <v>56</v>
      </c>
      <c r="V66" s="236">
        <f>IFERROR(__xludf.DUMMYFUNCTION("""COMPUTED_VALUE"""),58.0)</f>
        <v>58</v>
      </c>
      <c r="W66" s="236">
        <f>IFERROR(__xludf.DUMMYFUNCTION("""COMPUTED_VALUE"""),15.0)</f>
        <v>15</v>
      </c>
      <c r="X66" s="236">
        <f>IFERROR(__xludf.DUMMYFUNCTION("""COMPUTED_VALUE"""),14.0)</f>
        <v>14</v>
      </c>
      <c r="Y66" s="236">
        <f>IFERROR(__xludf.DUMMYFUNCTION("""COMPUTED_VALUE"""),6.0)</f>
        <v>6</v>
      </c>
      <c r="Z66" s="236">
        <f>IFERROR(__xludf.DUMMYFUNCTION("""COMPUTED_VALUE"""),971.0)</f>
        <v>971</v>
      </c>
    </row>
    <row r="67">
      <c r="A67" s="235">
        <f>IFERROR(__xludf.DUMMYFUNCTION("""COMPUTED_VALUE"""),44011.0)</f>
        <v>44011</v>
      </c>
      <c r="B67" s="236">
        <f>IFERROR(__xludf.DUMMYFUNCTION("""COMPUTED_VALUE"""),85.0)</f>
        <v>85</v>
      </c>
      <c r="C67" s="236">
        <f>IFERROR(__xludf.DUMMYFUNCTION("""COMPUTED_VALUE"""),69.0)</f>
        <v>69</v>
      </c>
      <c r="D67" s="236">
        <f>IFERROR(__xludf.DUMMYFUNCTION("""COMPUTED_VALUE"""),24511.0)</f>
        <v>24511</v>
      </c>
      <c r="E67" s="236">
        <f>IFERROR(__xludf.DUMMYFUNCTION("""COMPUTED_VALUE"""),3697.0)</f>
        <v>3697</v>
      </c>
      <c r="F67" s="172">
        <f>IFERROR(__xludf.DUMMYFUNCTION("""COMPUTED_VALUE"""),231151.0)</f>
        <v>231151</v>
      </c>
      <c r="G67" s="172">
        <f>IFERROR(__xludf.DUMMYFUNCTION("""COMPUTED_VALUE"""),3782.0)</f>
        <v>3782</v>
      </c>
      <c r="H67" s="172">
        <f>IFERROR(__xludf.DUMMYFUNCTION("""COMPUTED_VALUE"""),255662.0)</f>
        <v>255662</v>
      </c>
      <c r="I67" s="236">
        <f>IFERROR(__xludf.DUMMYFUNCTION("""COMPUTED_VALUE"""),39.0)</f>
        <v>39</v>
      </c>
      <c r="J67" s="236">
        <f>IFERROR(__xludf.DUMMYFUNCTION("""COMPUTED_VALUE"""),31.0)</f>
        <v>31</v>
      </c>
      <c r="K67" s="236">
        <f>IFERROR(__xludf.DUMMYFUNCTION("""COMPUTED_VALUE"""),16805.0)</f>
        <v>16805</v>
      </c>
      <c r="L67" s="236">
        <f>IFERROR(__xludf.DUMMYFUNCTION("""COMPUTED_VALUE"""),1338.0)</f>
        <v>1338</v>
      </c>
      <c r="M67" s="236">
        <f>IFERROR(__xludf.DUMMYFUNCTION("""COMPUTED_VALUE"""),136732.0)</f>
        <v>136732</v>
      </c>
      <c r="N67" s="236">
        <f>IFERROR(__xludf.DUMMYFUNCTION("""COMPUTED_VALUE"""),153537.0)</f>
        <v>153537</v>
      </c>
      <c r="O67" s="236">
        <f>IFERROR(__xludf.DUMMYFUNCTION("""COMPUTED_VALUE"""),4.0)</f>
        <v>4</v>
      </c>
      <c r="P67" s="236">
        <f>IFERROR(__xludf.DUMMYFUNCTION("""COMPUTED_VALUE"""),2037.0)</f>
        <v>2037</v>
      </c>
      <c r="Q67" s="236">
        <f>IFERROR(__xludf.DUMMYFUNCTION("""COMPUTED_VALUE"""),5.0)</f>
        <v>5</v>
      </c>
      <c r="R67" s="236">
        <f>IFERROR(__xludf.DUMMYFUNCTION("""COMPUTED_VALUE"""),1677.0)</f>
        <v>1677</v>
      </c>
      <c r="S67" s="236">
        <f>IFERROR(__xludf.DUMMYFUNCTION("""COMPUTED_VALUE"""),0.0)</f>
        <v>0</v>
      </c>
      <c r="T67" s="236">
        <f>IFERROR(__xludf.DUMMYFUNCTION("""COMPUTED_VALUE"""),305.0)</f>
        <v>305</v>
      </c>
      <c r="U67" s="236">
        <f>IFERROR(__xludf.DUMMYFUNCTION("""COMPUTED_VALUE"""),55.0)</f>
        <v>55</v>
      </c>
      <c r="V67" s="236">
        <f>IFERROR(__xludf.DUMMYFUNCTION("""COMPUTED_VALUE"""),57.0)</f>
        <v>57</v>
      </c>
      <c r="W67" s="236">
        <f>IFERROR(__xludf.DUMMYFUNCTION("""COMPUTED_VALUE"""),14.0)</f>
        <v>14</v>
      </c>
      <c r="X67" s="236">
        <f>IFERROR(__xludf.DUMMYFUNCTION("""COMPUTED_VALUE"""),14.0)</f>
        <v>14</v>
      </c>
      <c r="Y67" s="236">
        <f>IFERROR(__xludf.DUMMYFUNCTION("""COMPUTED_VALUE"""),1.0)</f>
        <v>1</v>
      </c>
      <c r="Z67" s="236">
        <f>IFERROR(__xludf.DUMMYFUNCTION("""COMPUTED_VALUE"""),972.0)</f>
        <v>972</v>
      </c>
    </row>
    <row r="68">
      <c r="A68" s="235">
        <f>IFERROR(__xludf.DUMMYFUNCTION("""COMPUTED_VALUE"""),44012.0)</f>
        <v>44012</v>
      </c>
      <c r="B68" s="236">
        <f>IFERROR(__xludf.DUMMYFUNCTION("""COMPUTED_VALUE"""),57.0)</f>
        <v>57</v>
      </c>
      <c r="C68" s="236">
        <f>IFERROR(__xludf.DUMMYFUNCTION("""COMPUTED_VALUE"""),60.0)</f>
        <v>60</v>
      </c>
      <c r="D68" s="236">
        <f>IFERROR(__xludf.DUMMYFUNCTION("""COMPUTED_VALUE"""),24568.0)</f>
        <v>24568</v>
      </c>
      <c r="E68" s="236">
        <f>IFERROR(__xludf.DUMMYFUNCTION("""COMPUTED_VALUE"""),1958.0)</f>
        <v>1958</v>
      </c>
      <c r="F68" s="172">
        <f>IFERROR(__xludf.DUMMYFUNCTION("""COMPUTED_VALUE"""),233109.0)</f>
        <v>233109</v>
      </c>
      <c r="G68" s="172">
        <f>IFERROR(__xludf.DUMMYFUNCTION("""COMPUTED_VALUE"""),2015.0)</f>
        <v>2015</v>
      </c>
      <c r="H68" s="172">
        <f>IFERROR(__xludf.DUMMYFUNCTION("""COMPUTED_VALUE"""),257677.0)</f>
        <v>257677</v>
      </c>
      <c r="I68" s="236">
        <f>IFERROR(__xludf.DUMMYFUNCTION("""COMPUTED_VALUE"""),33.0)</f>
        <v>33</v>
      </c>
      <c r="J68" s="236">
        <f>IFERROR(__xludf.DUMMYFUNCTION("""COMPUTED_VALUE"""),30.0)</f>
        <v>30</v>
      </c>
      <c r="K68" s="236">
        <f>IFERROR(__xludf.DUMMYFUNCTION("""COMPUTED_VALUE"""),16838.0)</f>
        <v>16838</v>
      </c>
      <c r="L68" s="236">
        <f>IFERROR(__xludf.DUMMYFUNCTION("""COMPUTED_VALUE"""),988.0)</f>
        <v>988</v>
      </c>
      <c r="M68" s="236">
        <f>IFERROR(__xludf.DUMMYFUNCTION("""COMPUTED_VALUE"""),137720.0)</f>
        <v>137720</v>
      </c>
      <c r="N68" s="236">
        <f>IFERROR(__xludf.DUMMYFUNCTION("""COMPUTED_VALUE"""),154558.0)</f>
        <v>154558</v>
      </c>
      <c r="O68" s="236">
        <f>IFERROR(__xludf.DUMMYFUNCTION("""COMPUTED_VALUE"""),1.0)</f>
        <v>1</v>
      </c>
      <c r="P68" s="236">
        <f>IFERROR(__xludf.DUMMYFUNCTION("""COMPUTED_VALUE"""),2038.0)</f>
        <v>2038</v>
      </c>
      <c r="Q68" s="236">
        <f>IFERROR(__xludf.DUMMYFUNCTION("""COMPUTED_VALUE"""),5.0)</f>
        <v>5</v>
      </c>
      <c r="R68" s="236">
        <f>IFERROR(__xludf.DUMMYFUNCTION("""COMPUTED_VALUE"""),1682.0)</f>
        <v>1682</v>
      </c>
      <c r="S68" s="236">
        <f>IFERROR(__xludf.DUMMYFUNCTION("""COMPUTED_VALUE"""),1.0)</f>
        <v>1</v>
      </c>
      <c r="T68" s="236">
        <f>IFERROR(__xludf.DUMMYFUNCTION("""COMPUTED_VALUE"""),306.0)</f>
        <v>306</v>
      </c>
      <c r="U68" s="236">
        <f>IFERROR(__xludf.DUMMYFUNCTION("""COMPUTED_VALUE"""),50.0)</f>
        <v>50</v>
      </c>
      <c r="V68" s="236">
        <f>IFERROR(__xludf.DUMMYFUNCTION("""COMPUTED_VALUE"""),54.0)</f>
        <v>54</v>
      </c>
      <c r="W68" s="236">
        <f>IFERROR(__xludf.DUMMYFUNCTION("""COMPUTED_VALUE"""),12.0)</f>
        <v>12</v>
      </c>
      <c r="X68" s="236">
        <f>IFERROR(__xludf.DUMMYFUNCTION("""COMPUTED_VALUE"""),11.0)</f>
        <v>11</v>
      </c>
      <c r="Y68" s="236">
        <f>IFERROR(__xludf.DUMMYFUNCTION("""COMPUTED_VALUE"""),4.0)</f>
        <v>4</v>
      </c>
      <c r="Z68" s="236">
        <f>IFERROR(__xludf.DUMMYFUNCTION("""COMPUTED_VALUE"""),976.0)</f>
        <v>976</v>
      </c>
    </row>
    <row r="69">
      <c r="A69" s="235">
        <f>IFERROR(__xludf.DUMMYFUNCTION("""COMPUTED_VALUE"""),44013.0)</f>
        <v>44013</v>
      </c>
      <c r="B69" s="236">
        <f>IFERROR(__xludf.DUMMYFUNCTION("""COMPUTED_VALUE"""),144.0)</f>
        <v>144</v>
      </c>
      <c r="C69" s="236">
        <f>IFERROR(__xludf.DUMMYFUNCTION("""COMPUTED_VALUE"""),95.0)</f>
        <v>95</v>
      </c>
      <c r="D69" s="236">
        <f>IFERROR(__xludf.DUMMYFUNCTION("""COMPUTED_VALUE"""),24712.0)</f>
        <v>24712</v>
      </c>
      <c r="E69" s="236">
        <f>IFERROR(__xludf.DUMMYFUNCTION("""COMPUTED_VALUE"""),4098.0)</f>
        <v>4098</v>
      </c>
      <c r="F69" s="172">
        <f>IFERROR(__xludf.DUMMYFUNCTION("""COMPUTED_VALUE"""),237207.0)</f>
        <v>237207</v>
      </c>
      <c r="G69" s="172">
        <f>IFERROR(__xludf.DUMMYFUNCTION("""COMPUTED_VALUE"""),4242.0)</f>
        <v>4242</v>
      </c>
      <c r="H69" s="172">
        <f>IFERROR(__xludf.DUMMYFUNCTION("""COMPUTED_VALUE"""),261919.0)</f>
        <v>261919</v>
      </c>
      <c r="I69" s="236">
        <f>IFERROR(__xludf.DUMMYFUNCTION("""COMPUTED_VALUE"""),79.0)</f>
        <v>79</v>
      </c>
      <c r="J69" s="236">
        <f>IFERROR(__xludf.DUMMYFUNCTION("""COMPUTED_VALUE"""),50.0)</f>
        <v>50</v>
      </c>
      <c r="K69" s="236">
        <f>IFERROR(__xludf.DUMMYFUNCTION("""COMPUTED_VALUE"""),16917.0)</f>
        <v>16917</v>
      </c>
      <c r="L69" s="236">
        <f>IFERROR(__xludf.DUMMYFUNCTION("""COMPUTED_VALUE"""),1909.0)</f>
        <v>1909</v>
      </c>
      <c r="M69" s="236">
        <f>IFERROR(__xludf.DUMMYFUNCTION("""COMPUTED_VALUE"""),139629.0)</f>
        <v>139629</v>
      </c>
      <c r="N69" s="236">
        <f>IFERROR(__xludf.DUMMYFUNCTION("""COMPUTED_VALUE"""),156546.0)</f>
        <v>156546</v>
      </c>
      <c r="O69" s="236">
        <f>IFERROR(__xludf.DUMMYFUNCTION("""COMPUTED_VALUE"""),8.0)</f>
        <v>8</v>
      </c>
      <c r="P69" s="236">
        <f>IFERROR(__xludf.DUMMYFUNCTION("""COMPUTED_VALUE"""),2046.0)</f>
        <v>2046</v>
      </c>
      <c r="Q69" s="236">
        <f>IFERROR(__xludf.DUMMYFUNCTION("""COMPUTED_VALUE"""),10.0)</f>
        <v>10</v>
      </c>
      <c r="R69" s="236">
        <f>IFERROR(__xludf.DUMMYFUNCTION("""COMPUTED_VALUE"""),1692.0)</f>
        <v>1692</v>
      </c>
      <c r="S69" s="236">
        <f>IFERROR(__xludf.DUMMYFUNCTION("""COMPUTED_VALUE"""),0.0)</f>
        <v>0</v>
      </c>
      <c r="T69" s="236">
        <f>IFERROR(__xludf.DUMMYFUNCTION("""COMPUTED_VALUE"""),306.0)</f>
        <v>306</v>
      </c>
      <c r="U69" s="236">
        <f>IFERROR(__xludf.DUMMYFUNCTION("""COMPUTED_VALUE"""),48.0)</f>
        <v>48</v>
      </c>
      <c r="V69" s="236">
        <f>IFERROR(__xludf.DUMMYFUNCTION("""COMPUTED_VALUE"""),51.0)</f>
        <v>51</v>
      </c>
      <c r="W69" s="236">
        <f>IFERROR(__xludf.DUMMYFUNCTION("""COMPUTED_VALUE"""),11.0)</f>
        <v>11</v>
      </c>
      <c r="X69" s="236">
        <f>IFERROR(__xludf.DUMMYFUNCTION("""COMPUTED_VALUE"""),11.0)</f>
        <v>11</v>
      </c>
      <c r="Y69" s="236">
        <f>IFERROR(__xludf.DUMMYFUNCTION("""COMPUTED_VALUE"""),1.0)</f>
        <v>1</v>
      </c>
      <c r="Z69" s="236">
        <f>IFERROR(__xludf.DUMMYFUNCTION("""COMPUTED_VALUE"""),977.0)</f>
        <v>977</v>
      </c>
    </row>
    <row r="70">
      <c r="A70" s="235">
        <f>IFERROR(__xludf.DUMMYFUNCTION("""COMPUTED_VALUE"""),44014.0)</f>
        <v>44014</v>
      </c>
      <c r="B70" s="236">
        <f>IFERROR(__xludf.DUMMYFUNCTION("""COMPUTED_VALUE"""),103.0)</f>
        <v>103</v>
      </c>
      <c r="C70" s="236">
        <f>IFERROR(__xludf.DUMMYFUNCTION("""COMPUTED_VALUE"""),101.0)</f>
        <v>101</v>
      </c>
      <c r="D70" s="236">
        <f>IFERROR(__xludf.DUMMYFUNCTION("""COMPUTED_VALUE"""),24815.0)</f>
        <v>24815</v>
      </c>
      <c r="E70" s="236">
        <f>IFERROR(__xludf.DUMMYFUNCTION("""COMPUTED_VALUE"""),2803.0)</f>
        <v>2803</v>
      </c>
      <c r="F70" s="172">
        <f>IFERROR(__xludf.DUMMYFUNCTION("""COMPUTED_VALUE"""),240010.0)</f>
        <v>240010</v>
      </c>
      <c r="G70" s="172">
        <f>IFERROR(__xludf.DUMMYFUNCTION("""COMPUTED_VALUE"""),2906.0)</f>
        <v>2906</v>
      </c>
      <c r="H70" s="172">
        <f>IFERROR(__xludf.DUMMYFUNCTION("""COMPUTED_VALUE"""),264825.0)</f>
        <v>264825</v>
      </c>
      <c r="I70" s="236">
        <f>IFERROR(__xludf.DUMMYFUNCTION("""COMPUTED_VALUE"""),59.0)</f>
        <v>59</v>
      </c>
      <c r="J70" s="236">
        <f>IFERROR(__xludf.DUMMYFUNCTION("""COMPUTED_VALUE"""),57.0)</f>
        <v>57</v>
      </c>
      <c r="K70" s="236">
        <f>IFERROR(__xludf.DUMMYFUNCTION("""COMPUTED_VALUE"""),16976.0)</f>
        <v>16976</v>
      </c>
      <c r="L70" s="236">
        <f>IFERROR(__xludf.DUMMYFUNCTION("""COMPUTED_VALUE"""),1074.0)</f>
        <v>1074</v>
      </c>
      <c r="M70" s="236">
        <f>IFERROR(__xludf.DUMMYFUNCTION("""COMPUTED_VALUE"""),140703.0)</f>
        <v>140703</v>
      </c>
      <c r="N70" s="236">
        <f>IFERROR(__xludf.DUMMYFUNCTION("""COMPUTED_VALUE"""),157679.0)</f>
        <v>157679</v>
      </c>
      <c r="O70" s="236">
        <f>IFERROR(__xludf.DUMMYFUNCTION("""COMPUTED_VALUE"""),5.0)</f>
        <v>5</v>
      </c>
      <c r="P70" s="236">
        <f>IFERROR(__xludf.DUMMYFUNCTION("""COMPUTED_VALUE"""),2051.0)</f>
        <v>2051</v>
      </c>
      <c r="Q70" s="236">
        <f>IFERROR(__xludf.DUMMYFUNCTION("""COMPUTED_VALUE"""),5.0)</f>
        <v>5</v>
      </c>
      <c r="R70" s="236">
        <f>IFERROR(__xludf.DUMMYFUNCTION("""COMPUTED_VALUE"""),1697.0)</f>
        <v>1697</v>
      </c>
      <c r="S70" s="236">
        <f>IFERROR(__xludf.DUMMYFUNCTION("""COMPUTED_VALUE"""),1.0)</f>
        <v>1</v>
      </c>
      <c r="T70" s="236">
        <f>IFERROR(__xludf.DUMMYFUNCTION("""COMPUTED_VALUE"""),307.0)</f>
        <v>307</v>
      </c>
      <c r="U70" s="236">
        <f>IFERROR(__xludf.DUMMYFUNCTION("""COMPUTED_VALUE"""),47.0)</f>
        <v>47</v>
      </c>
      <c r="V70" s="236">
        <f>IFERROR(__xludf.DUMMYFUNCTION("""COMPUTED_VALUE"""),48.0)</f>
        <v>48</v>
      </c>
      <c r="W70" s="236">
        <f>IFERROR(__xludf.DUMMYFUNCTION("""COMPUTED_VALUE"""),10.0)</f>
        <v>10</v>
      </c>
      <c r="X70" s="236">
        <f>IFERROR(__xludf.DUMMYFUNCTION("""COMPUTED_VALUE"""),10.0)</f>
        <v>10</v>
      </c>
      <c r="Y70" s="236">
        <f>IFERROR(__xludf.DUMMYFUNCTION("""COMPUTED_VALUE"""),3.0)</f>
        <v>3</v>
      </c>
      <c r="Z70" s="236">
        <f>IFERROR(__xludf.DUMMYFUNCTION("""COMPUTED_VALUE"""),980.0)</f>
        <v>980</v>
      </c>
    </row>
    <row r="71">
      <c r="A71" s="235">
        <f>IFERROR(__xludf.DUMMYFUNCTION("""COMPUTED_VALUE"""),44015.0)</f>
        <v>44015</v>
      </c>
      <c r="B71" s="236">
        <f>IFERROR(__xludf.DUMMYFUNCTION("""COMPUTED_VALUE"""),50.0)</f>
        <v>50</v>
      </c>
      <c r="C71" s="236">
        <f>IFERROR(__xludf.DUMMYFUNCTION("""COMPUTED_VALUE"""),99.0)</f>
        <v>99</v>
      </c>
      <c r="D71" s="236">
        <f>IFERROR(__xludf.DUMMYFUNCTION("""COMPUTED_VALUE"""),24865.0)</f>
        <v>24865</v>
      </c>
      <c r="E71" s="236">
        <f>IFERROR(__xludf.DUMMYFUNCTION("""COMPUTED_VALUE"""),2079.0)</f>
        <v>2079</v>
      </c>
      <c r="F71" s="172">
        <f>IFERROR(__xludf.DUMMYFUNCTION("""COMPUTED_VALUE"""),242089.0)</f>
        <v>242089</v>
      </c>
      <c r="G71" s="172">
        <f>IFERROR(__xludf.DUMMYFUNCTION("""COMPUTED_VALUE"""),2129.0)</f>
        <v>2129</v>
      </c>
      <c r="H71" s="172">
        <f>IFERROR(__xludf.DUMMYFUNCTION("""COMPUTED_VALUE"""),266954.0)</f>
        <v>266954</v>
      </c>
      <c r="I71" s="236">
        <f>IFERROR(__xludf.DUMMYFUNCTION("""COMPUTED_VALUE"""),25.0)</f>
        <v>25</v>
      </c>
      <c r="J71" s="236">
        <f>IFERROR(__xludf.DUMMYFUNCTION("""COMPUTED_VALUE"""),54.0)</f>
        <v>54</v>
      </c>
      <c r="K71" s="236">
        <f>IFERROR(__xludf.DUMMYFUNCTION("""COMPUTED_VALUE"""),17001.0)</f>
        <v>17001</v>
      </c>
      <c r="L71" s="236">
        <f>IFERROR(__xludf.DUMMYFUNCTION("""COMPUTED_VALUE"""),776.0)</f>
        <v>776</v>
      </c>
      <c r="M71" s="236">
        <f>IFERROR(__xludf.DUMMYFUNCTION("""COMPUTED_VALUE"""),141479.0)</f>
        <v>141479</v>
      </c>
      <c r="N71" s="236">
        <f>IFERROR(__xludf.DUMMYFUNCTION("""COMPUTED_VALUE"""),158480.0)</f>
        <v>158480</v>
      </c>
      <c r="O71" s="236">
        <f>IFERROR(__xludf.DUMMYFUNCTION("""COMPUTED_VALUE"""),9.0)</f>
        <v>9</v>
      </c>
      <c r="P71" s="236">
        <f>IFERROR(__xludf.DUMMYFUNCTION("""COMPUTED_VALUE"""),2060.0)</f>
        <v>2060</v>
      </c>
      <c r="Q71" s="236">
        <f>IFERROR(__xludf.DUMMYFUNCTION("""COMPUTED_VALUE"""),6.0)</f>
        <v>6</v>
      </c>
      <c r="R71" s="236">
        <f>IFERROR(__xludf.DUMMYFUNCTION("""COMPUTED_VALUE"""),1703.0)</f>
        <v>1703</v>
      </c>
      <c r="S71" s="236">
        <f>IFERROR(__xludf.DUMMYFUNCTION("""COMPUTED_VALUE"""),0.0)</f>
        <v>0</v>
      </c>
      <c r="T71" s="236">
        <f>IFERROR(__xludf.DUMMYFUNCTION("""COMPUTED_VALUE"""),307.0)</f>
        <v>307</v>
      </c>
      <c r="U71" s="236">
        <f>IFERROR(__xludf.DUMMYFUNCTION("""COMPUTED_VALUE"""),50.0)</f>
        <v>50</v>
      </c>
      <c r="V71" s="236">
        <f>IFERROR(__xludf.DUMMYFUNCTION("""COMPUTED_VALUE"""),48.0)</f>
        <v>48</v>
      </c>
      <c r="W71" s="236">
        <f>IFERROR(__xludf.DUMMYFUNCTION("""COMPUTED_VALUE"""),9.0)</f>
        <v>9</v>
      </c>
      <c r="X71" s="236">
        <f>IFERROR(__xludf.DUMMYFUNCTION("""COMPUTED_VALUE"""),9.0)</f>
        <v>9</v>
      </c>
      <c r="Y71" s="236">
        <f>IFERROR(__xludf.DUMMYFUNCTION("""COMPUTED_VALUE"""),3.0)</f>
        <v>3</v>
      </c>
      <c r="Z71" s="236">
        <f>IFERROR(__xludf.DUMMYFUNCTION("""COMPUTED_VALUE"""),983.0)</f>
        <v>983</v>
      </c>
    </row>
    <row r="72">
      <c r="A72" s="235">
        <f>IFERROR(__xludf.DUMMYFUNCTION("""COMPUTED_VALUE"""),44016.0)</f>
        <v>44016</v>
      </c>
      <c r="B72" s="236">
        <f>IFERROR(__xludf.DUMMYFUNCTION("""COMPUTED_VALUE"""),57.0)</f>
        <v>57</v>
      </c>
      <c r="C72" s="236">
        <f>IFERROR(__xludf.DUMMYFUNCTION("""COMPUTED_VALUE"""),70.0)</f>
        <v>70</v>
      </c>
      <c r="D72" s="236">
        <f>IFERROR(__xludf.DUMMYFUNCTION("""COMPUTED_VALUE"""),24922.0)</f>
        <v>24922</v>
      </c>
      <c r="E72" s="236">
        <f>IFERROR(__xludf.DUMMYFUNCTION("""COMPUTED_VALUE"""),2345.0)</f>
        <v>2345</v>
      </c>
      <c r="F72" s="172">
        <f>IFERROR(__xludf.DUMMYFUNCTION("""COMPUTED_VALUE"""),244434.0)</f>
        <v>244434</v>
      </c>
      <c r="G72" s="172">
        <f>IFERROR(__xludf.DUMMYFUNCTION("""COMPUTED_VALUE"""),2402.0)</f>
        <v>2402</v>
      </c>
      <c r="H72" s="172">
        <f>IFERROR(__xludf.DUMMYFUNCTION("""COMPUTED_VALUE"""),269356.0)</f>
        <v>269356</v>
      </c>
      <c r="I72" s="236">
        <f>IFERROR(__xludf.DUMMYFUNCTION("""COMPUTED_VALUE"""),33.0)</f>
        <v>33</v>
      </c>
      <c r="J72" s="236">
        <f>IFERROR(__xludf.DUMMYFUNCTION("""COMPUTED_VALUE"""),39.0)</f>
        <v>39</v>
      </c>
      <c r="K72" s="236">
        <f>IFERROR(__xludf.DUMMYFUNCTION("""COMPUTED_VALUE"""),17034.0)</f>
        <v>17034</v>
      </c>
      <c r="L72" s="236">
        <f>IFERROR(__xludf.DUMMYFUNCTION("""COMPUTED_VALUE"""),994.0)</f>
        <v>994</v>
      </c>
      <c r="M72" s="236">
        <f>IFERROR(__xludf.DUMMYFUNCTION("""COMPUTED_VALUE"""),142473.0)</f>
        <v>142473</v>
      </c>
      <c r="N72" s="236">
        <f>IFERROR(__xludf.DUMMYFUNCTION("""COMPUTED_VALUE"""),159507.0)</f>
        <v>159507</v>
      </c>
      <c r="O72" s="236">
        <f>IFERROR(__xludf.DUMMYFUNCTION("""COMPUTED_VALUE"""),2.0)</f>
        <v>2</v>
      </c>
      <c r="P72" s="236">
        <f>IFERROR(__xludf.DUMMYFUNCTION("""COMPUTED_VALUE"""),2062.0)</f>
        <v>2062</v>
      </c>
      <c r="Q72" s="236">
        <f>IFERROR(__xludf.DUMMYFUNCTION("""COMPUTED_VALUE"""),4.0)</f>
        <v>4</v>
      </c>
      <c r="R72" s="236">
        <f>IFERROR(__xludf.DUMMYFUNCTION("""COMPUTED_VALUE"""),1707.0)</f>
        <v>1707</v>
      </c>
      <c r="S72" s="236">
        <f>IFERROR(__xludf.DUMMYFUNCTION("""COMPUTED_VALUE"""),1.0)</f>
        <v>1</v>
      </c>
      <c r="T72" s="236">
        <f>IFERROR(__xludf.DUMMYFUNCTION("""COMPUTED_VALUE"""),308.0)</f>
        <v>308</v>
      </c>
      <c r="U72" s="236">
        <f>IFERROR(__xludf.DUMMYFUNCTION("""COMPUTED_VALUE"""),47.0)</f>
        <v>47</v>
      </c>
      <c r="V72" s="236">
        <f>IFERROR(__xludf.DUMMYFUNCTION("""COMPUTED_VALUE"""),48.0)</f>
        <v>48</v>
      </c>
      <c r="W72" s="236">
        <f>IFERROR(__xludf.DUMMYFUNCTION("""COMPUTED_VALUE"""),10.0)</f>
        <v>10</v>
      </c>
      <c r="X72" s="236">
        <f>IFERROR(__xludf.DUMMYFUNCTION("""COMPUTED_VALUE"""),9.0)</f>
        <v>9</v>
      </c>
      <c r="Y72" s="236">
        <f>IFERROR(__xludf.DUMMYFUNCTION("""COMPUTED_VALUE"""),2.0)</f>
        <v>2</v>
      </c>
      <c r="Z72" s="236">
        <f>IFERROR(__xludf.DUMMYFUNCTION("""COMPUTED_VALUE"""),985.0)</f>
        <v>985</v>
      </c>
    </row>
    <row r="73">
      <c r="A73" s="235">
        <f>IFERROR(__xludf.DUMMYFUNCTION("""COMPUTED_VALUE"""),44017.0)</f>
        <v>44017</v>
      </c>
      <c r="B73" s="236">
        <f>IFERROR(__xludf.DUMMYFUNCTION("""COMPUTED_VALUE"""),49.0)</f>
        <v>49</v>
      </c>
      <c r="C73" s="236">
        <f>IFERROR(__xludf.DUMMYFUNCTION("""COMPUTED_VALUE"""),52.0)</f>
        <v>52</v>
      </c>
      <c r="D73" s="236">
        <f>IFERROR(__xludf.DUMMYFUNCTION("""COMPUTED_VALUE"""),24971.0)</f>
        <v>24971</v>
      </c>
      <c r="E73" s="236">
        <f>IFERROR(__xludf.DUMMYFUNCTION("""COMPUTED_VALUE"""),2932.0)</f>
        <v>2932</v>
      </c>
      <c r="F73" s="172">
        <f>IFERROR(__xludf.DUMMYFUNCTION("""COMPUTED_VALUE"""),247366.0)</f>
        <v>247366</v>
      </c>
      <c r="G73" s="172">
        <f>IFERROR(__xludf.DUMMYFUNCTION("""COMPUTED_VALUE"""),2981.0)</f>
        <v>2981</v>
      </c>
      <c r="H73" s="172">
        <f>IFERROR(__xludf.DUMMYFUNCTION("""COMPUTED_VALUE"""),272337.0)</f>
        <v>272337</v>
      </c>
      <c r="I73" s="236">
        <f>IFERROR(__xludf.DUMMYFUNCTION("""COMPUTED_VALUE"""),26.0)</f>
        <v>26</v>
      </c>
      <c r="J73" s="236">
        <f>IFERROR(__xludf.DUMMYFUNCTION("""COMPUTED_VALUE"""),28.0)</f>
        <v>28</v>
      </c>
      <c r="K73" s="236">
        <f>IFERROR(__xludf.DUMMYFUNCTION("""COMPUTED_VALUE"""),17060.0)</f>
        <v>17060</v>
      </c>
      <c r="L73" s="236">
        <f>IFERROR(__xludf.DUMMYFUNCTION("""COMPUTED_VALUE"""),1425.0)</f>
        <v>1425</v>
      </c>
      <c r="M73" s="236">
        <f>IFERROR(__xludf.DUMMYFUNCTION("""COMPUTED_VALUE"""),143898.0)</f>
        <v>143898</v>
      </c>
      <c r="N73" s="236">
        <f>IFERROR(__xludf.DUMMYFUNCTION("""COMPUTED_VALUE"""),160958.0)</f>
        <v>160958</v>
      </c>
      <c r="O73" s="236">
        <f>IFERROR(__xludf.DUMMYFUNCTION("""COMPUTED_VALUE"""),1.0)</f>
        <v>1</v>
      </c>
      <c r="P73" s="236">
        <f>IFERROR(__xludf.DUMMYFUNCTION("""COMPUTED_VALUE"""),2063.0)</f>
        <v>2063</v>
      </c>
      <c r="Q73" s="236">
        <f>IFERROR(__xludf.DUMMYFUNCTION("""COMPUTED_VALUE"""),2.0)</f>
        <v>2</v>
      </c>
      <c r="R73" s="236">
        <f>IFERROR(__xludf.DUMMYFUNCTION("""COMPUTED_VALUE"""),1709.0)</f>
        <v>1709</v>
      </c>
      <c r="S73" s="236">
        <f>IFERROR(__xludf.DUMMYFUNCTION("""COMPUTED_VALUE"""),1.0)</f>
        <v>1</v>
      </c>
      <c r="T73" s="236">
        <f>IFERROR(__xludf.DUMMYFUNCTION("""COMPUTED_VALUE"""),309.0)</f>
        <v>309</v>
      </c>
      <c r="U73" s="236">
        <f>IFERROR(__xludf.DUMMYFUNCTION("""COMPUTED_VALUE"""),45.0)</f>
        <v>45</v>
      </c>
      <c r="V73" s="236">
        <f>IFERROR(__xludf.DUMMYFUNCTION("""COMPUTED_VALUE"""),47.0)</f>
        <v>47</v>
      </c>
      <c r="W73" s="236">
        <f>IFERROR(__xludf.DUMMYFUNCTION("""COMPUTED_VALUE"""),8.0)</f>
        <v>8</v>
      </c>
      <c r="X73" s="236">
        <f>IFERROR(__xludf.DUMMYFUNCTION("""COMPUTED_VALUE"""),8.0)</f>
        <v>8</v>
      </c>
      <c r="Y73" s="236">
        <f>IFERROR(__xludf.DUMMYFUNCTION("""COMPUTED_VALUE"""),2.0)</f>
        <v>2</v>
      </c>
      <c r="Z73" s="236">
        <f>IFERROR(__xludf.DUMMYFUNCTION("""COMPUTED_VALUE"""),987.0)</f>
        <v>987</v>
      </c>
    </row>
    <row r="74">
      <c r="A74" s="235">
        <f>IFERROR(__xludf.DUMMYFUNCTION("""COMPUTED_VALUE"""),44018.0)</f>
        <v>44018</v>
      </c>
      <c r="B74" s="236">
        <f>IFERROR(__xludf.DUMMYFUNCTION("""COMPUTED_VALUE"""),101.0)</f>
        <v>101</v>
      </c>
      <c r="C74" s="236">
        <f>IFERROR(__xludf.DUMMYFUNCTION("""COMPUTED_VALUE"""),69.0)</f>
        <v>69</v>
      </c>
      <c r="D74" s="236">
        <f>IFERROR(__xludf.DUMMYFUNCTION("""COMPUTED_VALUE"""),25072.0)</f>
        <v>25072</v>
      </c>
      <c r="E74" s="236">
        <f>IFERROR(__xludf.DUMMYFUNCTION("""COMPUTED_VALUE"""),2814.0)</f>
        <v>2814</v>
      </c>
      <c r="F74" s="172">
        <f>IFERROR(__xludf.DUMMYFUNCTION("""COMPUTED_VALUE"""),250180.0)</f>
        <v>250180</v>
      </c>
      <c r="G74" s="172">
        <f>IFERROR(__xludf.DUMMYFUNCTION("""COMPUTED_VALUE"""),2915.0)</f>
        <v>2915</v>
      </c>
      <c r="H74" s="172">
        <f>IFERROR(__xludf.DUMMYFUNCTION("""COMPUTED_VALUE"""),275252.0)</f>
        <v>275252</v>
      </c>
      <c r="I74" s="236">
        <f>IFERROR(__xludf.DUMMYFUNCTION("""COMPUTED_VALUE"""),57.0)</f>
        <v>57</v>
      </c>
      <c r="J74" s="236">
        <f>IFERROR(__xludf.DUMMYFUNCTION("""COMPUTED_VALUE"""),39.0)</f>
        <v>39</v>
      </c>
      <c r="K74" s="236">
        <f>IFERROR(__xludf.DUMMYFUNCTION("""COMPUTED_VALUE"""),17117.0)</f>
        <v>17117</v>
      </c>
      <c r="L74" s="236">
        <f>IFERROR(__xludf.DUMMYFUNCTION("""COMPUTED_VALUE"""),1534.0)</f>
        <v>1534</v>
      </c>
      <c r="M74" s="236">
        <f>IFERROR(__xludf.DUMMYFUNCTION("""COMPUTED_VALUE"""),145432.0)</f>
        <v>145432</v>
      </c>
      <c r="N74" s="236">
        <f>IFERROR(__xludf.DUMMYFUNCTION("""COMPUTED_VALUE"""),162549.0)</f>
        <v>162549</v>
      </c>
      <c r="O74" s="236">
        <f>IFERROR(__xludf.DUMMYFUNCTION("""COMPUTED_VALUE"""),6.0)</f>
        <v>6</v>
      </c>
      <c r="P74" s="236">
        <f>IFERROR(__xludf.DUMMYFUNCTION("""COMPUTED_VALUE"""),2069.0)</f>
        <v>2069</v>
      </c>
      <c r="Q74" s="236">
        <f>IFERROR(__xludf.DUMMYFUNCTION("""COMPUTED_VALUE"""),6.0)</f>
        <v>6</v>
      </c>
      <c r="R74" s="236">
        <f>IFERROR(__xludf.DUMMYFUNCTION("""COMPUTED_VALUE"""),1715.0)</f>
        <v>1715</v>
      </c>
      <c r="S74" s="236">
        <f>IFERROR(__xludf.DUMMYFUNCTION("""COMPUTED_VALUE"""),0.0)</f>
        <v>0</v>
      </c>
      <c r="T74" s="236">
        <f>IFERROR(__xludf.DUMMYFUNCTION("""COMPUTED_VALUE"""),309.0)</f>
        <v>309</v>
      </c>
      <c r="U74" s="236">
        <f>IFERROR(__xludf.DUMMYFUNCTION("""COMPUTED_VALUE"""),45.0)</f>
        <v>45</v>
      </c>
      <c r="V74" s="236">
        <f>IFERROR(__xludf.DUMMYFUNCTION("""COMPUTED_VALUE"""),46.0)</f>
        <v>46</v>
      </c>
      <c r="W74" s="236">
        <f>IFERROR(__xludf.DUMMYFUNCTION("""COMPUTED_VALUE"""),9.0)</f>
        <v>9</v>
      </c>
      <c r="X74" s="236">
        <f>IFERROR(__xludf.DUMMYFUNCTION("""COMPUTED_VALUE"""),9.0)</f>
        <v>9</v>
      </c>
      <c r="Y74" s="236">
        <f>IFERROR(__xludf.DUMMYFUNCTION("""COMPUTED_VALUE"""),4.0)</f>
        <v>4</v>
      </c>
      <c r="Z74" s="236">
        <f>IFERROR(__xludf.DUMMYFUNCTION("""COMPUTED_VALUE"""),991.0)</f>
        <v>991</v>
      </c>
    </row>
    <row r="75">
      <c r="A75" s="235">
        <f>IFERROR(__xludf.DUMMYFUNCTION("""COMPUTED_VALUE"""),44019.0)</f>
        <v>44019</v>
      </c>
      <c r="B75" s="236">
        <f>IFERROR(__xludf.DUMMYFUNCTION("""COMPUTED_VALUE"""),81.0)</f>
        <v>81</v>
      </c>
      <c r="C75" s="236">
        <f>IFERROR(__xludf.DUMMYFUNCTION("""COMPUTED_VALUE"""),77.0)</f>
        <v>77</v>
      </c>
      <c r="D75" s="236">
        <f>IFERROR(__xludf.DUMMYFUNCTION("""COMPUTED_VALUE"""),25153.0)</f>
        <v>25153</v>
      </c>
      <c r="E75" s="236">
        <f>IFERROR(__xludf.DUMMYFUNCTION("""COMPUTED_VALUE"""),3457.0)</f>
        <v>3457</v>
      </c>
      <c r="F75" s="172">
        <f>IFERROR(__xludf.DUMMYFUNCTION("""COMPUTED_VALUE"""),253637.0)</f>
        <v>253637</v>
      </c>
      <c r="G75" s="172">
        <f>IFERROR(__xludf.DUMMYFUNCTION("""COMPUTED_VALUE"""),3538.0)</f>
        <v>3538</v>
      </c>
      <c r="H75" s="172">
        <f>IFERROR(__xludf.DUMMYFUNCTION("""COMPUTED_VALUE"""),278790.0)</f>
        <v>278790</v>
      </c>
      <c r="I75" s="236">
        <f>IFERROR(__xludf.DUMMYFUNCTION("""COMPUTED_VALUE"""),47.0)</f>
        <v>47</v>
      </c>
      <c r="J75" s="236">
        <f>IFERROR(__xludf.DUMMYFUNCTION("""COMPUTED_VALUE"""),43.0)</f>
        <v>43</v>
      </c>
      <c r="K75" s="236">
        <f>IFERROR(__xludf.DUMMYFUNCTION("""COMPUTED_VALUE"""),17164.0)</f>
        <v>17164</v>
      </c>
      <c r="L75" s="236">
        <f>IFERROR(__xludf.DUMMYFUNCTION("""COMPUTED_VALUE"""),1529.0)</f>
        <v>1529</v>
      </c>
      <c r="M75" s="236">
        <f>IFERROR(__xludf.DUMMYFUNCTION("""COMPUTED_VALUE"""),146961.0)</f>
        <v>146961</v>
      </c>
      <c r="N75" s="236">
        <f>IFERROR(__xludf.DUMMYFUNCTION("""COMPUTED_VALUE"""),164125.0)</f>
        <v>164125</v>
      </c>
      <c r="O75" s="236">
        <f>IFERROR(__xludf.DUMMYFUNCTION("""COMPUTED_VALUE"""),5.0)</f>
        <v>5</v>
      </c>
      <c r="P75" s="236">
        <f>IFERROR(__xludf.DUMMYFUNCTION("""COMPUTED_VALUE"""),2074.0)</f>
        <v>2074</v>
      </c>
      <c r="Q75" s="236">
        <f>IFERROR(__xludf.DUMMYFUNCTION("""COMPUTED_VALUE"""),7.0)</f>
        <v>7</v>
      </c>
      <c r="R75" s="236">
        <f>IFERROR(__xludf.DUMMYFUNCTION("""COMPUTED_VALUE"""),1722.0)</f>
        <v>1722</v>
      </c>
      <c r="S75" s="236">
        <f>IFERROR(__xludf.DUMMYFUNCTION("""COMPUTED_VALUE"""),0.0)</f>
        <v>0</v>
      </c>
      <c r="T75" s="236">
        <f>IFERROR(__xludf.DUMMYFUNCTION("""COMPUTED_VALUE"""),309.0)</f>
        <v>309</v>
      </c>
      <c r="U75" s="236">
        <f>IFERROR(__xludf.DUMMYFUNCTION("""COMPUTED_VALUE"""),43.0)</f>
        <v>43</v>
      </c>
      <c r="V75" s="236">
        <f>IFERROR(__xludf.DUMMYFUNCTION("""COMPUTED_VALUE"""),44.0)</f>
        <v>44</v>
      </c>
      <c r="W75" s="236">
        <f>IFERROR(__xludf.DUMMYFUNCTION("""COMPUTED_VALUE"""),8.0)</f>
        <v>8</v>
      </c>
      <c r="X75" s="236">
        <f>IFERROR(__xludf.DUMMYFUNCTION("""COMPUTED_VALUE"""),8.0)</f>
        <v>8</v>
      </c>
      <c r="Y75" s="236">
        <f>IFERROR(__xludf.DUMMYFUNCTION("""COMPUTED_VALUE"""),2.0)</f>
        <v>2</v>
      </c>
      <c r="Z75" s="236">
        <f>IFERROR(__xludf.DUMMYFUNCTION("""COMPUTED_VALUE"""),993.0)</f>
        <v>993</v>
      </c>
    </row>
    <row r="76">
      <c r="A76" s="235">
        <f>IFERROR(__xludf.DUMMYFUNCTION("""COMPUTED_VALUE"""),44020.0)</f>
        <v>44020</v>
      </c>
      <c r="B76" s="236">
        <f>IFERROR(__xludf.DUMMYFUNCTION("""COMPUTED_VALUE"""),105.0)</f>
        <v>105</v>
      </c>
      <c r="C76" s="236">
        <f>IFERROR(__xludf.DUMMYFUNCTION("""COMPUTED_VALUE"""),96.0)</f>
        <v>96</v>
      </c>
      <c r="D76" s="236">
        <f>IFERROR(__xludf.DUMMYFUNCTION("""COMPUTED_VALUE"""),25258.0)</f>
        <v>25258</v>
      </c>
      <c r="E76" s="236">
        <f>IFERROR(__xludf.DUMMYFUNCTION("""COMPUTED_VALUE"""),3409.0)</f>
        <v>3409</v>
      </c>
      <c r="F76" s="172">
        <f>IFERROR(__xludf.DUMMYFUNCTION("""COMPUTED_VALUE"""),257046.0)</f>
        <v>257046</v>
      </c>
      <c r="G76" s="172">
        <f>IFERROR(__xludf.DUMMYFUNCTION("""COMPUTED_VALUE"""),3514.0)</f>
        <v>3514</v>
      </c>
      <c r="H76" s="172">
        <f>IFERROR(__xludf.DUMMYFUNCTION("""COMPUTED_VALUE"""),282304.0)</f>
        <v>282304</v>
      </c>
      <c r="I76" s="236">
        <f>IFERROR(__xludf.DUMMYFUNCTION("""COMPUTED_VALUE"""),64.0)</f>
        <v>64</v>
      </c>
      <c r="J76" s="236">
        <f>IFERROR(__xludf.DUMMYFUNCTION("""COMPUTED_VALUE"""),56.0)</f>
        <v>56</v>
      </c>
      <c r="K76" s="236">
        <f>IFERROR(__xludf.DUMMYFUNCTION("""COMPUTED_VALUE"""),17228.0)</f>
        <v>17228</v>
      </c>
      <c r="L76" s="236">
        <f>IFERROR(__xludf.DUMMYFUNCTION("""COMPUTED_VALUE"""),1411.0)</f>
        <v>1411</v>
      </c>
      <c r="M76" s="236">
        <f>IFERROR(__xludf.DUMMYFUNCTION("""COMPUTED_VALUE"""),148372.0)</f>
        <v>148372</v>
      </c>
      <c r="N76" s="236">
        <f>IFERROR(__xludf.DUMMYFUNCTION("""COMPUTED_VALUE"""),165600.0)</f>
        <v>165600</v>
      </c>
      <c r="O76" s="236">
        <f>IFERROR(__xludf.DUMMYFUNCTION("""COMPUTED_VALUE"""),4.0)</f>
        <v>4</v>
      </c>
      <c r="P76" s="236">
        <f>IFERROR(__xludf.DUMMYFUNCTION("""COMPUTED_VALUE"""),2078.0)</f>
        <v>2078</v>
      </c>
      <c r="Q76" s="236">
        <f>IFERROR(__xludf.DUMMYFUNCTION("""COMPUTED_VALUE"""),2.0)</f>
        <v>2</v>
      </c>
      <c r="R76" s="236">
        <f>IFERROR(__xludf.DUMMYFUNCTION("""COMPUTED_VALUE"""),1724.0)</f>
        <v>1724</v>
      </c>
      <c r="S76" s="236">
        <f>IFERROR(__xludf.DUMMYFUNCTION("""COMPUTED_VALUE"""),0.0)</f>
        <v>0</v>
      </c>
      <c r="T76" s="236">
        <f>IFERROR(__xludf.DUMMYFUNCTION("""COMPUTED_VALUE"""),309.0)</f>
        <v>309</v>
      </c>
      <c r="U76" s="236">
        <f>IFERROR(__xludf.DUMMYFUNCTION("""COMPUTED_VALUE"""),45.0)</f>
        <v>45</v>
      </c>
      <c r="V76" s="236">
        <f>IFERROR(__xludf.DUMMYFUNCTION("""COMPUTED_VALUE"""),44.0)</f>
        <v>44</v>
      </c>
      <c r="W76" s="236">
        <f>IFERROR(__xludf.DUMMYFUNCTION("""COMPUTED_VALUE"""),9.0)</f>
        <v>9</v>
      </c>
      <c r="X76" s="236">
        <f>IFERROR(__xludf.DUMMYFUNCTION("""COMPUTED_VALUE"""),8.0)</f>
        <v>8</v>
      </c>
      <c r="Y76" s="236">
        <f>IFERROR(__xludf.DUMMYFUNCTION("""COMPUTED_VALUE"""),0.0)</f>
        <v>0</v>
      </c>
      <c r="Z76" s="236">
        <f>IFERROR(__xludf.DUMMYFUNCTION("""COMPUTED_VALUE"""),993.0)</f>
        <v>993</v>
      </c>
    </row>
    <row r="77">
      <c r="A77" s="235">
        <f>IFERROR(__xludf.DUMMYFUNCTION("""COMPUTED_VALUE"""),44021.0)</f>
        <v>44021</v>
      </c>
      <c r="B77" s="236">
        <f>IFERROR(__xludf.DUMMYFUNCTION("""COMPUTED_VALUE"""),94.0)</f>
        <v>94</v>
      </c>
      <c r="C77" s="236">
        <f>IFERROR(__xludf.DUMMYFUNCTION("""COMPUTED_VALUE"""),93.0)</f>
        <v>93</v>
      </c>
      <c r="D77" s="236">
        <f>IFERROR(__xludf.DUMMYFUNCTION("""COMPUTED_VALUE"""),25352.0)</f>
        <v>25352</v>
      </c>
      <c r="E77" s="236">
        <f>IFERROR(__xludf.DUMMYFUNCTION("""COMPUTED_VALUE"""),3714.0)</f>
        <v>3714</v>
      </c>
      <c r="F77" s="172">
        <f>IFERROR(__xludf.DUMMYFUNCTION("""COMPUTED_VALUE"""),260760.0)</f>
        <v>260760</v>
      </c>
      <c r="G77" s="172">
        <f>IFERROR(__xludf.DUMMYFUNCTION("""COMPUTED_VALUE"""),3808.0)</f>
        <v>3808</v>
      </c>
      <c r="H77" s="172">
        <f>IFERROR(__xludf.DUMMYFUNCTION("""COMPUTED_VALUE"""),286112.0)</f>
        <v>286112</v>
      </c>
      <c r="I77" s="236">
        <f>IFERROR(__xludf.DUMMYFUNCTION("""COMPUTED_VALUE"""),50.0)</f>
        <v>50</v>
      </c>
      <c r="J77" s="236">
        <f>IFERROR(__xludf.DUMMYFUNCTION("""COMPUTED_VALUE"""),54.0)</f>
        <v>54</v>
      </c>
      <c r="K77" s="236">
        <f>IFERROR(__xludf.DUMMYFUNCTION("""COMPUTED_VALUE"""),17278.0)</f>
        <v>17278</v>
      </c>
      <c r="L77" s="236">
        <f>IFERROR(__xludf.DUMMYFUNCTION("""COMPUTED_VALUE"""),1604.0)</f>
        <v>1604</v>
      </c>
      <c r="M77" s="236">
        <f>IFERROR(__xludf.DUMMYFUNCTION("""COMPUTED_VALUE"""),149976.0)</f>
        <v>149976</v>
      </c>
      <c r="N77" s="236">
        <f>IFERROR(__xludf.DUMMYFUNCTION("""COMPUTED_VALUE"""),167254.0)</f>
        <v>167254</v>
      </c>
      <c r="O77" s="236">
        <f>IFERROR(__xludf.DUMMYFUNCTION("""COMPUTED_VALUE"""),9.0)</f>
        <v>9</v>
      </c>
      <c r="P77" s="236">
        <f>IFERROR(__xludf.DUMMYFUNCTION("""COMPUTED_VALUE"""),2087.0)</f>
        <v>2087</v>
      </c>
      <c r="Q77" s="236">
        <f>IFERROR(__xludf.DUMMYFUNCTION("""COMPUTED_VALUE"""),3.0)</f>
        <v>3</v>
      </c>
      <c r="R77" s="236">
        <f>IFERROR(__xludf.DUMMYFUNCTION("""COMPUTED_VALUE"""),1727.0)</f>
        <v>1727</v>
      </c>
      <c r="S77" s="236">
        <f>IFERROR(__xludf.DUMMYFUNCTION("""COMPUTED_VALUE"""),0.0)</f>
        <v>0</v>
      </c>
      <c r="T77" s="236">
        <f>IFERROR(__xludf.DUMMYFUNCTION("""COMPUTED_VALUE"""),309.0)</f>
        <v>309</v>
      </c>
      <c r="U77" s="236">
        <f>IFERROR(__xludf.DUMMYFUNCTION("""COMPUTED_VALUE"""),51.0)</f>
        <v>51</v>
      </c>
      <c r="V77" s="236">
        <f>IFERROR(__xludf.DUMMYFUNCTION("""COMPUTED_VALUE"""),46.0)</f>
        <v>46</v>
      </c>
      <c r="W77" s="236">
        <f>IFERROR(__xludf.DUMMYFUNCTION("""COMPUTED_VALUE"""),9.0)</f>
        <v>9</v>
      </c>
      <c r="X77" s="236">
        <f>IFERROR(__xludf.DUMMYFUNCTION("""COMPUTED_VALUE"""),8.0)</f>
        <v>8</v>
      </c>
      <c r="Y77" s="236">
        <f>IFERROR(__xludf.DUMMYFUNCTION("""COMPUTED_VALUE"""),0.0)</f>
        <v>0</v>
      </c>
      <c r="Z77" s="236">
        <f>IFERROR(__xludf.DUMMYFUNCTION("""COMPUTED_VALUE"""),993.0)</f>
        <v>993</v>
      </c>
    </row>
    <row r="78">
      <c r="A78" s="235">
        <f>IFERROR(__xludf.DUMMYFUNCTION("""COMPUTED_VALUE"""),44022.0)</f>
        <v>44022</v>
      </c>
      <c r="B78" s="236">
        <f>IFERROR(__xludf.DUMMYFUNCTION("""COMPUTED_VALUE"""),132.0)</f>
        <v>132</v>
      </c>
      <c r="C78" s="236">
        <f>IFERROR(__xludf.DUMMYFUNCTION("""COMPUTED_VALUE"""),110.0)</f>
        <v>110</v>
      </c>
      <c r="D78" s="236">
        <f>IFERROR(__xludf.DUMMYFUNCTION("""COMPUTED_VALUE"""),25484.0)</f>
        <v>25484</v>
      </c>
      <c r="E78" s="236">
        <f>IFERROR(__xludf.DUMMYFUNCTION("""COMPUTED_VALUE"""),4437.0)</f>
        <v>4437</v>
      </c>
      <c r="F78" s="172">
        <f>IFERROR(__xludf.DUMMYFUNCTION("""COMPUTED_VALUE"""),265197.0)</f>
        <v>265197</v>
      </c>
      <c r="G78" s="172">
        <f>IFERROR(__xludf.DUMMYFUNCTION("""COMPUTED_VALUE"""),4569.0)</f>
        <v>4569</v>
      </c>
      <c r="H78" s="172">
        <f>IFERROR(__xludf.DUMMYFUNCTION("""COMPUTED_VALUE"""),290681.0)</f>
        <v>290681</v>
      </c>
      <c r="I78" s="236">
        <f>IFERROR(__xludf.DUMMYFUNCTION("""COMPUTED_VALUE"""),80.0)</f>
        <v>80</v>
      </c>
      <c r="J78" s="236">
        <f>IFERROR(__xludf.DUMMYFUNCTION("""COMPUTED_VALUE"""),65.0)</f>
        <v>65</v>
      </c>
      <c r="K78" s="236">
        <f>IFERROR(__xludf.DUMMYFUNCTION("""COMPUTED_VALUE"""),17358.0)</f>
        <v>17358</v>
      </c>
      <c r="L78" s="236">
        <f>IFERROR(__xludf.DUMMYFUNCTION("""COMPUTED_VALUE"""),2058.0)</f>
        <v>2058</v>
      </c>
      <c r="M78" s="236">
        <f>IFERROR(__xludf.DUMMYFUNCTION("""COMPUTED_VALUE"""),152034.0)</f>
        <v>152034</v>
      </c>
      <c r="N78" s="236">
        <f>IFERROR(__xludf.DUMMYFUNCTION("""COMPUTED_VALUE"""),169392.0)</f>
        <v>169392</v>
      </c>
      <c r="O78" s="236">
        <f>IFERROR(__xludf.DUMMYFUNCTION("""COMPUTED_VALUE"""),6.0)</f>
        <v>6</v>
      </c>
      <c r="P78" s="236">
        <f>IFERROR(__xludf.DUMMYFUNCTION("""COMPUTED_VALUE"""),2093.0)</f>
        <v>2093</v>
      </c>
      <c r="Q78" s="236">
        <f>IFERROR(__xludf.DUMMYFUNCTION("""COMPUTED_VALUE"""),3.0)</f>
        <v>3</v>
      </c>
      <c r="R78" s="236">
        <f>IFERROR(__xludf.DUMMYFUNCTION("""COMPUTED_VALUE"""),1730.0)</f>
        <v>1730</v>
      </c>
      <c r="S78" s="236">
        <f>IFERROR(__xludf.DUMMYFUNCTION("""COMPUTED_VALUE"""),2.0)</f>
        <v>2</v>
      </c>
      <c r="T78" s="236">
        <f>IFERROR(__xludf.DUMMYFUNCTION("""COMPUTED_VALUE"""),311.0)</f>
        <v>311</v>
      </c>
      <c r="U78" s="236">
        <f>IFERROR(__xludf.DUMMYFUNCTION("""COMPUTED_VALUE"""),52.0)</f>
        <v>52</v>
      </c>
      <c r="V78" s="236">
        <f>IFERROR(__xludf.DUMMYFUNCTION("""COMPUTED_VALUE"""),49.0)</f>
        <v>49</v>
      </c>
      <c r="W78" s="236">
        <f>IFERROR(__xludf.DUMMYFUNCTION("""COMPUTED_VALUE"""),7.0)</f>
        <v>7</v>
      </c>
      <c r="X78" s="236">
        <f>IFERROR(__xludf.DUMMYFUNCTION("""COMPUTED_VALUE"""),7.0)</f>
        <v>7</v>
      </c>
      <c r="Y78" s="236">
        <f>IFERROR(__xludf.DUMMYFUNCTION("""COMPUTED_VALUE"""),3.0)</f>
        <v>3</v>
      </c>
      <c r="Z78" s="236">
        <f>IFERROR(__xludf.DUMMYFUNCTION("""COMPUTED_VALUE"""),996.0)</f>
        <v>996</v>
      </c>
    </row>
    <row r="79">
      <c r="A79" s="235">
        <f>IFERROR(__xludf.DUMMYFUNCTION("""COMPUTED_VALUE"""),44023.0)</f>
        <v>44023</v>
      </c>
      <c r="B79" s="236">
        <f>IFERROR(__xludf.DUMMYFUNCTION("""COMPUTED_VALUE"""),63.0)</f>
        <v>63</v>
      </c>
      <c r="C79" s="236">
        <f>IFERROR(__xludf.DUMMYFUNCTION("""COMPUTED_VALUE"""),96.0)</f>
        <v>96</v>
      </c>
      <c r="D79" s="236">
        <f>IFERROR(__xludf.DUMMYFUNCTION("""COMPUTED_VALUE"""),25547.0)</f>
        <v>25547</v>
      </c>
      <c r="E79" s="236">
        <f>IFERROR(__xludf.DUMMYFUNCTION("""COMPUTED_VALUE"""),2938.0)</f>
        <v>2938</v>
      </c>
      <c r="F79" s="172">
        <f>IFERROR(__xludf.DUMMYFUNCTION("""COMPUTED_VALUE"""),268135.0)</f>
        <v>268135</v>
      </c>
      <c r="G79" s="172">
        <f>IFERROR(__xludf.DUMMYFUNCTION("""COMPUTED_VALUE"""),3001.0)</f>
        <v>3001</v>
      </c>
      <c r="H79" s="172">
        <f>IFERROR(__xludf.DUMMYFUNCTION("""COMPUTED_VALUE"""),293682.0)</f>
        <v>293682</v>
      </c>
      <c r="I79" s="236">
        <f>IFERROR(__xludf.DUMMYFUNCTION("""COMPUTED_VALUE"""),36.0)</f>
        <v>36</v>
      </c>
      <c r="J79" s="236">
        <f>IFERROR(__xludf.DUMMYFUNCTION("""COMPUTED_VALUE"""),55.0)</f>
        <v>55</v>
      </c>
      <c r="K79" s="236">
        <f>IFERROR(__xludf.DUMMYFUNCTION("""COMPUTED_VALUE"""),17394.0)</f>
        <v>17394</v>
      </c>
      <c r="L79" s="236">
        <f>IFERROR(__xludf.DUMMYFUNCTION("""COMPUTED_VALUE"""),1308.0)</f>
        <v>1308</v>
      </c>
      <c r="M79" s="236">
        <f>IFERROR(__xludf.DUMMYFUNCTION("""COMPUTED_VALUE"""),153342.0)</f>
        <v>153342</v>
      </c>
      <c r="N79" s="236">
        <f>IFERROR(__xludf.DUMMYFUNCTION("""COMPUTED_VALUE"""),170736.0)</f>
        <v>170736</v>
      </c>
      <c r="O79" s="236">
        <f>IFERROR(__xludf.DUMMYFUNCTION("""COMPUTED_VALUE"""),6.0)</f>
        <v>6</v>
      </c>
      <c r="P79" s="236">
        <f>IFERROR(__xludf.DUMMYFUNCTION("""COMPUTED_VALUE"""),2099.0)</f>
        <v>2099</v>
      </c>
      <c r="Q79" s="236">
        <f>IFERROR(__xludf.DUMMYFUNCTION("""COMPUTED_VALUE"""),3.0)</f>
        <v>3</v>
      </c>
      <c r="R79" s="236">
        <f>IFERROR(__xludf.DUMMYFUNCTION("""COMPUTED_VALUE"""),1733.0)</f>
        <v>1733</v>
      </c>
      <c r="S79" s="236">
        <f>IFERROR(__xludf.DUMMYFUNCTION("""COMPUTED_VALUE"""),1.0)</f>
        <v>1</v>
      </c>
      <c r="T79" s="236">
        <f>IFERROR(__xludf.DUMMYFUNCTION("""COMPUTED_VALUE"""),312.0)</f>
        <v>312</v>
      </c>
      <c r="U79" s="236">
        <f>IFERROR(__xludf.DUMMYFUNCTION("""COMPUTED_VALUE"""),54.0)</f>
        <v>54</v>
      </c>
      <c r="V79" s="236">
        <f>IFERROR(__xludf.DUMMYFUNCTION("""COMPUTED_VALUE"""),52.0)</f>
        <v>52</v>
      </c>
      <c r="W79" s="236">
        <f>IFERROR(__xludf.DUMMYFUNCTION("""COMPUTED_VALUE"""),6.0)</f>
        <v>6</v>
      </c>
      <c r="X79" s="236">
        <f>IFERROR(__xludf.DUMMYFUNCTION("""COMPUTED_VALUE"""),6.0)</f>
        <v>6</v>
      </c>
      <c r="Y79" s="236">
        <f>IFERROR(__xludf.DUMMYFUNCTION("""COMPUTED_VALUE"""),3.0)</f>
        <v>3</v>
      </c>
      <c r="Z79" s="236">
        <f>IFERROR(__xludf.DUMMYFUNCTION("""COMPUTED_VALUE"""),999.0)</f>
        <v>999</v>
      </c>
    </row>
    <row r="80">
      <c r="A80" s="235">
        <f>IFERROR(__xludf.DUMMYFUNCTION("""COMPUTED_VALUE"""),44024.0)</f>
        <v>44024</v>
      </c>
      <c r="B80" s="236">
        <f>IFERROR(__xludf.DUMMYFUNCTION("""COMPUTED_VALUE"""),47.0)</f>
        <v>47</v>
      </c>
      <c r="C80" s="236">
        <f>IFERROR(__xludf.DUMMYFUNCTION("""COMPUTED_VALUE"""),81.0)</f>
        <v>81</v>
      </c>
      <c r="D80" s="236">
        <f>IFERROR(__xludf.DUMMYFUNCTION("""COMPUTED_VALUE"""),25594.0)</f>
        <v>25594</v>
      </c>
      <c r="E80" s="236">
        <f>IFERROR(__xludf.DUMMYFUNCTION("""COMPUTED_VALUE"""),1838.0)</f>
        <v>1838</v>
      </c>
      <c r="F80" s="172">
        <f>IFERROR(__xludf.DUMMYFUNCTION("""COMPUTED_VALUE"""),269973.0)</f>
        <v>269973</v>
      </c>
      <c r="G80" s="172">
        <f>IFERROR(__xludf.DUMMYFUNCTION("""COMPUTED_VALUE"""),1885.0)</f>
        <v>1885</v>
      </c>
      <c r="H80" s="172">
        <f>IFERROR(__xludf.DUMMYFUNCTION("""COMPUTED_VALUE"""),295567.0)</f>
        <v>295567</v>
      </c>
      <c r="I80" s="236">
        <f>IFERROR(__xludf.DUMMYFUNCTION("""COMPUTED_VALUE"""),34.0)</f>
        <v>34</v>
      </c>
      <c r="J80" s="236">
        <f>IFERROR(__xludf.DUMMYFUNCTION("""COMPUTED_VALUE"""),50.0)</f>
        <v>50</v>
      </c>
      <c r="K80" s="236">
        <f>IFERROR(__xludf.DUMMYFUNCTION("""COMPUTED_VALUE"""),17428.0)</f>
        <v>17428</v>
      </c>
      <c r="L80" s="236">
        <f>IFERROR(__xludf.DUMMYFUNCTION("""COMPUTED_VALUE"""),936.0)</f>
        <v>936</v>
      </c>
      <c r="M80" s="236">
        <f>IFERROR(__xludf.DUMMYFUNCTION("""COMPUTED_VALUE"""),154278.0)</f>
        <v>154278</v>
      </c>
      <c r="N80" s="236">
        <f>IFERROR(__xludf.DUMMYFUNCTION("""COMPUTED_VALUE"""),171706.0)</f>
        <v>171706</v>
      </c>
      <c r="O80" s="236">
        <f>IFERROR(__xludf.DUMMYFUNCTION("""COMPUTED_VALUE"""),1.0)</f>
        <v>1</v>
      </c>
      <c r="P80" s="236">
        <f>IFERROR(__xludf.DUMMYFUNCTION("""COMPUTED_VALUE"""),2100.0)</f>
        <v>2100</v>
      </c>
      <c r="Q80" s="236">
        <f>IFERROR(__xludf.DUMMYFUNCTION("""COMPUTED_VALUE"""),3.0)</f>
        <v>3</v>
      </c>
      <c r="R80" s="236">
        <f>IFERROR(__xludf.DUMMYFUNCTION("""COMPUTED_VALUE"""),1736.0)</f>
        <v>1736</v>
      </c>
      <c r="S80" s="236">
        <f>IFERROR(__xludf.DUMMYFUNCTION("""COMPUTED_VALUE"""),1.0)</f>
        <v>1</v>
      </c>
      <c r="T80" s="236">
        <f>IFERROR(__xludf.DUMMYFUNCTION("""COMPUTED_VALUE"""),313.0)</f>
        <v>313</v>
      </c>
      <c r="U80" s="236">
        <f>IFERROR(__xludf.DUMMYFUNCTION("""COMPUTED_VALUE"""),51.0)</f>
        <v>51</v>
      </c>
      <c r="V80" s="236">
        <f>IFERROR(__xludf.DUMMYFUNCTION("""COMPUTED_VALUE"""),52.0)</f>
        <v>52</v>
      </c>
      <c r="W80" s="236">
        <f>IFERROR(__xludf.DUMMYFUNCTION("""COMPUTED_VALUE"""),6.0)</f>
        <v>6</v>
      </c>
      <c r="X80" s="236">
        <f>IFERROR(__xludf.DUMMYFUNCTION("""COMPUTED_VALUE"""),5.0)</f>
        <v>5</v>
      </c>
      <c r="Y80" s="236">
        <f>IFERROR(__xludf.DUMMYFUNCTION("""COMPUTED_VALUE"""),3.0)</f>
        <v>3</v>
      </c>
      <c r="Z80" s="236">
        <f>IFERROR(__xludf.DUMMYFUNCTION("""COMPUTED_VALUE"""),1002.0)</f>
        <v>1002</v>
      </c>
    </row>
    <row r="81">
      <c r="A81" s="235">
        <f>IFERROR(__xludf.DUMMYFUNCTION("""COMPUTED_VALUE"""),44025.0)</f>
        <v>44025</v>
      </c>
      <c r="B81" s="236">
        <f>IFERROR(__xludf.DUMMYFUNCTION("""COMPUTED_VALUE"""),84.0)</f>
        <v>84</v>
      </c>
      <c r="C81" s="236">
        <f>IFERROR(__xludf.DUMMYFUNCTION("""COMPUTED_VALUE"""),65.0)</f>
        <v>65</v>
      </c>
      <c r="D81" s="236">
        <f>IFERROR(__xludf.DUMMYFUNCTION("""COMPUTED_VALUE"""),25678.0)</f>
        <v>25678</v>
      </c>
      <c r="E81" s="236">
        <f>IFERROR(__xludf.DUMMYFUNCTION("""COMPUTED_VALUE"""),3209.0)</f>
        <v>3209</v>
      </c>
      <c r="F81" s="172">
        <f>IFERROR(__xludf.DUMMYFUNCTION("""COMPUTED_VALUE"""),273182.0)</f>
        <v>273182</v>
      </c>
      <c r="G81" s="172">
        <f>IFERROR(__xludf.DUMMYFUNCTION("""COMPUTED_VALUE"""),3293.0)</f>
        <v>3293</v>
      </c>
      <c r="H81" s="172">
        <f>IFERROR(__xludf.DUMMYFUNCTION("""COMPUTED_VALUE"""),298860.0)</f>
        <v>298860</v>
      </c>
      <c r="I81" s="236">
        <f>IFERROR(__xludf.DUMMYFUNCTION("""COMPUTED_VALUE"""),61.0)</f>
        <v>61</v>
      </c>
      <c r="J81" s="236">
        <f>IFERROR(__xludf.DUMMYFUNCTION("""COMPUTED_VALUE"""),44.0)</f>
        <v>44</v>
      </c>
      <c r="K81" s="236">
        <f>IFERROR(__xludf.DUMMYFUNCTION("""COMPUTED_VALUE"""),17489.0)</f>
        <v>17489</v>
      </c>
      <c r="L81" s="236">
        <f>IFERROR(__xludf.DUMMYFUNCTION("""COMPUTED_VALUE"""),1492.0)</f>
        <v>1492</v>
      </c>
      <c r="M81" s="236">
        <f>IFERROR(__xludf.DUMMYFUNCTION("""COMPUTED_VALUE"""),155770.0)</f>
        <v>155770</v>
      </c>
      <c r="N81" s="236">
        <f>IFERROR(__xludf.DUMMYFUNCTION("""COMPUTED_VALUE"""),173259.0)</f>
        <v>173259</v>
      </c>
      <c r="O81" s="236">
        <f>IFERROR(__xludf.DUMMYFUNCTION("""COMPUTED_VALUE"""),8.0)</f>
        <v>8</v>
      </c>
      <c r="P81" s="236">
        <f>IFERROR(__xludf.DUMMYFUNCTION("""COMPUTED_VALUE"""),2108.0)</f>
        <v>2108</v>
      </c>
      <c r="Q81" s="236">
        <f>IFERROR(__xludf.DUMMYFUNCTION("""COMPUTED_VALUE"""),10.0)</f>
        <v>10</v>
      </c>
      <c r="R81" s="236">
        <f>IFERROR(__xludf.DUMMYFUNCTION("""COMPUTED_VALUE"""),1746.0)</f>
        <v>1746</v>
      </c>
      <c r="S81" s="236">
        <f>IFERROR(__xludf.DUMMYFUNCTION("""COMPUTED_VALUE"""),0.0)</f>
        <v>0</v>
      </c>
      <c r="T81" s="236">
        <f>IFERROR(__xludf.DUMMYFUNCTION("""COMPUTED_VALUE"""),313.0)</f>
        <v>313</v>
      </c>
      <c r="U81" s="236">
        <f>IFERROR(__xludf.DUMMYFUNCTION("""COMPUTED_VALUE"""),49.0)</f>
        <v>49</v>
      </c>
      <c r="V81" s="236">
        <f>IFERROR(__xludf.DUMMYFUNCTION("""COMPUTED_VALUE"""),51.0)</f>
        <v>51</v>
      </c>
      <c r="W81" s="236">
        <f>IFERROR(__xludf.DUMMYFUNCTION("""COMPUTED_VALUE"""),6.0)</f>
        <v>6</v>
      </c>
      <c r="X81" s="236">
        <f>IFERROR(__xludf.DUMMYFUNCTION("""COMPUTED_VALUE"""),5.0)</f>
        <v>5</v>
      </c>
      <c r="Y81" s="236">
        <f>IFERROR(__xludf.DUMMYFUNCTION("""COMPUTED_VALUE"""),1.0)</f>
        <v>1</v>
      </c>
      <c r="Z81" s="236">
        <f>IFERROR(__xludf.DUMMYFUNCTION("""COMPUTED_VALUE"""),1003.0)</f>
        <v>1003</v>
      </c>
    </row>
    <row r="82">
      <c r="A82" s="235">
        <f>IFERROR(__xludf.DUMMYFUNCTION("""COMPUTED_VALUE"""),44026.0)</f>
        <v>44026</v>
      </c>
      <c r="B82" s="236">
        <f>IFERROR(__xludf.DUMMYFUNCTION("""COMPUTED_VALUE"""),74.0)</f>
        <v>74</v>
      </c>
      <c r="C82" s="236">
        <f>IFERROR(__xludf.DUMMYFUNCTION("""COMPUTED_VALUE"""),68.0)</f>
        <v>68</v>
      </c>
      <c r="D82" s="236">
        <f>IFERROR(__xludf.DUMMYFUNCTION("""COMPUTED_VALUE"""),25752.0)</f>
        <v>25752</v>
      </c>
      <c r="E82" s="236">
        <f>IFERROR(__xludf.DUMMYFUNCTION("""COMPUTED_VALUE"""),3298.0)</f>
        <v>3298</v>
      </c>
      <c r="F82" s="172">
        <f>IFERROR(__xludf.DUMMYFUNCTION("""COMPUTED_VALUE"""),276480.0)</f>
        <v>276480</v>
      </c>
      <c r="G82" s="172">
        <f>IFERROR(__xludf.DUMMYFUNCTION("""COMPUTED_VALUE"""),3372.0)</f>
        <v>3372</v>
      </c>
      <c r="H82" s="172">
        <f>IFERROR(__xludf.DUMMYFUNCTION("""COMPUTED_VALUE"""),302232.0)</f>
        <v>302232</v>
      </c>
      <c r="I82" s="236">
        <f>IFERROR(__xludf.DUMMYFUNCTION("""COMPUTED_VALUE"""),44.0)</f>
        <v>44</v>
      </c>
      <c r="J82" s="236">
        <f>IFERROR(__xludf.DUMMYFUNCTION("""COMPUTED_VALUE"""),46.0)</f>
        <v>46</v>
      </c>
      <c r="K82" s="236">
        <f>IFERROR(__xludf.DUMMYFUNCTION("""COMPUTED_VALUE"""),17533.0)</f>
        <v>17533</v>
      </c>
      <c r="L82" s="236">
        <f>IFERROR(__xludf.DUMMYFUNCTION("""COMPUTED_VALUE"""),1366.0)</f>
        <v>1366</v>
      </c>
      <c r="M82" s="236">
        <f>IFERROR(__xludf.DUMMYFUNCTION("""COMPUTED_VALUE"""),157136.0)</f>
        <v>157136</v>
      </c>
      <c r="N82" s="236">
        <f>IFERROR(__xludf.DUMMYFUNCTION("""COMPUTED_VALUE"""),174669.0)</f>
        <v>174669</v>
      </c>
      <c r="O82" s="236">
        <f>IFERROR(__xludf.DUMMYFUNCTION("""COMPUTED_VALUE"""),7.0)</f>
        <v>7</v>
      </c>
      <c r="P82" s="236">
        <f>IFERROR(__xludf.DUMMYFUNCTION("""COMPUTED_VALUE"""),2115.0)</f>
        <v>2115</v>
      </c>
      <c r="Q82" s="236">
        <f>IFERROR(__xludf.DUMMYFUNCTION("""COMPUTED_VALUE"""),4.0)</f>
        <v>4</v>
      </c>
      <c r="R82" s="236">
        <f>IFERROR(__xludf.DUMMYFUNCTION("""COMPUTED_VALUE"""),1750.0)</f>
        <v>1750</v>
      </c>
      <c r="S82" s="236">
        <f>IFERROR(__xludf.DUMMYFUNCTION("""COMPUTED_VALUE"""),0.0)</f>
        <v>0</v>
      </c>
      <c r="T82" s="236">
        <f>IFERROR(__xludf.DUMMYFUNCTION("""COMPUTED_VALUE"""),313.0)</f>
        <v>313</v>
      </c>
      <c r="U82" s="236">
        <f>IFERROR(__xludf.DUMMYFUNCTION("""COMPUTED_VALUE"""),52.0)</f>
        <v>52</v>
      </c>
      <c r="V82" s="236">
        <f>IFERROR(__xludf.DUMMYFUNCTION("""COMPUTED_VALUE"""),51.0)</f>
        <v>51</v>
      </c>
      <c r="W82" s="236">
        <f>IFERROR(__xludf.DUMMYFUNCTION("""COMPUTED_VALUE"""),5.0)</f>
        <v>5</v>
      </c>
      <c r="X82" s="236">
        <f>IFERROR(__xludf.DUMMYFUNCTION("""COMPUTED_VALUE"""),5.0)</f>
        <v>5</v>
      </c>
      <c r="Y82" s="236">
        <f>IFERROR(__xludf.DUMMYFUNCTION("""COMPUTED_VALUE"""),1.0)</f>
        <v>1</v>
      </c>
      <c r="Z82" s="236">
        <f>IFERROR(__xludf.DUMMYFUNCTION("""COMPUTED_VALUE"""),1004.0)</f>
        <v>1004</v>
      </c>
    </row>
    <row r="83">
      <c r="A83" s="235">
        <f>IFERROR(__xludf.DUMMYFUNCTION("""COMPUTED_VALUE"""),44027.0)</f>
        <v>44027</v>
      </c>
      <c r="B83" s="236">
        <f>IFERROR(__xludf.DUMMYFUNCTION("""COMPUTED_VALUE"""),130.0)</f>
        <v>130</v>
      </c>
      <c r="C83" s="236">
        <f>IFERROR(__xludf.DUMMYFUNCTION("""COMPUTED_VALUE"""),96.0)</f>
        <v>96</v>
      </c>
      <c r="D83" s="236">
        <f>IFERROR(__xludf.DUMMYFUNCTION("""COMPUTED_VALUE"""),25882.0)</f>
        <v>25882</v>
      </c>
      <c r="E83" s="236">
        <f>IFERROR(__xludf.DUMMYFUNCTION("""COMPUTED_VALUE"""),4181.0)</f>
        <v>4181</v>
      </c>
      <c r="F83" s="172">
        <f>IFERROR(__xludf.DUMMYFUNCTION("""COMPUTED_VALUE"""),280661.0)</f>
        <v>280661</v>
      </c>
      <c r="G83" s="172">
        <f>IFERROR(__xludf.DUMMYFUNCTION("""COMPUTED_VALUE"""),4311.0)</f>
        <v>4311</v>
      </c>
      <c r="H83" s="172">
        <f>IFERROR(__xludf.DUMMYFUNCTION("""COMPUTED_VALUE"""),306543.0)</f>
        <v>306543</v>
      </c>
      <c r="I83" s="236">
        <f>IFERROR(__xludf.DUMMYFUNCTION("""COMPUTED_VALUE"""),100.0)</f>
        <v>100</v>
      </c>
      <c r="J83" s="236">
        <f>IFERROR(__xludf.DUMMYFUNCTION("""COMPUTED_VALUE"""),68.0)</f>
        <v>68</v>
      </c>
      <c r="K83" s="236">
        <f>IFERROR(__xludf.DUMMYFUNCTION("""COMPUTED_VALUE"""),17633.0)</f>
        <v>17633</v>
      </c>
      <c r="L83" s="236">
        <f>IFERROR(__xludf.DUMMYFUNCTION("""COMPUTED_VALUE"""),1739.0)</f>
        <v>1739</v>
      </c>
      <c r="M83" s="236">
        <f>IFERROR(__xludf.DUMMYFUNCTION("""COMPUTED_VALUE"""),158875.0)</f>
        <v>158875</v>
      </c>
      <c r="N83" s="236">
        <f>IFERROR(__xludf.DUMMYFUNCTION("""COMPUTED_VALUE"""),176508.0)</f>
        <v>176508</v>
      </c>
      <c r="O83" s="236">
        <f>IFERROR(__xludf.DUMMYFUNCTION("""COMPUTED_VALUE"""),5.0)</f>
        <v>5</v>
      </c>
      <c r="P83" s="236">
        <f>IFERROR(__xludf.DUMMYFUNCTION("""COMPUTED_VALUE"""),2120.0)</f>
        <v>2120</v>
      </c>
      <c r="Q83" s="236">
        <f>IFERROR(__xludf.DUMMYFUNCTION("""COMPUTED_VALUE"""),7.0)</f>
        <v>7</v>
      </c>
      <c r="R83" s="236">
        <f>IFERROR(__xludf.DUMMYFUNCTION("""COMPUTED_VALUE"""),1757.0)</f>
        <v>1757</v>
      </c>
      <c r="S83" s="236">
        <f>IFERROR(__xludf.DUMMYFUNCTION("""COMPUTED_VALUE"""),0.0)</f>
        <v>0</v>
      </c>
      <c r="T83" s="236">
        <f>IFERROR(__xludf.DUMMYFUNCTION("""COMPUTED_VALUE"""),313.0)</f>
        <v>313</v>
      </c>
      <c r="U83" s="236">
        <f>IFERROR(__xludf.DUMMYFUNCTION("""COMPUTED_VALUE"""),50.0)</f>
        <v>50</v>
      </c>
      <c r="V83" s="236">
        <f>IFERROR(__xludf.DUMMYFUNCTION("""COMPUTED_VALUE"""),50.0)</f>
        <v>50</v>
      </c>
      <c r="W83" s="236">
        <f>IFERROR(__xludf.DUMMYFUNCTION("""COMPUTED_VALUE"""),5.0)</f>
        <v>5</v>
      </c>
      <c r="X83" s="236">
        <f>IFERROR(__xludf.DUMMYFUNCTION("""COMPUTED_VALUE"""),4.0)</f>
        <v>4</v>
      </c>
      <c r="Y83" s="236">
        <f>IFERROR(__xludf.DUMMYFUNCTION("""COMPUTED_VALUE"""),0.0)</f>
        <v>0</v>
      </c>
      <c r="Z83" s="236">
        <f>IFERROR(__xludf.DUMMYFUNCTION("""COMPUTED_VALUE"""),1004.0)</f>
        <v>1004</v>
      </c>
    </row>
    <row r="84">
      <c r="A84" s="235">
        <f>IFERROR(__xludf.DUMMYFUNCTION("""COMPUTED_VALUE"""),44028.0)</f>
        <v>44028</v>
      </c>
      <c r="B84" s="236">
        <f>IFERROR(__xludf.DUMMYFUNCTION("""COMPUTED_VALUE"""),103.0)</f>
        <v>103</v>
      </c>
      <c r="C84" s="236">
        <f>IFERROR(__xludf.DUMMYFUNCTION("""COMPUTED_VALUE"""),102.0)</f>
        <v>102</v>
      </c>
      <c r="D84" s="236">
        <f>IFERROR(__xludf.DUMMYFUNCTION("""COMPUTED_VALUE"""),25985.0)</f>
        <v>25985</v>
      </c>
      <c r="E84" s="236">
        <f>IFERROR(__xludf.DUMMYFUNCTION("""COMPUTED_VALUE"""),3740.0)</f>
        <v>3740</v>
      </c>
      <c r="F84" s="172">
        <f>IFERROR(__xludf.DUMMYFUNCTION("""COMPUTED_VALUE"""),284401.0)</f>
        <v>284401</v>
      </c>
      <c r="G84" s="172">
        <f>IFERROR(__xludf.DUMMYFUNCTION("""COMPUTED_VALUE"""),3843.0)</f>
        <v>3843</v>
      </c>
      <c r="H84" s="172">
        <f>IFERROR(__xludf.DUMMYFUNCTION("""COMPUTED_VALUE"""),310386.0)</f>
        <v>310386</v>
      </c>
      <c r="I84" s="236">
        <f>IFERROR(__xludf.DUMMYFUNCTION("""COMPUTED_VALUE"""),76.0)</f>
        <v>76</v>
      </c>
      <c r="J84" s="236">
        <f>IFERROR(__xludf.DUMMYFUNCTION("""COMPUTED_VALUE"""),73.0)</f>
        <v>73</v>
      </c>
      <c r="K84" s="236">
        <f>IFERROR(__xludf.DUMMYFUNCTION("""COMPUTED_VALUE"""),17709.0)</f>
        <v>17709</v>
      </c>
      <c r="L84" s="236">
        <f>IFERROR(__xludf.DUMMYFUNCTION("""COMPUTED_VALUE"""),1606.0)</f>
        <v>1606</v>
      </c>
      <c r="M84" s="236">
        <f>IFERROR(__xludf.DUMMYFUNCTION("""COMPUTED_VALUE"""),160481.0)</f>
        <v>160481</v>
      </c>
      <c r="N84" s="236">
        <f>IFERROR(__xludf.DUMMYFUNCTION("""COMPUTED_VALUE"""),178190.0)</f>
        <v>178190</v>
      </c>
      <c r="O84" s="236">
        <f>IFERROR(__xludf.DUMMYFUNCTION("""COMPUTED_VALUE"""),6.0)</f>
        <v>6</v>
      </c>
      <c r="P84" s="236">
        <f>IFERROR(__xludf.DUMMYFUNCTION("""COMPUTED_VALUE"""),2126.0)</f>
        <v>2126</v>
      </c>
      <c r="Q84" s="236">
        <f>IFERROR(__xludf.DUMMYFUNCTION("""COMPUTED_VALUE"""),9.0)</f>
        <v>9</v>
      </c>
      <c r="R84" s="236">
        <f>IFERROR(__xludf.DUMMYFUNCTION("""COMPUTED_VALUE"""),1766.0)</f>
        <v>1766</v>
      </c>
      <c r="S84" s="236">
        <f>IFERROR(__xludf.DUMMYFUNCTION("""COMPUTED_VALUE"""),0.0)</f>
        <v>0</v>
      </c>
      <c r="T84" s="236">
        <f>IFERROR(__xludf.DUMMYFUNCTION("""COMPUTED_VALUE"""),313.0)</f>
        <v>313</v>
      </c>
      <c r="U84" s="236">
        <f>IFERROR(__xludf.DUMMYFUNCTION("""COMPUTED_VALUE"""),47.0)</f>
        <v>47</v>
      </c>
      <c r="V84" s="236">
        <f>IFERROR(__xludf.DUMMYFUNCTION("""COMPUTED_VALUE"""),50.0)</f>
        <v>50</v>
      </c>
      <c r="W84" s="236">
        <f>IFERROR(__xludf.DUMMYFUNCTION("""COMPUTED_VALUE"""),6.0)</f>
        <v>6</v>
      </c>
      <c r="X84" s="236">
        <f>IFERROR(__xludf.DUMMYFUNCTION("""COMPUTED_VALUE"""),5.0)</f>
        <v>5</v>
      </c>
      <c r="Y84" s="236">
        <f>IFERROR(__xludf.DUMMYFUNCTION("""COMPUTED_VALUE"""),1.0)</f>
        <v>1</v>
      </c>
      <c r="Z84" s="236">
        <f>IFERROR(__xludf.DUMMYFUNCTION("""COMPUTED_VALUE"""),1005.0)</f>
        <v>1005</v>
      </c>
    </row>
    <row r="85">
      <c r="A85" s="235">
        <f>IFERROR(__xludf.DUMMYFUNCTION("""COMPUTED_VALUE"""),44029.0)</f>
        <v>44029</v>
      </c>
      <c r="B85" s="236">
        <f>IFERROR(__xludf.DUMMYFUNCTION("""COMPUTED_VALUE"""),156.0)</f>
        <v>156</v>
      </c>
      <c r="C85" s="236">
        <f>IFERROR(__xludf.DUMMYFUNCTION("""COMPUTED_VALUE"""),130.0)</f>
        <v>130</v>
      </c>
      <c r="D85" s="236">
        <f>IFERROR(__xludf.DUMMYFUNCTION("""COMPUTED_VALUE"""),26141.0)</f>
        <v>26141</v>
      </c>
      <c r="E85" s="236">
        <f>IFERROR(__xludf.DUMMYFUNCTION("""COMPUTED_VALUE"""),4239.0)</f>
        <v>4239</v>
      </c>
      <c r="F85" s="172">
        <f>IFERROR(__xludf.DUMMYFUNCTION("""COMPUTED_VALUE"""),288640.0)</f>
        <v>288640</v>
      </c>
      <c r="G85" s="172">
        <f>IFERROR(__xludf.DUMMYFUNCTION("""COMPUTED_VALUE"""),4395.0)</f>
        <v>4395</v>
      </c>
      <c r="H85" s="172">
        <f>IFERROR(__xludf.DUMMYFUNCTION("""COMPUTED_VALUE"""),314781.0)</f>
        <v>314781</v>
      </c>
      <c r="I85" s="236">
        <f>IFERROR(__xludf.DUMMYFUNCTION("""COMPUTED_VALUE"""),79.0)</f>
        <v>79</v>
      </c>
      <c r="J85" s="236">
        <f>IFERROR(__xludf.DUMMYFUNCTION("""COMPUTED_VALUE"""),85.0)</f>
        <v>85</v>
      </c>
      <c r="K85" s="236">
        <f>IFERROR(__xludf.DUMMYFUNCTION("""COMPUTED_VALUE"""),17788.0)</f>
        <v>17788</v>
      </c>
      <c r="L85" s="236">
        <f>IFERROR(__xludf.DUMMYFUNCTION("""COMPUTED_VALUE"""),1836.0)</f>
        <v>1836</v>
      </c>
      <c r="M85" s="236">
        <f>IFERROR(__xludf.DUMMYFUNCTION("""COMPUTED_VALUE"""),162317.0)</f>
        <v>162317</v>
      </c>
      <c r="N85" s="236">
        <f>IFERROR(__xludf.DUMMYFUNCTION("""COMPUTED_VALUE"""),180105.0)</f>
        <v>180105</v>
      </c>
      <c r="O85" s="236">
        <f>IFERROR(__xludf.DUMMYFUNCTION("""COMPUTED_VALUE"""),14.0)</f>
        <v>14</v>
      </c>
      <c r="P85" s="236">
        <f>IFERROR(__xludf.DUMMYFUNCTION("""COMPUTED_VALUE"""),2140.0)</f>
        <v>2140</v>
      </c>
      <c r="Q85" s="236">
        <f>IFERROR(__xludf.DUMMYFUNCTION("""COMPUTED_VALUE"""),3.0)</f>
        <v>3</v>
      </c>
      <c r="R85" s="236">
        <f>IFERROR(__xludf.DUMMYFUNCTION("""COMPUTED_VALUE"""),1769.0)</f>
        <v>1769</v>
      </c>
      <c r="S85" s="236">
        <f>IFERROR(__xludf.DUMMYFUNCTION("""COMPUTED_VALUE"""),1.0)</f>
        <v>1</v>
      </c>
      <c r="T85" s="236">
        <f>IFERROR(__xludf.DUMMYFUNCTION("""COMPUTED_VALUE"""),314.0)</f>
        <v>314</v>
      </c>
      <c r="U85" s="236">
        <f>IFERROR(__xludf.DUMMYFUNCTION("""COMPUTED_VALUE"""),57.0)</f>
        <v>57</v>
      </c>
      <c r="V85" s="236">
        <f>IFERROR(__xludf.DUMMYFUNCTION("""COMPUTED_VALUE"""),51.0)</f>
        <v>51</v>
      </c>
      <c r="W85" s="236">
        <f>IFERROR(__xludf.DUMMYFUNCTION("""COMPUTED_VALUE"""),5.0)</f>
        <v>5</v>
      </c>
      <c r="X85" s="236">
        <f>IFERROR(__xludf.DUMMYFUNCTION("""COMPUTED_VALUE"""),5.0)</f>
        <v>5</v>
      </c>
      <c r="Y85" s="236">
        <f>IFERROR(__xludf.DUMMYFUNCTION("""COMPUTED_VALUE"""),2.0)</f>
        <v>2</v>
      </c>
      <c r="Z85" s="236">
        <f>IFERROR(__xludf.DUMMYFUNCTION("""COMPUTED_VALUE"""),1007.0)</f>
        <v>1007</v>
      </c>
    </row>
    <row r="86">
      <c r="A86" s="235">
        <f>IFERROR(__xludf.DUMMYFUNCTION("""COMPUTED_VALUE"""),44030.0)</f>
        <v>44030</v>
      </c>
      <c r="B86" s="236">
        <f>IFERROR(__xludf.DUMMYFUNCTION("""COMPUTED_VALUE"""),85.0)</f>
        <v>85</v>
      </c>
      <c r="C86" s="236">
        <f>IFERROR(__xludf.DUMMYFUNCTION("""COMPUTED_VALUE"""),115.0)</f>
        <v>115</v>
      </c>
      <c r="D86" s="236">
        <f>IFERROR(__xludf.DUMMYFUNCTION("""COMPUTED_VALUE"""),26226.0)</f>
        <v>26226</v>
      </c>
      <c r="E86" s="236">
        <f>IFERROR(__xludf.DUMMYFUNCTION("""COMPUTED_VALUE"""),3272.0)</f>
        <v>3272</v>
      </c>
      <c r="F86" s="172">
        <f>IFERROR(__xludf.DUMMYFUNCTION("""COMPUTED_VALUE"""),291912.0)</f>
        <v>291912</v>
      </c>
      <c r="G86" s="172">
        <f>IFERROR(__xludf.DUMMYFUNCTION("""COMPUTED_VALUE"""),3357.0)</f>
        <v>3357</v>
      </c>
      <c r="H86" s="172">
        <f>IFERROR(__xludf.DUMMYFUNCTION("""COMPUTED_VALUE"""),318138.0)</f>
        <v>318138</v>
      </c>
      <c r="I86" s="236">
        <f>IFERROR(__xludf.DUMMYFUNCTION("""COMPUTED_VALUE"""),70.0)</f>
        <v>70</v>
      </c>
      <c r="J86" s="236">
        <f>IFERROR(__xludf.DUMMYFUNCTION("""COMPUTED_VALUE"""),75.0)</f>
        <v>75</v>
      </c>
      <c r="K86" s="236">
        <f>IFERROR(__xludf.DUMMYFUNCTION("""COMPUTED_VALUE"""),17858.0)</f>
        <v>17858</v>
      </c>
      <c r="L86" s="236">
        <f>IFERROR(__xludf.DUMMYFUNCTION("""COMPUTED_VALUE"""),1386.0)</f>
        <v>1386</v>
      </c>
      <c r="M86" s="236">
        <f>IFERROR(__xludf.DUMMYFUNCTION("""COMPUTED_VALUE"""),163703.0)</f>
        <v>163703</v>
      </c>
      <c r="N86" s="236">
        <f>IFERROR(__xludf.DUMMYFUNCTION("""COMPUTED_VALUE"""),181561.0)</f>
        <v>181561</v>
      </c>
      <c r="O86" s="236">
        <f>IFERROR(__xludf.DUMMYFUNCTION("""COMPUTED_VALUE"""),5.0)</f>
        <v>5</v>
      </c>
      <c r="P86" s="236">
        <f>IFERROR(__xludf.DUMMYFUNCTION("""COMPUTED_VALUE"""),2145.0)</f>
        <v>2145</v>
      </c>
      <c r="Q86" s="236">
        <f>IFERROR(__xludf.DUMMYFUNCTION("""COMPUTED_VALUE"""),9.0)</f>
        <v>9</v>
      </c>
      <c r="R86" s="236">
        <f>IFERROR(__xludf.DUMMYFUNCTION("""COMPUTED_VALUE"""),1778.0)</f>
        <v>1778</v>
      </c>
      <c r="S86" s="236">
        <f>IFERROR(__xludf.DUMMYFUNCTION("""COMPUTED_VALUE"""),1.0)</f>
        <v>1</v>
      </c>
      <c r="T86" s="236">
        <f>IFERROR(__xludf.DUMMYFUNCTION("""COMPUTED_VALUE"""),315.0)</f>
        <v>315</v>
      </c>
      <c r="U86" s="236">
        <f>IFERROR(__xludf.DUMMYFUNCTION("""COMPUTED_VALUE"""),52.0)</f>
        <v>52</v>
      </c>
      <c r="V86" s="236">
        <f>IFERROR(__xludf.DUMMYFUNCTION("""COMPUTED_VALUE"""),52.0)</f>
        <v>52</v>
      </c>
      <c r="W86" s="236">
        <f>IFERROR(__xludf.DUMMYFUNCTION("""COMPUTED_VALUE"""),5.0)</f>
        <v>5</v>
      </c>
      <c r="X86" s="236">
        <f>IFERROR(__xludf.DUMMYFUNCTION("""COMPUTED_VALUE"""),4.0)</f>
        <v>4</v>
      </c>
      <c r="Y86" s="236">
        <f>IFERROR(__xludf.DUMMYFUNCTION("""COMPUTED_VALUE"""),4.0)</f>
        <v>4</v>
      </c>
      <c r="Z86" s="236">
        <f>IFERROR(__xludf.DUMMYFUNCTION("""COMPUTED_VALUE"""),1011.0)</f>
        <v>1011</v>
      </c>
    </row>
    <row r="87">
      <c r="A87" s="235">
        <f>IFERROR(__xludf.DUMMYFUNCTION("""COMPUTED_VALUE"""),44031.0)</f>
        <v>44031</v>
      </c>
      <c r="B87" s="236">
        <f>IFERROR(__xludf.DUMMYFUNCTION("""COMPUTED_VALUE"""),82.0)</f>
        <v>82</v>
      </c>
      <c r="C87" s="236">
        <f>IFERROR(__xludf.DUMMYFUNCTION("""COMPUTED_VALUE"""),108.0)</f>
        <v>108</v>
      </c>
      <c r="D87" s="236">
        <f>IFERROR(__xludf.DUMMYFUNCTION("""COMPUTED_VALUE"""),26308.0)</f>
        <v>26308</v>
      </c>
      <c r="E87" s="236">
        <f>IFERROR(__xludf.DUMMYFUNCTION("""COMPUTED_VALUE"""),2696.0)</f>
        <v>2696</v>
      </c>
      <c r="F87" s="172">
        <f>IFERROR(__xludf.DUMMYFUNCTION("""COMPUTED_VALUE"""),294608.0)</f>
        <v>294608</v>
      </c>
      <c r="G87" s="172">
        <f>IFERROR(__xludf.DUMMYFUNCTION("""COMPUTED_VALUE"""),2778.0)</f>
        <v>2778</v>
      </c>
      <c r="H87" s="172">
        <f>IFERROR(__xludf.DUMMYFUNCTION("""COMPUTED_VALUE"""),320916.0)</f>
        <v>320916</v>
      </c>
      <c r="I87" s="236">
        <f>IFERROR(__xludf.DUMMYFUNCTION("""COMPUTED_VALUE"""),57.0)</f>
        <v>57</v>
      </c>
      <c r="J87" s="236">
        <f>IFERROR(__xludf.DUMMYFUNCTION("""COMPUTED_VALUE"""),69.0)</f>
        <v>69</v>
      </c>
      <c r="K87" s="236">
        <f>IFERROR(__xludf.DUMMYFUNCTION("""COMPUTED_VALUE"""),17915.0)</f>
        <v>17915</v>
      </c>
      <c r="L87" s="236">
        <f>IFERROR(__xludf.DUMMYFUNCTION("""COMPUTED_VALUE"""),1142.0)</f>
        <v>1142</v>
      </c>
      <c r="M87" s="236">
        <f>IFERROR(__xludf.DUMMYFUNCTION("""COMPUTED_VALUE"""),164845.0)</f>
        <v>164845</v>
      </c>
      <c r="N87" s="236">
        <f>IFERROR(__xludf.DUMMYFUNCTION("""COMPUTED_VALUE"""),182760.0)</f>
        <v>182760</v>
      </c>
      <c r="O87" s="236">
        <f>IFERROR(__xludf.DUMMYFUNCTION("""COMPUTED_VALUE"""),7.0)</f>
        <v>7</v>
      </c>
      <c r="P87" s="236">
        <f>IFERROR(__xludf.DUMMYFUNCTION("""COMPUTED_VALUE"""),2152.0)</f>
        <v>2152</v>
      </c>
      <c r="Q87" s="236">
        <f>IFERROR(__xludf.DUMMYFUNCTION("""COMPUTED_VALUE"""),3.0)</f>
        <v>3</v>
      </c>
      <c r="R87" s="236">
        <f>IFERROR(__xludf.DUMMYFUNCTION("""COMPUTED_VALUE"""),1781.0)</f>
        <v>1781</v>
      </c>
      <c r="S87" s="236">
        <f>IFERROR(__xludf.DUMMYFUNCTION("""COMPUTED_VALUE"""),0.0)</f>
        <v>0</v>
      </c>
      <c r="T87" s="236">
        <f>IFERROR(__xludf.DUMMYFUNCTION("""COMPUTED_VALUE"""),315.0)</f>
        <v>315</v>
      </c>
      <c r="U87" s="236">
        <f>IFERROR(__xludf.DUMMYFUNCTION("""COMPUTED_VALUE"""),56.0)</f>
        <v>56</v>
      </c>
      <c r="V87" s="236">
        <f>IFERROR(__xludf.DUMMYFUNCTION("""COMPUTED_VALUE"""),55.0)</f>
        <v>55</v>
      </c>
      <c r="W87" s="236">
        <f>IFERROR(__xludf.DUMMYFUNCTION("""COMPUTED_VALUE"""),6.0)</f>
        <v>6</v>
      </c>
      <c r="X87" s="236">
        <f>IFERROR(__xludf.DUMMYFUNCTION("""COMPUTED_VALUE"""),4.0)</f>
        <v>4</v>
      </c>
      <c r="Y87" s="236">
        <f>IFERROR(__xludf.DUMMYFUNCTION("""COMPUTED_VALUE"""),2.0)</f>
        <v>2</v>
      </c>
      <c r="Z87" s="236">
        <f>IFERROR(__xludf.DUMMYFUNCTION("""COMPUTED_VALUE"""),1013.0)</f>
        <v>1013</v>
      </c>
    </row>
    <row r="88">
      <c r="A88" s="235">
        <f>IFERROR(__xludf.DUMMYFUNCTION("""COMPUTED_VALUE"""),44032.0)</f>
        <v>44032</v>
      </c>
      <c r="B88" s="236">
        <f>IFERROR(__xludf.DUMMYFUNCTION("""COMPUTED_VALUE"""),71.0)</f>
        <v>71</v>
      </c>
      <c r="C88" s="236">
        <f>IFERROR(__xludf.DUMMYFUNCTION("""COMPUTED_VALUE"""),79.0)</f>
        <v>79</v>
      </c>
      <c r="D88" s="236">
        <f>IFERROR(__xludf.DUMMYFUNCTION("""COMPUTED_VALUE"""),26379.0)</f>
        <v>26379</v>
      </c>
      <c r="E88" s="236">
        <f>IFERROR(__xludf.DUMMYFUNCTION("""COMPUTED_VALUE"""),2666.0)</f>
        <v>2666</v>
      </c>
      <c r="F88" s="172">
        <f>IFERROR(__xludf.DUMMYFUNCTION("""COMPUTED_VALUE"""),297274.0)</f>
        <v>297274</v>
      </c>
      <c r="G88" s="172">
        <f>IFERROR(__xludf.DUMMYFUNCTION("""COMPUTED_VALUE"""),2737.0)</f>
        <v>2737</v>
      </c>
      <c r="H88" s="172">
        <f>IFERROR(__xludf.DUMMYFUNCTION("""COMPUTED_VALUE"""),323653.0)</f>
        <v>323653</v>
      </c>
      <c r="I88" s="236">
        <f>IFERROR(__xludf.DUMMYFUNCTION("""COMPUTED_VALUE"""),68.0)</f>
        <v>68</v>
      </c>
      <c r="J88" s="236">
        <f>IFERROR(__xludf.DUMMYFUNCTION("""COMPUTED_VALUE"""),65.0)</f>
        <v>65</v>
      </c>
      <c r="K88" s="236">
        <f>IFERROR(__xludf.DUMMYFUNCTION("""COMPUTED_VALUE"""),17983.0)</f>
        <v>17983</v>
      </c>
      <c r="L88" s="236">
        <f>IFERROR(__xludf.DUMMYFUNCTION("""COMPUTED_VALUE"""),1444.0)</f>
        <v>1444</v>
      </c>
      <c r="M88" s="236">
        <f>IFERROR(__xludf.DUMMYFUNCTION("""COMPUTED_VALUE"""),166289.0)</f>
        <v>166289</v>
      </c>
      <c r="N88" s="236">
        <f>IFERROR(__xludf.DUMMYFUNCTION("""COMPUTED_VALUE"""),184272.0)</f>
        <v>184272</v>
      </c>
      <c r="O88" s="236">
        <f>IFERROR(__xludf.DUMMYFUNCTION("""COMPUTED_VALUE"""),9.0)</f>
        <v>9</v>
      </c>
      <c r="P88" s="236">
        <f>IFERROR(__xludf.DUMMYFUNCTION("""COMPUTED_VALUE"""),2161.0)</f>
        <v>2161</v>
      </c>
      <c r="Q88" s="236">
        <f>IFERROR(__xludf.DUMMYFUNCTION("""COMPUTED_VALUE"""),7.0)</f>
        <v>7</v>
      </c>
      <c r="R88" s="236">
        <f>IFERROR(__xludf.DUMMYFUNCTION("""COMPUTED_VALUE"""),1788.0)</f>
        <v>1788</v>
      </c>
      <c r="S88" s="236">
        <f>IFERROR(__xludf.DUMMYFUNCTION("""COMPUTED_VALUE"""),0.0)</f>
        <v>0</v>
      </c>
      <c r="T88" s="236">
        <f>IFERROR(__xludf.DUMMYFUNCTION("""COMPUTED_VALUE"""),315.0)</f>
        <v>315</v>
      </c>
      <c r="U88" s="236">
        <f>IFERROR(__xludf.DUMMYFUNCTION("""COMPUTED_VALUE"""),58.0)</f>
        <v>58</v>
      </c>
      <c r="V88" s="236">
        <f>IFERROR(__xludf.DUMMYFUNCTION("""COMPUTED_VALUE"""),55.0)</f>
        <v>55</v>
      </c>
      <c r="W88" s="236">
        <f>IFERROR(__xludf.DUMMYFUNCTION("""COMPUTED_VALUE"""),7.0)</f>
        <v>7</v>
      </c>
      <c r="X88" s="236">
        <f>IFERROR(__xludf.DUMMYFUNCTION("""COMPUTED_VALUE"""),5.0)</f>
        <v>5</v>
      </c>
      <c r="Y88" s="236">
        <f>IFERROR(__xludf.DUMMYFUNCTION("""COMPUTED_VALUE"""),2.0)</f>
        <v>2</v>
      </c>
      <c r="Z88" s="236">
        <f>IFERROR(__xludf.DUMMYFUNCTION("""COMPUTED_VALUE"""),1015.0)</f>
        <v>1015</v>
      </c>
    </row>
    <row r="89">
      <c r="A89" s="235">
        <f>IFERROR(__xludf.DUMMYFUNCTION("""COMPUTED_VALUE"""),44033.0)</f>
        <v>44033</v>
      </c>
      <c r="B89" s="236">
        <f>IFERROR(__xludf.DUMMYFUNCTION("""COMPUTED_VALUE"""),130.0)</f>
        <v>130</v>
      </c>
      <c r="C89" s="236">
        <f>IFERROR(__xludf.DUMMYFUNCTION("""COMPUTED_VALUE"""),94.0)</f>
        <v>94</v>
      </c>
      <c r="D89" s="236">
        <f>IFERROR(__xludf.DUMMYFUNCTION("""COMPUTED_VALUE"""),26509.0)</f>
        <v>26509</v>
      </c>
      <c r="E89" s="236">
        <f>IFERROR(__xludf.DUMMYFUNCTION("""COMPUTED_VALUE"""),4304.0)</f>
        <v>4304</v>
      </c>
      <c r="F89" s="172">
        <f>IFERROR(__xludf.DUMMYFUNCTION("""COMPUTED_VALUE"""),301578.0)</f>
        <v>301578</v>
      </c>
      <c r="G89" s="172">
        <f>IFERROR(__xludf.DUMMYFUNCTION("""COMPUTED_VALUE"""),4434.0)</f>
        <v>4434</v>
      </c>
      <c r="H89" s="172">
        <f>IFERROR(__xludf.DUMMYFUNCTION("""COMPUTED_VALUE"""),328087.0)</f>
        <v>328087</v>
      </c>
      <c r="I89" s="236">
        <f>IFERROR(__xludf.DUMMYFUNCTION("""COMPUTED_VALUE"""),108.0)</f>
        <v>108</v>
      </c>
      <c r="J89" s="236">
        <f>IFERROR(__xludf.DUMMYFUNCTION("""COMPUTED_VALUE"""),78.0)</f>
        <v>78</v>
      </c>
      <c r="K89" s="236">
        <f>IFERROR(__xludf.DUMMYFUNCTION("""COMPUTED_VALUE"""),18091.0)</f>
        <v>18091</v>
      </c>
      <c r="L89" s="236">
        <f>IFERROR(__xludf.DUMMYFUNCTION("""COMPUTED_VALUE"""),1903.0)</f>
        <v>1903</v>
      </c>
      <c r="M89" s="236">
        <f>IFERROR(__xludf.DUMMYFUNCTION("""COMPUTED_VALUE"""),168192.0)</f>
        <v>168192</v>
      </c>
      <c r="N89" s="236">
        <f>IFERROR(__xludf.DUMMYFUNCTION("""COMPUTED_VALUE"""),186283.0)</f>
        <v>186283</v>
      </c>
      <c r="O89" s="236">
        <f>IFERROR(__xludf.DUMMYFUNCTION("""COMPUTED_VALUE"""),9.0)</f>
        <v>9</v>
      </c>
      <c r="P89" s="236">
        <f>IFERROR(__xludf.DUMMYFUNCTION("""COMPUTED_VALUE"""),2170.0)</f>
        <v>2170</v>
      </c>
      <c r="Q89" s="236">
        <f>IFERROR(__xludf.DUMMYFUNCTION("""COMPUTED_VALUE"""),11.0)</f>
        <v>11</v>
      </c>
      <c r="R89" s="236">
        <f>IFERROR(__xludf.DUMMYFUNCTION("""COMPUTED_VALUE"""),1799.0)</f>
        <v>1799</v>
      </c>
      <c r="S89" s="236">
        <f>IFERROR(__xludf.DUMMYFUNCTION("""COMPUTED_VALUE"""),0.0)</f>
        <v>0</v>
      </c>
      <c r="T89" s="236">
        <f>IFERROR(__xludf.DUMMYFUNCTION("""COMPUTED_VALUE"""),315.0)</f>
        <v>315</v>
      </c>
      <c r="U89" s="236">
        <f>IFERROR(__xludf.DUMMYFUNCTION("""COMPUTED_VALUE"""),56.0)</f>
        <v>56</v>
      </c>
      <c r="V89" s="236">
        <f>IFERROR(__xludf.DUMMYFUNCTION("""COMPUTED_VALUE"""),57.0)</f>
        <v>57</v>
      </c>
      <c r="W89" s="236">
        <f>IFERROR(__xludf.DUMMYFUNCTION("""COMPUTED_VALUE"""),9.0)</f>
        <v>9</v>
      </c>
      <c r="X89" s="236">
        <f>IFERROR(__xludf.DUMMYFUNCTION("""COMPUTED_VALUE"""),6.0)</f>
        <v>6</v>
      </c>
      <c r="Y89" s="236">
        <f>IFERROR(__xludf.DUMMYFUNCTION("""COMPUTED_VALUE"""),1.0)</f>
        <v>1</v>
      </c>
      <c r="Z89" s="236">
        <f>IFERROR(__xludf.DUMMYFUNCTION("""COMPUTED_VALUE"""),1016.0)</f>
        <v>1016</v>
      </c>
    </row>
    <row r="90">
      <c r="A90" s="235">
        <f>IFERROR(__xludf.DUMMYFUNCTION("""COMPUTED_VALUE"""),44034.0)</f>
        <v>44034</v>
      </c>
      <c r="B90" s="236">
        <f>IFERROR(__xludf.DUMMYFUNCTION("""COMPUTED_VALUE"""),130.0)</f>
        <v>130</v>
      </c>
      <c r="C90" s="236">
        <f>IFERROR(__xludf.DUMMYFUNCTION("""COMPUTED_VALUE"""),110.0)</f>
        <v>110</v>
      </c>
      <c r="D90" s="236">
        <f>IFERROR(__xludf.DUMMYFUNCTION("""COMPUTED_VALUE"""),26639.0)</f>
        <v>26639</v>
      </c>
      <c r="E90" s="236">
        <f>IFERROR(__xludf.DUMMYFUNCTION("""COMPUTED_VALUE"""),3928.0)</f>
        <v>3928</v>
      </c>
      <c r="F90" s="172">
        <f>IFERROR(__xludf.DUMMYFUNCTION("""COMPUTED_VALUE"""),305506.0)</f>
        <v>305506</v>
      </c>
      <c r="G90" s="172">
        <f>IFERROR(__xludf.DUMMYFUNCTION("""COMPUTED_VALUE"""),4058.0)</f>
        <v>4058</v>
      </c>
      <c r="H90" s="172">
        <f>IFERROR(__xludf.DUMMYFUNCTION("""COMPUTED_VALUE"""),332145.0)</f>
        <v>332145</v>
      </c>
      <c r="I90" s="236">
        <f>IFERROR(__xludf.DUMMYFUNCTION("""COMPUTED_VALUE"""),86.0)</f>
        <v>86</v>
      </c>
      <c r="J90" s="236">
        <f>IFERROR(__xludf.DUMMYFUNCTION("""COMPUTED_VALUE"""),87.0)</f>
        <v>87</v>
      </c>
      <c r="K90" s="236">
        <f>IFERROR(__xludf.DUMMYFUNCTION("""COMPUTED_VALUE"""),18177.0)</f>
        <v>18177</v>
      </c>
      <c r="L90" s="236">
        <f>IFERROR(__xludf.DUMMYFUNCTION("""COMPUTED_VALUE"""),1666.0)</f>
        <v>1666</v>
      </c>
      <c r="M90" s="236">
        <f>IFERROR(__xludf.DUMMYFUNCTION("""COMPUTED_VALUE"""),169858.0)</f>
        <v>169858</v>
      </c>
      <c r="N90" s="236">
        <f>IFERROR(__xludf.DUMMYFUNCTION("""COMPUTED_VALUE"""),188035.0)</f>
        <v>188035</v>
      </c>
      <c r="O90" s="236">
        <f>IFERROR(__xludf.DUMMYFUNCTION("""COMPUTED_VALUE"""),7.0)</f>
        <v>7</v>
      </c>
      <c r="P90" s="236">
        <f>IFERROR(__xludf.DUMMYFUNCTION("""COMPUTED_VALUE"""),2177.0)</f>
        <v>2177</v>
      </c>
      <c r="Q90" s="236">
        <f>IFERROR(__xludf.DUMMYFUNCTION("""COMPUTED_VALUE"""),8.0)</f>
        <v>8</v>
      </c>
      <c r="R90" s="236">
        <f>IFERROR(__xludf.DUMMYFUNCTION("""COMPUTED_VALUE"""),1807.0)</f>
        <v>1807</v>
      </c>
      <c r="S90" s="236">
        <f>IFERROR(__xludf.DUMMYFUNCTION("""COMPUTED_VALUE"""),1.0)</f>
        <v>1</v>
      </c>
      <c r="T90" s="236">
        <f>IFERROR(__xludf.DUMMYFUNCTION("""COMPUTED_VALUE"""),316.0)</f>
        <v>316</v>
      </c>
      <c r="U90" s="236">
        <f>IFERROR(__xludf.DUMMYFUNCTION("""COMPUTED_VALUE"""),54.0)</f>
        <v>54</v>
      </c>
      <c r="V90" s="236">
        <f>IFERROR(__xludf.DUMMYFUNCTION("""COMPUTED_VALUE"""),56.0)</f>
        <v>56</v>
      </c>
      <c r="W90" s="236">
        <f>IFERROR(__xludf.DUMMYFUNCTION("""COMPUTED_VALUE"""),7.0)</f>
        <v>7</v>
      </c>
      <c r="X90" s="236">
        <f>IFERROR(__xludf.DUMMYFUNCTION("""COMPUTED_VALUE"""),6.0)</f>
        <v>6</v>
      </c>
      <c r="Y90" s="236">
        <f>IFERROR(__xludf.DUMMYFUNCTION("""COMPUTED_VALUE"""),1.0)</f>
        <v>1</v>
      </c>
      <c r="Z90" s="236">
        <f>IFERROR(__xludf.DUMMYFUNCTION("""COMPUTED_VALUE"""),1017.0)</f>
        <v>1017</v>
      </c>
    </row>
    <row r="91">
      <c r="A91" s="235">
        <f>IFERROR(__xludf.DUMMYFUNCTION("""COMPUTED_VALUE"""),44035.0)</f>
        <v>44035</v>
      </c>
      <c r="B91" s="236">
        <f>IFERROR(__xludf.DUMMYFUNCTION("""COMPUTED_VALUE"""),141.0)</f>
        <v>141</v>
      </c>
      <c r="C91" s="236">
        <f>IFERROR(__xludf.DUMMYFUNCTION("""COMPUTED_VALUE"""),134.0)</f>
        <v>134</v>
      </c>
      <c r="D91" s="236">
        <f>IFERROR(__xludf.DUMMYFUNCTION("""COMPUTED_VALUE"""),26780.0)</f>
        <v>26780</v>
      </c>
      <c r="E91" s="236">
        <f>IFERROR(__xludf.DUMMYFUNCTION("""COMPUTED_VALUE"""),4415.0)</f>
        <v>4415</v>
      </c>
      <c r="F91" s="172">
        <f>IFERROR(__xludf.DUMMYFUNCTION("""COMPUTED_VALUE"""),309921.0)</f>
        <v>309921</v>
      </c>
      <c r="G91" s="172">
        <f>IFERROR(__xludf.DUMMYFUNCTION("""COMPUTED_VALUE"""),4556.0)</f>
        <v>4556</v>
      </c>
      <c r="H91" s="172">
        <f>IFERROR(__xludf.DUMMYFUNCTION("""COMPUTED_VALUE"""),336701.0)</f>
        <v>336701</v>
      </c>
      <c r="I91" s="236">
        <f>IFERROR(__xludf.DUMMYFUNCTION("""COMPUTED_VALUE"""),115.0)</f>
        <v>115</v>
      </c>
      <c r="J91" s="236">
        <f>IFERROR(__xludf.DUMMYFUNCTION("""COMPUTED_VALUE"""),103.0)</f>
        <v>103</v>
      </c>
      <c r="K91" s="236">
        <f>IFERROR(__xludf.DUMMYFUNCTION("""COMPUTED_VALUE"""),18292.0)</f>
        <v>18292</v>
      </c>
      <c r="L91" s="236">
        <f>IFERROR(__xludf.DUMMYFUNCTION("""COMPUTED_VALUE"""),1957.0)</f>
        <v>1957</v>
      </c>
      <c r="M91" s="236">
        <f>IFERROR(__xludf.DUMMYFUNCTION("""COMPUTED_VALUE"""),171815.0)</f>
        <v>171815</v>
      </c>
      <c r="N91" s="236">
        <f>IFERROR(__xludf.DUMMYFUNCTION("""COMPUTED_VALUE"""),190107.0)</f>
        <v>190107</v>
      </c>
      <c r="O91" s="236">
        <f>IFERROR(__xludf.DUMMYFUNCTION("""COMPUTED_VALUE"""),8.0)</f>
        <v>8</v>
      </c>
      <c r="P91" s="236">
        <f>IFERROR(__xludf.DUMMYFUNCTION("""COMPUTED_VALUE"""),2185.0)</f>
        <v>2185</v>
      </c>
      <c r="Q91" s="236">
        <f>IFERROR(__xludf.DUMMYFUNCTION("""COMPUTED_VALUE"""),6.0)</f>
        <v>6</v>
      </c>
      <c r="R91" s="236">
        <f>IFERROR(__xludf.DUMMYFUNCTION("""COMPUTED_VALUE"""),1813.0)</f>
        <v>1813</v>
      </c>
      <c r="S91" s="236">
        <f>IFERROR(__xludf.DUMMYFUNCTION("""COMPUTED_VALUE"""),0.0)</f>
        <v>0</v>
      </c>
      <c r="T91" s="236">
        <f>IFERROR(__xludf.DUMMYFUNCTION("""COMPUTED_VALUE"""),316.0)</f>
        <v>316</v>
      </c>
      <c r="U91" s="236">
        <f>IFERROR(__xludf.DUMMYFUNCTION("""COMPUTED_VALUE"""),56.0)</f>
        <v>56</v>
      </c>
      <c r="V91" s="236">
        <f>IFERROR(__xludf.DUMMYFUNCTION("""COMPUTED_VALUE"""),55.0)</f>
        <v>55</v>
      </c>
      <c r="W91" s="236">
        <f>IFERROR(__xludf.DUMMYFUNCTION("""COMPUTED_VALUE"""),8.0)</f>
        <v>8</v>
      </c>
      <c r="X91" s="236">
        <f>IFERROR(__xludf.DUMMYFUNCTION("""COMPUTED_VALUE"""),7.0)</f>
        <v>7</v>
      </c>
      <c r="Y91" s="236">
        <f>IFERROR(__xludf.DUMMYFUNCTION("""COMPUTED_VALUE"""),0.0)</f>
        <v>0</v>
      </c>
      <c r="Z91" s="236">
        <f>IFERROR(__xludf.DUMMYFUNCTION("""COMPUTED_VALUE"""),1017.0)</f>
        <v>1017</v>
      </c>
    </row>
    <row r="92">
      <c r="A92" s="235">
        <f>IFERROR(__xludf.DUMMYFUNCTION("""COMPUTED_VALUE"""),44036.0)</f>
        <v>44036</v>
      </c>
      <c r="B92" s="236">
        <f>IFERROR(__xludf.DUMMYFUNCTION("""COMPUTED_VALUE"""),172.0)</f>
        <v>172</v>
      </c>
      <c r="C92" s="236">
        <f>IFERROR(__xludf.DUMMYFUNCTION("""COMPUTED_VALUE"""),148.0)</f>
        <v>148</v>
      </c>
      <c r="D92" s="236">
        <f>IFERROR(__xludf.DUMMYFUNCTION("""COMPUTED_VALUE"""),26952.0)</f>
        <v>26952</v>
      </c>
      <c r="E92" s="236">
        <f>IFERROR(__xludf.DUMMYFUNCTION("""COMPUTED_VALUE"""),5966.0)</f>
        <v>5966</v>
      </c>
      <c r="F92" s="172">
        <f>IFERROR(__xludf.DUMMYFUNCTION("""COMPUTED_VALUE"""),315887.0)</f>
        <v>315887</v>
      </c>
      <c r="G92" s="172">
        <f>IFERROR(__xludf.DUMMYFUNCTION("""COMPUTED_VALUE"""),6138.0)</f>
        <v>6138</v>
      </c>
      <c r="H92" s="172">
        <f>IFERROR(__xludf.DUMMYFUNCTION("""COMPUTED_VALUE"""),342839.0)</f>
        <v>342839</v>
      </c>
      <c r="I92" s="236">
        <f>IFERROR(__xludf.DUMMYFUNCTION("""COMPUTED_VALUE"""),119.0)</f>
        <v>119</v>
      </c>
      <c r="J92" s="236">
        <f>IFERROR(__xludf.DUMMYFUNCTION("""COMPUTED_VALUE"""),107.0)</f>
        <v>107</v>
      </c>
      <c r="K92" s="236">
        <f>IFERROR(__xludf.DUMMYFUNCTION("""COMPUTED_VALUE"""),18411.0)</f>
        <v>18411</v>
      </c>
      <c r="L92" s="236">
        <f>IFERROR(__xludf.DUMMYFUNCTION("""COMPUTED_VALUE"""),2300.0)</f>
        <v>2300</v>
      </c>
      <c r="M92" s="236">
        <f>IFERROR(__xludf.DUMMYFUNCTION("""COMPUTED_VALUE"""),174115.0)</f>
        <v>174115</v>
      </c>
      <c r="N92" s="236">
        <f>IFERROR(__xludf.DUMMYFUNCTION("""COMPUTED_VALUE"""),192526.0)</f>
        <v>192526</v>
      </c>
      <c r="O92" s="236">
        <f>IFERROR(__xludf.DUMMYFUNCTION("""COMPUTED_VALUE"""),14.0)</f>
        <v>14</v>
      </c>
      <c r="P92" s="236">
        <f>IFERROR(__xludf.DUMMYFUNCTION("""COMPUTED_VALUE"""),2199.0)</f>
        <v>2199</v>
      </c>
      <c r="Q92" s="236">
        <f>IFERROR(__xludf.DUMMYFUNCTION("""COMPUTED_VALUE"""),12.0)</f>
        <v>12</v>
      </c>
      <c r="R92" s="236">
        <f>IFERROR(__xludf.DUMMYFUNCTION("""COMPUTED_VALUE"""),1825.0)</f>
        <v>1825</v>
      </c>
      <c r="S92" s="236">
        <f>IFERROR(__xludf.DUMMYFUNCTION("""COMPUTED_VALUE"""),0.0)</f>
        <v>0</v>
      </c>
      <c r="T92" s="236">
        <f>IFERROR(__xludf.DUMMYFUNCTION("""COMPUTED_VALUE"""),316.0)</f>
        <v>316</v>
      </c>
      <c r="U92" s="236">
        <f>IFERROR(__xludf.DUMMYFUNCTION("""COMPUTED_VALUE"""),58.0)</f>
        <v>58</v>
      </c>
      <c r="V92" s="236">
        <f>IFERROR(__xludf.DUMMYFUNCTION("""COMPUTED_VALUE"""),56.0)</f>
        <v>56</v>
      </c>
      <c r="W92" s="236">
        <f>IFERROR(__xludf.DUMMYFUNCTION("""COMPUTED_VALUE"""),9.0)</f>
        <v>9</v>
      </c>
      <c r="X92" s="236">
        <f>IFERROR(__xludf.DUMMYFUNCTION("""COMPUTED_VALUE"""),7.0)</f>
        <v>7</v>
      </c>
      <c r="Y92" s="236">
        <f>IFERROR(__xludf.DUMMYFUNCTION("""COMPUTED_VALUE"""),0.0)</f>
        <v>0</v>
      </c>
      <c r="Z92" s="236">
        <f>IFERROR(__xludf.DUMMYFUNCTION("""COMPUTED_VALUE"""),1017.0)</f>
        <v>1017</v>
      </c>
    </row>
    <row r="93">
      <c r="A93" s="235">
        <f>IFERROR(__xludf.DUMMYFUNCTION("""COMPUTED_VALUE"""),44037.0)</f>
        <v>44037</v>
      </c>
      <c r="B93" s="236">
        <f>IFERROR(__xludf.DUMMYFUNCTION("""COMPUTED_VALUE"""),134.0)</f>
        <v>134</v>
      </c>
      <c r="C93" s="236">
        <f>IFERROR(__xludf.DUMMYFUNCTION("""COMPUTED_VALUE"""),149.0)</f>
        <v>149</v>
      </c>
      <c r="D93" s="236">
        <f>IFERROR(__xludf.DUMMYFUNCTION("""COMPUTED_VALUE"""),27086.0)</f>
        <v>27086</v>
      </c>
      <c r="E93" s="236">
        <f>IFERROR(__xludf.DUMMYFUNCTION("""COMPUTED_VALUE"""),4398.0)</f>
        <v>4398</v>
      </c>
      <c r="F93" s="172">
        <f>IFERROR(__xludf.DUMMYFUNCTION("""COMPUTED_VALUE"""),320285.0)</f>
        <v>320285</v>
      </c>
      <c r="G93" s="172">
        <f>IFERROR(__xludf.DUMMYFUNCTION("""COMPUTED_VALUE"""),4532.0)</f>
        <v>4532</v>
      </c>
      <c r="H93" s="172">
        <f>IFERROR(__xludf.DUMMYFUNCTION("""COMPUTED_VALUE"""),347371.0)</f>
        <v>347371</v>
      </c>
      <c r="I93" s="236">
        <f>IFERROR(__xludf.DUMMYFUNCTION("""COMPUTED_VALUE"""),108.0)</f>
        <v>108</v>
      </c>
      <c r="J93" s="236">
        <f>IFERROR(__xludf.DUMMYFUNCTION("""COMPUTED_VALUE"""),114.0)</f>
        <v>114</v>
      </c>
      <c r="K93" s="236">
        <f>IFERROR(__xludf.DUMMYFUNCTION("""COMPUTED_VALUE"""),18519.0)</f>
        <v>18519</v>
      </c>
      <c r="L93" s="236">
        <f>IFERROR(__xludf.DUMMYFUNCTION("""COMPUTED_VALUE"""),2077.0)</f>
        <v>2077</v>
      </c>
      <c r="M93" s="236">
        <f>IFERROR(__xludf.DUMMYFUNCTION("""COMPUTED_VALUE"""),176192.0)</f>
        <v>176192</v>
      </c>
      <c r="N93" s="236">
        <f>IFERROR(__xludf.DUMMYFUNCTION("""COMPUTED_VALUE"""),194711.0)</f>
        <v>194711</v>
      </c>
      <c r="O93" s="236">
        <f>IFERROR(__xludf.DUMMYFUNCTION("""COMPUTED_VALUE"""),7.0)</f>
        <v>7</v>
      </c>
      <c r="P93" s="236">
        <f>IFERROR(__xludf.DUMMYFUNCTION("""COMPUTED_VALUE"""),2206.0)</f>
        <v>2206</v>
      </c>
      <c r="Q93" s="236">
        <f>IFERROR(__xludf.DUMMYFUNCTION("""COMPUTED_VALUE"""),7.0)</f>
        <v>7</v>
      </c>
      <c r="R93" s="236">
        <f>IFERROR(__xludf.DUMMYFUNCTION("""COMPUTED_VALUE"""),1832.0)</f>
        <v>1832</v>
      </c>
      <c r="S93" s="236">
        <f>IFERROR(__xludf.DUMMYFUNCTION("""COMPUTED_VALUE"""),0.0)</f>
        <v>0</v>
      </c>
      <c r="T93" s="236">
        <f>IFERROR(__xludf.DUMMYFUNCTION("""COMPUTED_VALUE"""),316.0)</f>
        <v>316</v>
      </c>
      <c r="U93" s="236">
        <f>IFERROR(__xludf.DUMMYFUNCTION("""COMPUTED_VALUE"""),58.0)</f>
        <v>58</v>
      </c>
      <c r="V93" s="236">
        <f>IFERROR(__xludf.DUMMYFUNCTION("""COMPUTED_VALUE"""),57.0)</f>
        <v>57</v>
      </c>
      <c r="W93" s="236">
        <f>IFERROR(__xludf.DUMMYFUNCTION("""COMPUTED_VALUE"""),10.0)</f>
        <v>10</v>
      </c>
      <c r="X93" s="236">
        <f>IFERROR(__xludf.DUMMYFUNCTION("""COMPUTED_VALUE"""),8.0)</f>
        <v>8</v>
      </c>
      <c r="Y93" s="236">
        <f>IFERROR(__xludf.DUMMYFUNCTION("""COMPUTED_VALUE"""),3.0)</f>
        <v>3</v>
      </c>
      <c r="Z93" s="236">
        <f>IFERROR(__xludf.DUMMYFUNCTION("""COMPUTED_VALUE"""),1020.0)</f>
        <v>1020</v>
      </c>
    </row>
    <row r="94">
      <c r="A94" s="235">
        <f>IFERROR(__xludf.DUMMYFUNCTION("""COMPUTED_VALUE"""),44038.0)</f>
        <v>44038</v>
      </c>
      <c r="B94" s="236">
        <f>IFERROR(__xludf.DUMMYFUNCTION("""COMPUTED_VALUE"""),62.0)</f>
        <v>62</v>
      </c>
      <c r="C94" s="236">
        <f>IFERROR(__xludf.DUMMYFUNCTION("""COMPUTED_VALUE"""),123.0)</f>
        <v>123</v>
      </c>
      <c r="D94" s="236">
        <f>IFERROR(__xludf.DUMMYFUNCTION("""COMPUTED_VALUE"""),27148.0)</f>
        <v>27148</v>
      </c>
      <c r="E94" s="236">
        <f>IFERROR(__xludf.DUMMYFUNCTION("""COMPUTED_VALUE"""),3033.0)</f>
        <v>3033</v>
      </c>
      <c r="F94" s="172">
        <f>IFERROR(__xludf.DUMMYFUNCTION("""COMPUTED_VALUE"""),323318.0)</f>
        <v>323318</v>
      </c>
      <c r="G94" s="172">
        <f>IFERROR(__xludf.DUMMYFUNCTION("""COMPUTED_VALUE"""),3095.0)</f>
        <v>3095</v>
      </c>
      <c r="H94" s="172">
        <f>IFERROR(__xludf.DUMMYFUNCTION("""COMPUTED_VALUE"""),350466.0)</f>
        <v>350466</v>
      </c>
      <c r="I94" s="236">
        <f>IFERROR(__xludf.DUMMYFUNCTION("""COMPUTED_VALUE"""),54.0)</f>
        <v>54</v>
      </c>
      <c r="J94" s="236">
        <f>IFERROR(__xludf.DUMMYFUNCTION("""COMPUTED_VALUE"""),94.0)</f>
        <v>94</v>
      </c>
      <c r="K94" s="236">
        <f>IFERROR(__xludf.DUMMYFUNCTION("""COMPUTED_VALUE"""),18573.0)</f>
        <v>18573</v>
      </c>
      <c r="L94" s="236">
        <f>IFERROR(__xludf.DUMMYFUNCTION("""COMPUTED_VALUE"""),1327.0)</f>
        <v>1327</v>
      </c>
      <c r="M94" s="236">
        <f>IFERROR(__xludf.DUMMYFUNCTION("""COMPUTED_VALUE"""),177519.0)</f>
        <v>177519</v>
      </c>
      <c r="N94" s="236">
        <f>IFERROR(__xludf.DUMMYFUNCTION("""COMPUTED_VALUE"""),196092.0)</f>
        <v>196092</v>
      </c>
      <c r="O94" s="236">
        <f>IFERROR(__xludf.DUMMYFUNCTION("""COMPUTED_VALUE"""),8.0)</f>
        <v>8</v>
      </c>
      <c r="P94" s="236">
        <f>IFERROR(__xludf.DUMMYFUNCTION("""COMPUTED_VALUE"""),2214.0)</f>
        <v>2214</v>
      </c>
      <c r="Q94" s="236">
        <f>IFERROR(__xludf.DUMMYFUNCTION("""COMPUTED_VALUE"""),9.0)</f>
        <v>9</v>
      </c>
      <c r="R94" s="236">
        <f>IFERROR(__xludf.DUMMYFUNCTION("""COMPUTED_VALUE"""),1841.0)</f>
        <v>1841</v>
      </c>
      <c r="S94" s="236">
        <f>IFERROR(__xludf.DUMMYFUNCTION("""COMPUTED_VALUE"""),0.0)</f>
        <v>0</v>
      </c>
      <c r="T94" s="236">
        <f>IFERROR(__xludf.DUMMYFUNCTION("""COMPUTED_VALUE"""),316.0)</f>
        <v>316</v>
      </c>
      <c r="U94" s="236">
        <f>IFERROR(__xludf.DUMMYFUNCTION("""COMPUTED_VALUE"""),57.0)</f>
        <v>57</v>
      </c>
      <c r="V94" s="236">
        <f>IFERROR(__xludf.DUMMYFUNCTION("""COMPUTED_VALUE"""),58.0)</f>
        <v>58</v>
      </c>
      <c r="W94" s="236">
        <f>IFERROR(__xludf.DUMMYFUNCTION("""COMPUTED_VALUE"""),11.0)</f>
        <v>11</v>
      </c>
      <c r="X94" s="236">
        <f>IFERROR(__xludf.DUMMYFUNCTION("""COMPUTED_VALUE"""),7.0)</f>
        <v>7</v>
      </c>
      <c r="Y94" s="236">
        <f>IFERROR(__xludf.DUMMYFUNCTION("""COMPUTED_VALUE"""),1.0)</f>
        <v>1</v>
      </c>
      <c r="Z94" s="236">
        <f>IFERROR(__xludf.DUMMYFUNCTION("""COMPUTED_VALUE"""),1021.0)</f>
        <v>1021</v>
      </c>
    </row>
    <row r="95">
      <c r="A95" s="235">
        <f>IFERROR(__xludf.DUMMYFUNCTION("""COMPUTED_VALUE"""),44039.0)</f>
        <v>44039</v>
      </c>
      <c r="B95" s="236">
        <f>IFERROR(__xludf.DUMMYFUNCTION("""COMPUTED_VALUE"""),188.0)</f>
        <v>188</v>
      </c>
      <c r="C95" s="236">
        <f>IFERROR(__xludf.DUMMYFUNCTION("""COMPUTED_VALUE"""),128.0)</f>
        <v>128</v>
      </c>
      <c r="D95" s="236">
        <f>IFERROR(__xludf.DUMMYFUNCTION("""COMPUTED_VALUE"""),27336.0)</f>
        <v>27336</v>
      </c>
      <c r="E95" s="236">
        <f>IFERROR(__xludf.DUMMYFUNCTION("""COMPUTED_VALUE"""),4191.0)</f>
        <v>4191</v>
      </c>
      <c r="F95" s="172">
        <f>IFERROR(__xludf.DUMMYFUNCTION("""COMPUTED_VALUE"""),327509.0)</f>
        <v>327509</v>
      </c>
      <c r="G95" s="172">
        <f>IFERROR(__xludf.DUMMYFUNCTION("""COMPUTED_VALUE"""),4379.0)</f>
        <v>4379</v>
      </c>
      <c r="H95" s="172">
        <f>IFERROR(__xludf.DUMMYFUNCTION("""COMPUTED_VALUE"""),354845.0)</f>
        <v>354845</v>
      </c>
      <c r="I95" s="236">
        <f>IFERROR(__xludf.DUMMYFUNCTION("""COMPUTED_VALUE"""),138.0)</f>
        <v>138</v>
      </c>
      <c r="J95" s="236">
        <f>IFERROR(__xludf.DUMMYFUNCTION("""COMPUTED_VALUE"""),100.0)</f>
        <v>100</v>
      </c>
      <c r="K95" s="236">
        <f>IFERROR(__xludf.DUMMYFUNCTION("""COMPUTED_VALUE"""),18711.0)</f>
        <v>18711</v>
      </c>
      <c r="L95" s="236">
        <f>IFERROR(__xludf.DUMMYFUNCTION("""COMPUTED_VALUE"""),2328.0)</f>
        <v>2328</v>
      </c>
      <c r="M95" s="236">
        <f>IFERROR(__xludf.DUMMYFUNCTION("""COMPUTED_VALUE"""),179847.0)</f>
        <v>179847</v>
      </c>
      <c r="N95" s="236">
        <f>IFERROR(__xludf.DUMMYFUNCTION("""COMPUTED_VALUE"""),198558.0)</f>
        <v>198558</v>
      </c>
      <c r="O95" s="236">
        <f>IFERROR(__xludf.DUMMYFUNCTION("""COMPUTED_VALUE"""),12.0)</f>
        <v>12</v>
      </c>
      <c r="P95" s="236">
        <f>IFERROR(__xludf.DUMMYFUNCTION("""COMPUTED_VALUE"""),2226.0)</f>
        <v>2226</v>
      </c>
      <c r="Q95" s="236">
        <f>IFERROR(__xludf.DUMMYFUNCTION("""COMPUTED_VALUE"""),7.0)</f>
        <v>7</v>
      </c>
      <c r="R95" s="236">
        <f>IFERROR(__xludf.DUMMYFUNCTION("""COMPUTED_VALUE"""),1848.0)</f>
        <v>1848</v>
      </c>
      <c r="S95" s="236">
        <f>IFERROR(__xludf.DUMMYFUNCTION("""COMPUTED_VALUE"""),0.0)</f>
        <v>0</v>
      </c>
      <c r="T95" s="236">
        <f>IFERROR(__xludf.DUMMYFUNCTION("""COMPUTED_VALUE"""),316.0)</f>
        <v>316</v>
      </c>
      <c r="U95" s="236">
        <f>IFERROR(__xludf.DUMMYFUNCTION("""COMPUTED_VALUE"""),62.0)</f>
        <v>62</v>
      </c>
      <c r="V95" s="236">
        <f>IFERROR(__xludf.DUMMYFUNCTION("""COMPUTED_VALUE"""),59.0)</f>
        <v>59</v>
      </c>
      <c r="W95" s="236">
        <f>IFERROR(__xludf.DUMMYFUNCTION("""COMPUTED_VALUE"""),13.0)</f>
        <v>13</v>
      </c>
      <c r="X95" s="236">
        <f>IFERROR(__xludf.DUMMYFUNCTION("""COMPUTED_VALUE"""),8.0)</f>
        <v>8</v>
      </c>
      <c r="Y95" s="236">
        <f>IFERROR(__xludf.DUMMYFUNCTION("""COMPUTED_VALUE"""),1.0)</f>
        <v>1</v>
      </c>
      <c r="Z95" s="236">
        <f>IFERROR(__xludf.DUMMYFUNCTION("""COMPUTED_VALUE"""),1022.0)</f>
        <v>1022</v>
      </c>
    </row>
    <row r="96">
      <c r="A96" s="235">
        <f>IFERROR(__xludf.DUMMYFUNCTION("""COMPUTED_VALUE"""),44040.0)</f>
        <v>44040</v>
      </c>
      <c r="B96" s="236">
        <f>IFERROR(__xludf.DUMMYFUNCTION("""COMPUTED_VALUE"""),105.0)</f>
        <v>105</v>
      </c>
      <c r="C96" s="236">
        <f>IFERROR(__xludf.DUMMYFUNCTION("""COMPUTED_VALUE"""),118.0)</f>
        <v>118</v>
      </c>
      <c r="D96" s="236">
        <f>IFERROR(__xludf.DUMMYFUNCTION("""COMPUTED_VALUE"""),27441.0)</f>
        <v>27441</v>
      </c>
      <c r="E96" s="236">
        <f>IFERROR(__xludf.DUMMYFUNCTION("""COMPUTED_VALUE"""),3840.0)</f>
        <v>3840</v>
      </c>
      <c r="F96" s="172">
        <f>IFERROR(__xludf.DUMMYFUNCTION("""COMPUTED_VALUE"""),331349.0)</f>
        <v>331349</v>
      </c>
      <c r="G96" s="172">
        <f>IFERROR(__xludf.DUMMYFUNCTION("""COMPUTED_VALUE"""),3945.0)</f>
        <v>3945</v>
      </c>
      <c r="H96" s="172">
        <f>IFERROR(__xludf.DUMMYFUNCTION("""COMPUTED_VALUE"""),358790.0)</f>
        <v>358790</v>
      </c>
      <c r="I96" s="236">
        <f>IFERROR(__xludf.DUMMYFUNCTION("""COMPUTED_VALUE"""),95.0)</f>
        <v>95</v>
      </c>
      <c r="J96" s="236">
        <f>IFERROR(__xludf.DUMMYFUNCTION("""COMPUTED_VALUE"""),96.0)</f>
        <v>96</v>
      </c>
      <c r="K96" s="236">
        <f>IFERROR(__xludf.DUMMYFUNCTION("""COMPUTED_VALUE"""),18806.0)</f>
        <v>18806</v>
      </c>
      <c r="L96" s="236">
        <f>IFERROR(__xludf.DUMMYFUNCTION("""COMPUTED_VALUE"""),1624.0)</f>
        <v>1624</v>
      </c>
      <c r="M96" s="236">
        <f>IFERROR(__xludf.DUMMYFUNCTION("""COMPUTED_VALUE"""),181471.0)</f>
        <v>181471</v>
      </c>
      <c r="N96" s="236">
        <f>IFERROR(__xludf.DUMMYFUNCTION("""COMPUTED_VALUE"""),200277.0)</f>
        <v>200277</v>
      </c>
      <c r="O96" s="236">
        <f>IFERROR(__xludf.DUMMYFUNCTION("""COMPUTED_VALUE"""),5.0)</f>
        <v>5</v>
      </c>
      <c r="P96" s="236">
        <f>IFERROR(__xludf.DUMMYFUNCTION("""COMPUTED_VALUE"""),2231.0)</f>
        <v>2231</v>
      </c>
      <c r="Q96" s="236">
        <f>IFERROR(__xludf.DUMMYFUNCTION("""COMPUTED_VALUE"""),5.0)</f>
        <v>5</v>
      </c>
      <c r="R96" s="236">
        <f>IFERROR(__xludf.DUMMYFUNCTION("""COMPUTED_VALUE"""),1853.0)</f>
        <v>1853</v>
      </c>
      <c r="S96" s="236">
        <f>IFERROR(__xludf.DUMMYFUNCTION("""COMPUTED_VALUE"""),0.0)</f>
        <v>0</v>
      </c>
      <c r="T96" s="236">
        <f>IFERROR(__xludf.DUMMYFUNCTION("""COMPUTED_VALUE"""),316.0)</f>
        <v>316</v>
      </c>
      <c r="U96" s="236">
        <f>IFERROR(__xludf.DUMMYFUNCTION("""COMPUTED_VALUE"""),62.0)</f>
        <v>62</v>
      </c>
      <c r="V96" s="236">
        <f>IFERROR(__xludf.DUMMYFUNCTION("""COMPUTED_VALUE"""),60.0)</f>
        <v>60</v>
      </c>
      <c r="W96" s="236">
        <f>IFERROR(__xludf.DUMMYFUNCTION("""COMPUTED_VALUE"""),14.0)</f>
        <v>14</v>
      </c>
      <c r="X96" s="236">
        <f>IFERROR(__xludf.DUMMYFUNCTION("""COMPUTED_VALUE"""),7.0)</f>
        <v>7</v>
      </c>
      <c r="Y96" s="236">
        <f>IFERROR(__xludf.DUMMYFUNCTION("""COMPUTED_VALUE"""),1.0)</f>
        <v>1</v>
      </c>
      <c r="Z96" s="236">
        <f>IFERROR(__xludf.DUMMYFUNCTION("""COMPUTED_VALUE"""),1023.0)</f>
        <v>1023</v>
      </c>
    </row>
    <row r="97">
      <c r="A97" s="235">
        <f>IFERROR(__xludf.DUMMYFUNCTION("""COMPUTED_VALUE"""),44041.0)</f>
        <v>44041</v>
      </c>
      <c r="B97" s="236">
        <f>IFERROR(__xludf.DUMMYFUNCTION("""COMPUTED_VALUE"""),190.0)</f>
        <v>190</v>
      </c>
      <c r="C97" s="236">
        <f>IFERROR(__xludf.DUMMYFUNCTION("""COMPUTED_VALUE"""),161.0)</f>
        <v>161</v>
      </c>
      <c r="D97" s="236">
        <f>IFERROR(__xludf.DUMMYFUNCTION("""COMPUTED_VALUE"""),27631.0)</f>
        <v>27631</v>
      </c>
      <c r="E97" s="236">
        <f>IFERROR(__xludf.DUMMYFUNCTION("""COMPUTED_VALUE"""),5139.0)</f>
        <v>5139</v>
      </c>
      <c r="F97" s="172">
        <f>IFERROR(__xludf.DUMMYFUNCTION("""COMPUTED_VALUE"""),336488.0)</f>
        <v>336488</v>
      </c>
      <c r="G97" s="172">
        <f>IFERROR(__xludf.DUMMYFUNCTION("""COMPUTED_VALUE"""),5329.0)</f>
        <v>5329</v>
      </c>
      <c r="H97" s="172">
        <f>IFERROR(__xludf.DUMMYFUNCTION("""COMPUTED_VALUE"""),364119.0)</f>
        <v>364119</v>
      </c>
      <c r="I97" s="236">
        <f>IFERROR(__xludf.DUMMYFUNCTION("""COMPUTED_VALUE"""),154.0)</f>
        <v>154</v>
      </c>
      <c r="J97" s="236">
        <f>IFERROR(__xludf.DUMMYFUNCTION("""COMPUTED_VALUE"""),129.0)</f>
        <v>129</v>
      </c>
      <c r="K97" s="236">
        <f>IFERROR(__xludf.DUMMYFUNCTION("""COMPUTED_VALUE"""),18960.0)</f>
        <v>18960</v>
      </c>
      <c r="L97" s="236">
        <f>IFERROR(__xludf.DUMMYFUNCTION("""COMPUTED_VALUE"""),2289.0)</f>
        <v>2289</v>
      </c>
      <c r="M97" s="236">
        <f>IFERROR(__xludf.DUMMYFUNCTION("""COMPUTED_VALUE"""),183760.0)</f>
        <v>183760</v>
      </c>
      <c r="N97" s="236">
        <f>IFERROR(__xludf.DUMMYFUNCTION("""COMPUTED_VALUE"""),202720.0)</f>
        <v>202720</v>
      </c>
      <c r="O97" s="236">
        <f>IFERROR(__xludf.DUMMYFUNCTION("""COMPUTED_VALUE"""),9.0)</f>
        <v>9</v>
      </c>
      <c r="P97" s="236">
        <f>IFERROR(__xludf.DUMMYFUNCTION("""COMPUTED_VALUE"""),2240.0)</f>
        <v>2240</v>
      </c>
      <c r="Q97" s="236">
        <f>IFERROR(__xludf.DUMMYFUNCTION("""COMPUTED_VALUE"""),10.0)</f>
        <v>10</v>
      </c>
      <c r="R97" s="236">
        <f>IFERROR(__xludf.DUMMYFUNCTION("""COMPUTED_VALUE"""),1863.0)</f>
        <v>1863</v>
      </c>
      <c r="S97" s="236">
        <f>IFERROR(__xludf.DUMMYFUNCTION("""COMPUTED_VALUE"""),0.0)</f>
        <v>0</v>
      </c>
      <c r="T97" s="236">
        <f>IFERROR(__xludf.DUMMYFUNCTION("""COMPUTED_VALUE"""),316.0)</f>
        <v>316</v>
      </c>
      <c r="U97" s="236">
        <f>IFERROR(__xludf.DUMMYFUNCTION("""COMPUTED_VALUE"""),61.0)</f>
        <v>61</v>
      </c>
      <c r="V97" s="236">
        <f>IFERROR(__xludf.DUMMYFUNCTION("""COMPUTED_VALUE"""),62.0)</f>
        <v>62</v>
      </c>
      <c r="W97" s="236">
        <f>IFERROR(__xludf.DUMMYFUNCTION("""COMPUTED_VALUE"""),15.0)</f>
        <v>15</v>
      </c>
      <c r="X97" s="236">
        <f>IFERROR(__xludf.DUMMYFUNCTION("""COMPUTED_VALUE"""),7.0)</f>
        <v>7</v>
      </c>
      <c r="Y97" s="236">
        <f>IFERROR(__xludf.DUMMYFUNCTION("""COMPUTED_VALUE"""),0.0)</f>
        <v>0</v>
      </c>
      <c r="Z97" s="236">
        <f>IFERROR(__xludf.DUMMYFUNCTION("""COMPUTED_VALUE"""),1023.0)</f>
        <v>1023</v>
      </c>
    </row>
    <row r="98">
      <c r="A98" s="235">
        <f>IFERROR(__xludf.DUMMYFUNCTION("""COMPUTED_VALUE"""),44042.0)</f>
        <v>44042</v>
      </c>
      <c r="B98" s="236">
        <f>IFERROR(__xludf.DUMMYFUNCTION("""COMPUTED_VALUE"""),121.0)</f>
        <v>121</v>
      </c>
      <c r="C98" s="236">
        <f>IFERROR(__xludf.DUMMYFUNCTION("""COMPUTED_VALUE"""),139.0)</f>
        <v>139</v>
      </c>
      <c r="D98" s="236">
        <f>IFERROR(__xludf.DUMMYFUNCTION("""COMPUTED_VALUE"""),27752.0)</f>
        <v>27752</v>
      </c>
      <c r="E98" s="236">
        <f>IFERROR(__xludf.DUMMYFUNCTION("""COMPUTED_VALUE"""),4345.0)</f>
        <v>4345</v>
      </c>
      <c r="F98" s="172">
        <f>IFERROR(__xludf.DUMMYFUNCTION("""COMPUTED_VALUE"""),340833.0)</f>
        <v>340833</v>
      </c>
      <c r="G98" s="172">
        <f>IFERROR(__xludf.DUMMYFUNCTION("""COMPUTED_VALUE"""),4466.0)</f>
        <v>4466</v>
      </c>
      <c r="H98" s="172">
        <f>IFERROR(__xludf.DUMMYFUNCTION("""COMPUTED_VALUE"""),368585.0)</f>
        <v>368585</v>
      </c>
      <c r="I98" s="236">
        <f>IFERROR(__xludf.DUMMYFUNCTION("""COMPUTED_VALUE"""),97.0)</f>
        <v>97</v>
      </c>
      <c r="J98" s="236">
        <f>IFERROR(__xludf.DUMMYFUNCTION("""COMPUTED_VALUE"""),115.0)</f>
        <v>115</v>
      </c>
      <c r="K98" s="236">
        <f>IFERROR(__xludf.DUMMYFUNCTION("""COMPUTED_VALUE"""),19057.0)</f>
        <v>19057</v>
      </c>
      <c r="L98" s="236">
        <f>IFERROR(__xludf.DUMMYFUNCTION("""COMPUTED_VALUE"""),1634.0)</f>
        <v>1634</v>
      </c>
      <c r="M98" s="236">
        <f>IFERROR(__xludf.DUMMYFUNCTION("""COMPUTED_VALUE"""),185394.0)</f>
        <v>185394</v>
      </c>
      <c r="N98" s="236">
        <f>IFERROR(__xludf.DUMMYFUNCTION("""COMPUTED_VALUE"""),204451.0)</f>
        <v>204451</v>
      </c>
      <c r="O98" s="236">
        <f>IFERROR(__xludf.DUMMYFUNCTION("""COMPUTED_VALUE"""),6.0)</f>
        <v>6</v>
      </c>
      <c r="P98" s="236">
        <f>IFERROR(__xludf.DUMMYFUNCTION("""COMPUTED_VALUE"""),2246.0)</f>
        <v>2246</v>
      </c>
      <c r="Q98" s="236">
        <f>IFERROR(__xludf.DUMMYFUNCTION("""COMPUTED_VALUE"""),2.0)</f>
        <v>2</v>
      </c>
      <c r="R98" s="236">
        <f>IFERROR(__xludf.DUMMYFUNCTION("""COMPUTED_VALUE"""),1865.0)</f>
        <v>1865</v>
      </c>
      <c r="S98" s="236">
        <f>IFERROR(__xludf.DUMMYFUNCTION("""COMPUTED_VALUE"""),1.0)</f>
        <v>1</v>
      </c>
      <c r="T98" s="236">
        <f>IFERROR(__xludf.DUMMYFUNCTION("""COMPUTED_VALUE"""),317.0)</f>
        <v>317</v>
      </c>
      <c r="U98" s="236">
        <f>IFERROR(__xludf.DUMMYFUNCTION("""COMPUTED_VALUE"""),64.0)</f>
        <v>64</v>
      </c>
      <c r="V98" s="236">
        <f>IFERROR(__xludf.DUMMYFUNCTION("""COMPUTED_VALUE"""),62.0)</f>
        <v>62</v>
      </c>
      <c r="W98" s="236">
        <f>IFERROR(__xludf.DUMMYFUNCTION("""COMPUTED_VALUE"""),15.0)</f>
        <v>15</v>
      </c>
      <c r="X98" s="236">
        <f>IFERROR(__xludf.DUMMYFUNCTION("""COMPUTED_VALUE"""),6.0)</f>
        <v>6</v>
      </c>
      <c r="Y98" s="236">
        <f>IFERROR(__xludf.DUMMYFUNCTION("""COMPUTED_VALUE"""),1.0)</f>
        <v>1</v>
      </c>
      <c r="Z98" s="236">
        <f>IFERROR(__xludf.DUMMYFUNCTION("""COMPUTED_VALUE"""),1024.0)</f>
        <v>1024</v>
      </c>
    </row>
    <row r="99">
      <c r="A99" s="235">
        <f>IFERROR(__xludf.DUMMYFUNCTION("""COMPUTED_VALUE"""),44043.0)</f>
        <v>44043</v>
      </c>
      <c r="B99" s="236">
        <f>IFERROR(__xludf.DUMMYFUNCTION("""COMPUTED_VALUE"""),131.0)</f>
        <v>131</v>
      </c>
      <c r="C99" s="236">
        <f>IFERROR(__xludf.DUMMYFUNCTION("""COMPUTED_VALUE"""),147.0)</f>
        <v>147</v>
      </c>
      <c r="D99" s="236">
        <f>IFERROR(__xludf.DUMMYFUNCTION("""COMPUTED_VALUE"""),27883.0)</f>
        <v>27883</v>
      </c>
      <c r="E99" s="236">
        <f>IFERROR(__xludf.DUMMYFUNCTION("""COMPUTED_VALUE"""),5512.0)</f>
        <v>5512</v>
      </c>
      <c r="F99" s="172">
        <f>IFERROR(__xludf.DUMMYFUNCTION("""COMPUTED_VALUE"""),346345.0)</f>
        <v>346345</v>
      </c>
      <c r="G99" s="172">
        <f>IFERROR(__xludf.DUMMYFUNCTION("""COMPUTED_VALUE"""),5643.0)</f>
        <v>5643</v>
      </c>
      <c r="H99" s="172">
        <f>IFERROR(__xludf.DUMMYFUNCTION("""COMPUTED_VALUE"""),374228.0)</f>
        <v>374228</v>
      </c>
      <c r="I99" s="236">
        <f>IFERROR(__xludf.DUMMYFUNCTION("""COMPUTED_VALUE"""),89.0)</f>
        <v>89</v>
      </c>
      <c r="J99" s="236">
        <f>IFERROR(__xludf.DUMMYFUNCTION("""COMPUTED_VALUE"""),113.0)</f>
        <v>113</v>
      </c>
      <c r="K99" s="236">
        <f>IFERROR(__xludf.DUMMYFUNCTION("""COMPUTED_VALUE"""),19146.0)</f>
        <v>19146</v>
      </c>
      <c r="L99" s="236">
        <f>IFERROR(__xludf.DUMMYFUNCTION("""COMPUTED_VALUE"""),1829.0)</f>
        <v>1829</v>
      </c>
      <c r="M99" s="236">
        <f>IFERROR(__xludf.DUMMYFUNCTION("""COMPUTED_VALUE"""),187223.0)</f>
        <v>187223</v>
      </c>
      <c r="N99" s="236">
        <f>IFERROR(__xludf.DUMMYFUNCTION("""COMPUTED_VALUE"""),206369.0)</f>
        <v>206369</v>
      </c>
      <c r="O99" s="236">
        <f>IFERROR(__xludf.DUMMYFUNCTION("""COMPUTED_VALUE"""),7.0)</f>
        <v>7</v>
      </c>
      <c r="P99" s="236">
        <f>IFERROR(__xludf.DUMMYFUNCTION("""COMPUTED_VALUE"""),2253.0)</f>
        <v>2253</v>
      </c>
      <c r="Q99" s="236">
        <f>IFERROR(__xludf.DUMMYFUNCTION("""COMPUTED_VALUE"""),9.0)</f>
        <v>9</v>
      </c>
      <c r="R99" s="236">
        <f>IFERROR(__xludf.DUMMYFUNCTION("""COMPUTED_VALUE"""),1874.0)</f>
        <v>1874</v>
      </c>
      <c r="S99" s="236">
        <f>IFERROR(__xludf.DUMMYFUNCTION("""COMPUTED_VALUE"""),0.0)</f>
        <v>0</v>
      </c>
      <c r="T99" s="236">
        <f>IFERROR(__xludf.DUMMYFUNCTION("""COMPUTED_VALUE"""),317.0)</f>
        <v>317</v>
      </c>
      <c r="U99" s="236">
        <f>IFERROR(__xludf.DUMMYFUNCTION("""COMPUTED_VALUE"""),62.0)</f>
        <v>62</v>
      </c>
      <c r="V99" s="236">
        <f>IFERROR(__xludf.DUMMYFUNCTION("""COMPUTED_VALUE"""),62.0)</f>
        <v>62</v>
      </c>
      <c r="W99" s="236">
        <f>IFERROR(__xludf.DUMMYFUNCTION("""COMPUTED_VALUE"""),15.0)</f>
        <v>15</v>
      </c>
      <c r="X99" s="236">
        <f>IFERROR(__xludf.DUMMYFUNCTION("""COMPUTED_VALUE"""),7.0)</f>
        <v>7</v>
      </c>
      <c r="Y99" s="236">
        <f>IFERROR(__xludf.DUMMYFUNCTION("""COMPUTED_VALUE"""),1.0)</f>
        <v>1</v>
      </c>
      <c r="Z99" s="236">
        <f>IFERROR(__xludf.DUMMYFUNCTION("""COMPUTED_VALUE"""),1025.0)</f>
        <v>1025</v>
      </c>
    </row>
    <row r="100">
      <c r="A100" s="235">
        <f>IFERROR(__xludf.DUMMYFUNCTION("""COMPUTED_VALUE"""),44044.0)</f>
        <v>44044</v>
      </c>
      <c r="B100" s="236">
        <f>IFERROR(__xludf.DUMMYFUNCTION("""COMPUTED_VALUE"""),109.0)</f>
        <v>109</v>
      </c>
      <c r="C100" s="236">
        <f>IFERROR(__xludf.DUMMYFUNCTION("""COMPUTED_VALUE"""),120.0)</f>
        <v>120</v>
      </c>
      <c r="D100" s="236">
        <f>IFERROR(__xludf.DUMMYFUNCTION("""COMPUTED_VALUE"""),27992.0)</f>
        <v>27992</v>
      </c>
      <c r="E100" s="236">
        <f>IFERROR(__xludf.DUMMYFUNCTION("""COMPUTED_VALUE"""),4294.0)</f>
        <v>4294</v>
      </c>
      <c r="F100" s="172">
        <f>IFERROR(__xludf.DUMMYFUNCTION("""COMPUTED_VALUE"""),350639.0)</f>
        <v>350639</v>
      </c>
      <c r="G100" s="172">
        <f>IFERROR(__xludf.DUMMYFUNCTION("""COMPUTED_VALUE"""),4403.0)</f>
        <v>4403</v>
      </c>
      <c r="H100" s="172">
        <f>IFERROR(__xludf.DUMMYFUNCTION("""COMPUTED_VALUE"""),378631.0)</f>
        <v>378631</v>
      </c>
      <c r="I100" s="236">
        <f>IFERROR(__xludf.DUMMYFUNCTION("""COMPUTED_VALUE"""),89.0)</f>
        <v>89</v>
      </c>
      <c r="J100" s="236">
        <f>IFERROR(__xludf.DUMMYFUNCTION("""COMPUTED_VALUE"""),92.0)</f>
        <v>92</v>
      </c>
      <c r="K100" s="236">
        <f>IFERROR(__xludf.DUMMYFUNCTION("""COMPUTED_VALUE"""),19235.0)</f>
        <v>19235</v>
      </c>
      <c r="L100" s="236">
        <f>IFERROR(__xludf.DUMMYFUNCTION("""COMPUTED_VALUE"""),1549.0)</f>
        <v>1549</v>
      </c>
      <c r="M100" s="236">
        <f>IFERROR(__xludf.DUMMYFUNCTION("""COMPUTED_VALUE"""),188772.0)</f>
        <v>188772</v>
      </c>
      <c r="N100" s="236">
        <f>IFERROR(__xludf.DUMMYFUNCTION("""COMPUTED_VALUE"""),208007.0)</f>
        <v>208007</v>
      </c>
      <c r="O100" s="236">
        <f>IFERROR(__xludf.DUMMYFUNCTION("""COMPUTED_VALUE"""),7.0)</f>
        <v>7</v>
      </c>
      <c r="P100" s="236">
        <f>IFERROR(__xludf.DUMMYFUNCTION("""COMPUTED_VALUE"""),2260.0)</f>
        <v>2260</v>
      </c>
      <c r="Q100" s="236">
        <f>IFERROR(__xludf.DUMMYFUNCTION("""COMPUTED_VALUE"""),2.0)</f>
        <v>2</v>
      </c>
      <c r="R100" s="236">
        <f>IFERROR(__xludf.DUMMYFUNCTION("""COMPUTED_VALUE"""),1876.0)</f>
        <v>1876</v>
      </c>
      <c r="S100" s="236">
        <f>IFERROR(__xludf.DUMMYFUNCTION("""COMPUTED_VALUE"""),0.0)</f>
        <v>0</v>
      </c>
      <c r="T100" s="236">
        <f>IFERROR(__xludf.DUMMYFUNCTION("""COMPUTED_VALUE"""),317.0)</f>
        <v>317</v>
      </c>
      <c r="U100" s="236">
        <f>IFERROR(__xludf.DUMMYFUNCTION("""COMPUTED_VALUE"""),67.0)</f>
        <v>67</v>
      </c>
      <c r="V100" s="236">
        <f>IFERROR(__xludf.DUMMYFUNCTION("""COMPUTED_VALUE"""),64.0)</f>
        <v>64</v>
      </c>
      <c r="W100" s="236">
        <f>IFERROR(__xludf.DUMMYFUNCTION("""COMPUTED_VALUE"""),14.0)</f>
        <v>14</v>
      </c>
      <c r="X100" s="236">
        <f>IFERROR(__xludf.DUMMYFUNCTION("""COMPUTED_VALUE"""),7.0)</f>
        <v>7</v>
      </c>
      <c r="Y100" s="236">
        <f>IFERROR(__xludf.DUMMYFUNCTION("""COMPUTED_VALUE"""),1.0)</f>
        <v>1</v>
      </c>
      <c r="Z100" s="236">
        <f>IFERROR(__xludf.DUMMYFUNCTION("""COMPUTED_VALUE"""),1026.0)</f>
        <v>1026</v>
      </c>
    </row>
    <row r="101">
      <c r="A101" s="235">
        <f>IFERROR(__xludf.DUMMYFUNCTION("""COMPUTED_VALUE"""),44045.0)</f>
        <v>44045</v>
      </c>
      <c r="B101" s="236">
        <f>IFERROR(__xludf.DUMMYFUNCTION("""COMPUTED_VALUE"""),84.0)</f>
        <v>84</v>
      </c>
      <c r="C101" s="236">
        <f>IFERROR(__xludf.DUMMYFUNCTION("""COMPUTED_VALUE"""),108.0)</f>
        <v>108</v>
      </c>
      <c r="D101" s="236">
        <f>IFERROR(__xludf.DUMMYFUNCTION("""COMPUTED_VALUE"""),28076.0)</f>
        <v>28076</v>
      </c>
      <c r="E101" s="236">
        <f>IFERROR(__xludf.DUMMYFUNCTION("""COMPUTED_VALUE"""),2804.0)</f>
        <v>2804</v>
      </c>
      <c r="F101" s="172">
        <f>IFERROR(__xludf.DUMMYFUNCTION("""COMPUTED_VALUE"""),353443.0)</f>
        <v>353443</v>
      </c>
      <c r="G101" s="172">
        <f>IFERROR(__xludf.DUMMYFUNCTION("""COMPUTED_VALUE"""),2888.0)</f>
        <v>2888</v>
      </c>
      <c r="H101" s="172">
        <f>IFERROR(__xludf.DUMMYFUNCTION("""COMPUTED_VALUE"""),381519.0)</f>
        <v>381519</v>
      </c>
      <c r="I101" s="236">
        <f>IFERROR(__xludf.DUMMYFUNCTION("""COMPUTED_VALUE"""),62.0)</f>
        <v>62</v>
      </c>
      <c r="J101" s="236">
        <f>IFERROR(__xludf.DUMMYFUNCTION("""COMPUTED_VALUE"""),80.0)</f>
        <v>80</v>
      </c>
      <c r="K101" s="236">
        <f>IFERROR(__xludf.DUMMYFUNCTION("""COMPUTED_VALUE"""),19297.0)</f>
        <v>19297</v>
      </c>
      <c r="L101" s="236">
        <f>IFERROR(__xludf.DUMMYFUNCTION("""COMPUTED_VALUE"""),1261.0)</f>
        <v>1261</v>
      </c>
      <c r="M101" s="236">
        <f>IFERROR(__xludf.DUMMYFUNCTION("""COMPUTED_VALUE"""),190033.0)</f>
        <v>190033</v>
      </c>
      <c r="N101" s="236">
        <f>IFERROR(__xludf.DUMMYFUNCTION("""COMPUTED_VALUE"""),209330.0)</f>
        <v>209330</v>
      </c>
      <c r="O101" s="236">
        <f>IFERROR(__xludf.DUMMYFUNCTION("""COMPUTED_VALUE"""),12.0)</f>
        <v>12</v>
      </c>
      <c r="P101" s="236">
        <f>IFERROR(__xludf.DUMMYFUNCTION("""COMPUTED_VALUE"""),2272.0)</f>
        <v>2272</v>
      </c>
      <c r="Q101" s="236">
        <f>IFERROR(__xludf.DUMMYFUNCTION("""COMPUTED_VALUE"""),12.0)</f>
        <v>12</v>
      </c>
      <c r="R101" s="236">
        <f>IFERROR(__xludf.DUMMYFUNCTION("""COMPUTED_VALUE"""),1888.0)</f>
        <v>1888</v>
      </c>
      <c r="S101" s="236">
        <f>IFERROR(__xludf.DUMMYFUNCTION("""COMPUTED_VALUE"""),2.0)</f>
        <v>2</v>
      </c>
      <c r="T101" s="236">
        <f>IFERROR(__xludf.DUMMYFUNCTION("""COMPUTED_VALUE"""),319.0)</f>
        <v>319</v>
      </c>
      <c r="U101" s="236">
        <f>IFERROR(__xludf.DUMMYFUNCTION("""COMPUTED_VALUE"""),65.0)</f>
        <v>65</v>
      </c>
      <c r="V101" s="236">
        <f>IFERROR(__xludf.DUMMYFUNCTION("""COMPUTED_VALUE"""),65.0)</f>
        <v>65</v>
      </c>
      <c r="W101" s="236">
        <f>IFERROR(__xludf.DUMMYFUNCTION("""COMPUTED_VALUE"""),14.0)</f>
        <v>14</v>
      </c>
      <c r="X101" s="236">
        <f>IFERROR(__xludf.DUMMYFUNCTION("""COMPUTED_VALUE"""),8.0)</f>
        <v>8</v>
      </c>
      <c r="Y101" s="236">
        <f>IFERROR(__xludf.DUMMYFUNCTION("""COMPUTED_VALUE"""),2.0)</f>
        <v>2</v>
      </c>
      <c r="Z101" s="236">
        <f>IFERROR(__xludf.DUMMYFUNCTION("""COMPUTED_VALUE"""),1028.0)</f>
        <v>1028</v>
      </c>
    </row>
    <row r="102">
      <c r="A102" s="235">
        <f>IFERROR(__xludf.DUMMYFUNCTION("""COMPUTED_VALUE"""),44046.0)</f>
        <v>44046</v>
      </c>
      <c r="B102" s="236">
        <f>IFERROR(__xludf.DUMMYFUNCTION("""COMPUTED_VALUE"""),188.0)</f>
        <v>188</v>
      </c>
      <c r="C102" s="236">
        <f>IFERROR(__xludf.DUMMYFUNCTION("""COMPUTED_VALUE"""),127.0)</f>
        <v>127</v>
      </c>
      <c r="D102" s="236">
        <f>IFERROR(__xludf.DUMMYFUNCTION("""COMPUTED_VALUE"""),28264.0)</f>
        <v>28264</v>
      </c>
      <c r="E102" s="236">
        <f>IFERROR(__xludf.DUMMYFUNCTION("""COMPUTED_VALUE"""),5248.0)</f>
        <v>5248</v>
      </c>
      <c r="F102" s="172">
        <f>IFERROR(__xludf.DUMMYFUNCTION("""COMPUTED_VALUE"""),358691.0)</f>
        <v>358691</v>
      </c>
      <c r="G102" s="172">
        <f>IFERROR(__xludf.DUMMYFUNCTION("""COMPUTED_VALUE"""),5436.0)</f>
        <v>5436</v>
      </c>
      <c r="H102" s="172">
        <f>IFERROR(__xludf.DUMMYFUNCTION("""COMPUTED_VALUE"""),386955.0)</f>
        <v>386955</v>
      </c>
      <c r="I102" s="236">
        <f>IFERROR(__xludf.DUMMYFUNCTION("""COMPUTED_VALUE"""),150.0)</f>
        <v>150</v>
      </c>
      <c r="J102" s="236">
        <f>IFERROR(__xludf.DUMMYFUNCTION("""COMPUTED_VALUE"""),100.0)</f>
        <v>100</v>
      </c>
      <c r="K102" s="236">
        <f>IFERROR(__xludf.DUMMYFUNCTION("""COMPUTED_VALUE"""),19447.0)</f>
        <v>19447</v>
      </c>
      <c r="L102" s="236">
        <f>IFERROR(__xludf.DUMMYFUNCTION("""COMPUTED_VALUE"""),2186.0)</f>
        <v>2186</v>
      </c>
      <c r="M102" s="236">
        <f>IFERROR(__xludf.DUMMYFUNCTION("""COMPUTED_VALUE"""),192219.0)</f>
        <v>192219</v>
      </c>
      <c r="N102" s="236">
        <f>IFERROR(__xludf.DUMMYFUNCTION("""COMPUTED_VALUE"""),211666.0)</f>
        <v>211666</v>
      </c>
      <c r="O102" s="236">
        <f>IFERROR(__xludf.DUMMYFUNCTION("""COMPUTED_VALUE"""),11.0)</f>
        <v>11</v>
      </c>
      <c r="P102" s="236">
        <f>IFERROR(__xludf.DUMMYFUNCTION("""COMPUTED_VALUE"""),2283.0)</f>
        <v>2283</v>
      </c>
      <c r="Q102" s="236">
        <f>IFERROR(__xludf.DUMMYFUNCTION("""COMPUTED_VALUE"""),10.0)</f>
        <v>10</v>
      </c>
      <c r="R102" s="236">
        <f>IFERROR(__xludf.DUMMYFUNCTION("""COMPUTED_VALUE"""),1898.0)</f>
        <v>1898</v>
      </c>
      <c r="S102" s="236">
        <f>IFERROR(__xludf.DUMMYFUNCTION("""COMPUTED_VALUE"""),0.0)</f>
        <v>0</v>
      </c>
      <c r="T102" s="236">
        <f>IFERROR(__xludf.DUMMYFUNCTION("""COMPUTED_VALUE"""),319.0)</f>
        <v>319</v>
      </c>
      <c r="U102" s="236">
        <f>IFERROR(__xludf.DUMMYFUNCTION("""COMPUTED_VALUE"""),66.0)</f>
        <v>66</v>
      </c>
      <c r="V102" s="236">
        <f>IFERROR(__xludf.DUMMYFUNCTION("""COMPUTED_VALUE"""),66.0)</f>
        <v>66</v>
      </c>
      <c r="W102" s="236">
        <f>IFERROR(__xludf.DUMMYFUNCTION("""COMPUTED_VALUE"""),16.0)</f>
        <v>16</v>
      </c>
      <c r="X102" s="236">
        <f>IFERROR(__xludf.DUMMYFUNCTION("""COMPUTED_VALUE"""),7.0)</f>
        <v>7</v>
      </c>
      <c r="Y102" s="236">
        <f>IFERROR(__xludf.DUMMYFUNCTION("""COMPUTED_VALUE"""),1.0)</f>
        <v>1</v>
      </c>
      <c r="Z102" s="236">
        <f>IFERROR(__xludf.DUMMYFUNCTION("""COMPUTED_VALUE"""),1029.0)</f>
        <v>1029</v>
      </c>
    </row>
    <row r="103">
      <c r="A103" s="235">
        <f>IFERROR(__xludf.DUMMYFUNCTION("""COMPUTED_VALUE"""),44047.0)</f>
        <v>44047</v>
      </c>
      <c r="B103" s="236">
        <f>IFERROR(__xludf.DUMMYFUNCTION("""COMPUTED_VALUE"""),125.0)</f>
        <v>125</v>
      </c>
      <c r="C103" s="236">
        <f>IFERROR(__xludf.DUMMYFUNCTION("""COMPUTED_VALUE"""),132.0)</f>
        <v>132</v>
      </c>
      <c r="D103" s="236">
        <f>IFERROR(__xludf.DUMMYFUNCTION("""COMPUTED_VALUE"""),28389.0)</f>
        <v>28389</v>
      </c>
      <c r="E103" s="236">
        <f>IFERROR(__xludf.DUMMYFUNCTION("""COMPUTED_VALUE"""),3691.0)</f>
        <v>3691</v>
      </c>
      <c r="F103" s="172">
        <f>IFERROR(__xludf.DUMMYFUNCTION("""COMPUTED_VALUE"""),362382.0)</f>
        <v>362382</v>
      </c>
      <c r="G103" s="172">
        <f>IFERROR(__xludf.DUMMYFUNCTION("""COMPUTED_VALUE"""),3816.0)</f>
        <v>3816</v>
      </c>
      <c r="H103" s="172">
        <f>IFERROR(__xludf.DUMMYFUNCTION("""COMPUTED_VALUE"""),390771.0)</f>
        <v>390771</v>
      </c>
      <c r="I103" s="236">
        <f>IFERROR(__xludf.DUMMYFUNCTION("""COMPUTED_VALUE"""),99.0)</f>
        <v>99</v>
      </c>
      <c r="J103" s="236">
        <f>IFERROR(__xludf.DUMMYFUNCTION("""COMPUTED_VALUE"""),104.0)</f>
        <v>104</v>
      </c>
      <c r="K103" s="236">
        <f>IFERROR(__xludf.DUMMYFUNCTION("""COMPUTED_VALUE"""),19546.0)</f>
        <v>19546</v>
      </c>
      <c r="L103" s="236">
        <f>IFERROR(__xludf.DUMMYFUNCTION("""COMPUTED_VALUE"""),1755.0)</f>
        <v>1755</v>
      </c>
      <c r="M103" s="236">
        <f>IFERROR(__xludf.DUMMYFUNCTION("""COMPUTED_VALUE"""),193974.0)</f>
        <v>193974</v>
      </c>
      <c r="N103" s="236">
        <f>IFERROR(__xludf.DUMMYFUNCTION("""COMPUTED_VALUE"""),213520.0)</f>
        <v>213520</v>
      </c>
      <c r="O103" s="236">
        <f>IFERROR(__xludf.DUMMYFUNCTION("""COMPUTED_VALUE"""),8.0)</f>
        <v>8</v>
      </c>
      <c r="P103" s="236">
        <f>IFERROR(__xludf.DUMMYFUNCTION("""COMPUTED_VALUE"""),2291.0)</f>
        <v>2291</v>
      </c>
      <c r="Q103" s="236">
        <f>IFERROR(__xludf.DUMMYFUNCTION("""COMPUTED_VALUE"""),5.0)</f>
        <v>5</v>
      </c>
      <c r="R103" s="236">
        <f>IFERROR(__xludf.DUMMYFUNCTION("""COMPUTED_VALUE"""),1903.0)</f>
        <v>1903</v>
      </c>
      <c r="S103" s="236">
        <f>IFERROR(__xludf.DUMMYFUNCTION("""COMPUTED_VALUE"""),1.0)</f>
        <v>1</v>
      </c>
      <c r="T103" s="236">
        <f>IFERROR(__xludf.DUMMYFUNCTION("""COMPUTED_VALUE"""),320.0)</f>
        <v>320</v>
      </c>
      <c r="U103" s="236">
        <f>IFERROR(__xludf.DUMMYFUNCTION("""COMPUTED_VALUE"""),68.0)</f>
        <v>68</v>
      </c>
      <c r="V103" s="236">
        <f>IFERROR(__xludf.DUMMYFUNCTION("""COMPUTED_VALUE"""),66.0)</f>
        <v>66</v>
      </c>
      <c r="W103" s="236">
        <f>IFERROR(__xludf.DUMMYFUNCTION("""COMPUTED_VALUE"""),12.0)</f>
        <v>12</v>
      </c>
      <c r="X103" s="236">
        <f>IFERROR(__xludf.DUMMYFUNCTION("""COMPUTED_VALUE"""),5.0)</f>
        <v>5</v>
      </c>
      <c r="Y103" s="236">
        <f>IFERROR(__xludf.DUMMYFUNCTION("""COMPUTED_VALUE"""),2.0)</f>
        <v>2</v>
      </c>
      <c r="Z103" s="236">
        <f>IFERROR(__xludf.DUMMYFUNCTION("""COMPUTED_VALUE"""),1031.0)</f>
        <v>1031</v>
      </c>
    </row>
    <row r="104">
      <c r="A104" s="235">
        <f>IFERROR(__xludf.DUMMYFUNCTION("""COMPUTED_VALUE"""),44048.0)</f>
        <v>44048</v>
      </c>
      <c r="B104" s="236">
        <f>IFERROR(__xludf.DUMMYFUNCTION("""COMPUTED_VALUE"""),147.0)</f>
        <v>147</v>
      </c>
      <c r="C104" s="236">
        <f>IFERROR(__xludf.DUMMYFUNCTION("""COMPUTED_VALUE"""),153.0)</f>
        <v>153</v>
      </c>
      <c r="D104" s="236">
        <f>IFERROR(__xludf.DUMMYFUNCTION("""COMPUTED_VALUE"""),28536.0)</f>
        <v>28536</v>
      </c>
      <c r="E104" s="236">
        <f>IFERROR(__xludf.DUMMYFUNCTION("""COMPUTED_VALUE"""),5935.0)</f>
        <v>5935</v>
      </c>
      <c r="F104" s="172">
        <f>IFERROR(__xludf.DUMMYFUNCTION("""COMPUTED_VALUE"""),368317.0)</f>
        <v>368317</v>
      </c>
      <c r="G104" s="172">
        <f>IFERROR(__xludf.DUMMYFUNCTION("""COMPUTED_VALUE"""),6082.0)</f>
        <v>6082</v>
      </c>
      <c r="H104" s="172">
        <f>IFERROR(__xludf.DUMMYFUNCTION("""COMPUTED_VALUE"""),396853.0)</f>
        <v>396853</v>
      </c>
      <c r="I104" s="236">
        <f>IFERROR(__xludf.DUMMYFUNCTION("""COMPUTED_VALUE"""),119.0)</f>
        <v>119</v>
      </c>
      <c r="J104" s="236">
        <f>IFERROR(__xludf.DUMMYFUNCTION("""COMPUTED_VALUE"""),123.0)</f>
        <v>123</v>
      </c>
      <c r="K104" s="236">
        <f>IFERROR(__xludf.DUMMYFUNCTION("""COMPUTED_VALUE"""),19665.0)</f>
        <v>19665</v>
      </c>
      <c r="L104" s="236">
        <f>IFERROR(__xludf.DUMMYFUNCTION("""COMPUTED_VALUE"""),2448.0)</f>
        <v>2448</v>
      </c>
      <c r="M104" s="236">
        <f>IFERROR(__xludf.DUMMYFUNCTION("""COMPUTED_VALUE"""),196422.0)</f>
        <v>196422</v>
      </c>
      <c r="N104" s="236">
        <f>IFERROR(__xludf.DUMMYFUNCTION("""COMPUTED_VALUE"""),216087.0)</f>
        <v>216087</v>
      </c>
      <c r="O104" s="236">
        <f>IFERROR(__xludf.DUMMYFUNCTION("""COMPUTED_VALUE"""),11.0)</f>
        <v>11</v>
      </c>
      <c r="P104" s="236">
        <f>IFERROR(__xludf.DUMMYFUNCTION("""COMPUTED_VALUE"""),2302.0)</f>
        <v>2302</v>
      </c>
      <c r="Q104" s="236">
        <f>IFERROR(__xludf.DUMMYFUNCTION("""COMPUTED_VALUE"""),9.0)</f>
        <v>9</v>
      </c>
      <c r="R104" s="236">
        <f>IFERROR(__xludf.DUMMYFUNCTION("""COMPUTED_VALUE"""),1912.0)</f>
        <v>1912</v>
      </c>
      <c r="S104" s="236">
        <f>IFERROR(__xludf.DUMMYFUNCTION("""COMPUTED_VALUE"""),1.0)</f>
        <v>1</v>
      </c>
      <c r="T104" s="236">
        <f>IFERROR(__xludf.DUMMYFUNCTION("""COMPUTED_VALUE"""),321.0)</f>
        <v>321</v>
      </c>
      <c r="U104" s="236">
        <f>IFERROR(__xludf.DUMMYFUNCTION("""COMPUTED_VALUE"""),69.0)</f>
        <v>69</v>
      </c>
      <c r="V104" s="236">
        <f>IFERROR(__xludf.DUMMYFUNCTION("""COMPUTED_VALUE"""),68.0)</f>
        <v>68</v>
      </c>
      <c r="W104" s="236">
        <f>IFERROR(__xludf.DUMMYFUNCTION("""COMPUTED_VALUE"""),10.0)</f>
        <v>10</v>
      </c>
      <c r="X104" s="236">
        <f>IFERROR(__xludf.DUMMYFUNCTION("""COMPUTED_VALUE"""),5.0)</f>
        <v>5</v>
      </c>
      <c r="Y104" s="236">
        <f>IFERROR(__xludf.DUMMYFUNCTION("""COMPUTED_VALUE"""),2.0)</f>
        <v>2</v>
      </c>
      <c r="Z104" s="236">
        <f>IFERROR(__xludf.DUMMYFUNCTION("""COMPUTED_VALUE"""),1033.0)</f>
        <v>1033</v>
      </c>
    </row>
    <row r="105">
      <c r="A105" s="235">
        <f>IFERROR(__xludf.DUMMYFUNCTION("""COMPUTED_VALUE"""),44049.0)</f>
        <v>44049</v>
      </c>
      <c r="B105" s="236">
        <f>IFERROR(__xludf.DUMMYFUNCTION("""COMPUTED_VALUE"""),169.0)</f>
        <v>169</v>
      </c>
      <c r="C105" s="236">
        <f>IFERROR(__xludf.DUMMYFUNCTION("""COMPUTED_VALUE"""),147.0)</f>
        <v>147</v>
      </c>
      <c r="D105" s="236">
        <f>IFERROR(__xludf.DUMMYFUNCTION("""COMPUTED_VALUE"""),28705.0)</f>
        <v>28705</v>
      </c>
      <c r="E105" s="236">
        <f>IFERROR(__xludf.DUMMYFUNCTION("""COMPUTED_VALUE"""),5546.0)</f>
        <v>5546</v>
      </c>
      <c r="F105" s="172">
        <f>IFERROR(__xludf.DUMMYFUNCTION("""COMPUTED_VALUE"""),373863.0)</f>
        <v>373863</v>
      </c>
      <c r="G105" s="172">
        <f>IFERROR(__xludf.DUMMYFUNCTION("""COMPUTED_VALUE"""),5715.0)</f>
        <v>5715</v>
      </c>
      <c r="H105" s="172">
        <f>IFERROR(__xludf.DUMMYFUNCTION("""COMPUTED_VALUE"""),402568.0)</f>
        <v>402568</v>
      </c>
      <c r="I105" s="236">
        <f>IFERROR(__xludf.DUMMYFUNCTION("""COMPUTED_VALUE"""),120.0)</f>
        <v>120</v>
      </c>
      <c r="J105" s="236">
        <f>IFERROR(__xludf.DUMMYFUNCTION("""COMPUTED_VALUE"""),113.0)</f>
        <v>113</v>
      </c>
      <c r="K105" s="236">
        <f>IFERROR(__xludf.DUMMYFUNCTION("""COMPUTED_VALUE"""),19785.0)</f>
        <v>19785</v>
      </c>
      <c r="L105" s="236">
        <f>IFERROR(__xludf.DUMMYFUNCTION("""COMPUTED_VALUE"""),2384.0)</f>
        <v>2384</v>
      </c>
      <c r="M105" s="236">
        <f>IFERROR(__xludf.DUMMYFUNCTION("""COMPUTED_VALUE"""),198806.0)</f>
        <v>198806</v>
      </c>
      <c r="N105" s="236">
        <f>IFERROR(__xludf.DUMMYFUNCTION("""COMPUTED_VALUE"""),218591.0)</f>
        <v>218591</v>
      </c>
      <c r="O105" s="236">
        <f>IFERROR(__xludf.DUMMYFUNCTION("""COMPUTED_VALUE"""),7.0)</f>
        <v>7</v>
      </c>
      <c r="P105" s="236">
        <f>IFERROR(__xludf.DUMMYFUNCTION("""COMPUTED_VALUE"""),2309.0)</f>
        <v>2309</v>
      </c>
      <c r="Q105" s="236">
        <f>IFERROR(__xludf.DUMMYFUNCTION("""COMPUTED_VALUE"""),9.0)</f>
        <v>9</v>
      </c>
      <c r="R105" s="236">
        <f>IFERROR(__xludf.DUMMYFUNCTION("""COMPUTED_VALUE"""),1921.0)</f>
        <v>1921</v>
      </c>
      <c r="S105" s="236">
        <f>IFERROR(__xludf.DUMMYFUNCTION("""COMPUTED_VALUE"""),0.0)</f>
        <v>0</v>
      </c>
      <c r="T105" s="236">
        <f>IFERROR(__xludf.DUMMYFUNCTION("""COMPUTED_VALUE"""),321.0)</f>
        <v>321</v>
      </c>
      <c r="U105" s="236">
        <f>IFERROR(__xludf.DUMMYFUNCTION("""COMPUTED_VALUE"""),67.0)</f>
        <v>67</v>
      </c>
      <c r="V105" s="236">
        <f>IFERROR(__xludf.DUMMYFUNCTION("""COMPUTED_VALUE"""),68.0)</f>
        <v>68</v>
      </c>
      <c r="W105" s="236">
        <f>IFERROR(__xludf.DUMMYFUNCTION("""COMPUTED_VALUE"""),9.0)</f>
        <v>9</v>
      </c>
      <c r="X105" s="236">
        <f>IFERROR(__xludf.DUMMYFUNCTION("""COMPUTED_VALUE"""),4.0)</f>
        <v>4</v>
      </c>
      <c r="Y105" s="236">
        <f>IFERROR(__xludf.DUMMYFUNCTION("""COMPUTED_VALUE"""),0.0)</f>
        <v>0</v>
      </c>
      <c r="Z105" s="236">
        <f>IFERROR(__xludf.DUMMYFUNCTION("""COMPUTED_VALUE"""),1033.0)</f>
        <v>1033</v>
      </c>
    </row>
    <row r="106">
      <c r="A106" s="235">
        <f>IFERROR(__xludf.DUMMYFUNCTION("""COMPUTED_VALUE"""),44050.0)</f>
        <v>44050</v>
      </c>
      <c r="B106" s="236">
        <f>IFERROR(__xludf.DUMMYFUNCTION("""COMPUTED_VALUE"""),123.0)</f>
        <v>123</v>
      </c>
      <c r="C106" s="236">
        <f>IFERROR(__xludf.DUMMYFUNCTION("""COMPUTED_VALUE"""),146.0)</f>
        <v>146</v>
      </c>
      <c r="D106" s="236">
        <f>IFERROR(__xludf.DUMMYFUNCTION("""COMPUTED_VALUE"""),28828.0)</f>
        <v>28828</v>
      </c>
      <c r="E106" s="236">
        <f>IFERROR(__xludf.DUMMYFUNCTION("""COMPUTED_VALUE"""),4851.0)</f>
        <v>4851</v>
      </c>
      <c r="F106" s="172">
        <f>IFERROR(__xludf.DUMMYFUNCTION("""COMPUTED_VALUE"""),378714.0)</f>
        <v>378714</v>
      </c>
      <c r="G106" s="172">
        <f>IFERROR(__xludf.DUMMYFUNCTION("""COMPUTED_VALUE"""),4974.0)</f>
        <v>4974</v>
      </c>
      <c r="H106" s="172">
        <f>IFERROR(__xludf.DUMMYFUNCTION("""COMPUTED_VALUE"""),407542.0)</f>
        <v>407542</v>
      </c>
      <c r="I106" s="236">
        <f>IFERROR(__xludf.DUMMYFUNCTION("""COMPUTED_VALUE"""),87.0)</f>
        <v>87</v>
      </c>
      <c r="J106" s="236">
        <f>IFERROR(__xludf.DUMMYFUNCTION("""COMPUTED_VALUE"""),109.0)</f>
        <v>109</v>
      </c>
      <c r="K106" s="236">
        <f>IFERROR(__xludf.DUMMYFUNCTION("""COMPUTED_VALUE"""),19872.0)</f>
        <v>19872</v>
      </c>
      <c r="L106" s="236">
        <f>IFERROR(__xludf.DUMMYFUNCTION("""COMPUTED_VALUE"""),2124.0)</f>
        <v>2124</v>
      </c>
      <c r="M106" s="236">
        <f>IFERROR(__xludf.DUMMYFUNCTION("""COMPUTED_VALUE"""),200930.0)</f>
        <v>200930</v>
      </c>
      <c r="N106" s="236">
        <f>IFERROR(__xludf.DUMMYFUNCTION("""COMPUTED_VALUE"""),220802.0)</f>
        <v>220802</v>
      </c>
      <c r="O106" s="236">
        <f>IFERROR(__xludf.DUMMYFUNCTION("""COMPUTED_VALUE"""),12.0)</f>
        <v>12</v>
      </c>
      <c r="P106" s="236">
        <f>IFERROR(__xludf.DUMMYFUNCTION("""COMPUTED_VALUE"""),2321.0)</f>
        <v>2321</v>
      </c>
      <c r="Q106" s="236">
        <f>IFERROR(__xludf.DUMMYFUNCTION("""COMPUTED_VALUE"""),9.0)</f>
        <v>9</v>
      </c>
      <c r="R106" s="236">
        <f>IFERROR(__xludf.DUMMYFUNCTION("""COMPUTED_VALUE"""),1930.0)</f>
        <v>1930</v>
      </c>
      <c r="S106" s="236">
        <f>IFERROR(__xludf.DUMMYFUNCTION("""COMPUTED_VALUE"""),1.0)</f>
        <v>1</v>
      </c>
      <c r="T106" s="236">
        <f>IFERROR(__xludf.DUMMYFUNCTION("""COMPUTED_VALUE"""),322.0)</f>
        <v>322</v>
      </c>
      <c r="U106" s="236">
        <f>IFERROR(__xludf.DUMMYFUNCTION("""COMPUTED_VALUE"""),69.0)</f>
        <v>69</v>
      </c>
      <c r="V106" s="236">
        <f>IFERROR(__xludf.DUMMYFUNCTION("""COMPUTED_VALUE"""),68.0)</f>
        <v>68</v>
      </c>
      <c r="W106" s="236">
        <f>IFERROR(__xludf.DUMMYFUNCTION("""COMPUTED_VALUE"""),9.0)</f>
        <v>9</v>
      </c>
      <c r="X106" s="236">
        <f>IFERROR(__xludf.DUMMYFUNCTION("""COMPUTED_VALUE"""),3.0)</f>
        <v>3</v>
      </c>
      <c r="Y106" s="236">
        <f>IFERROR(__xludf.DUMMYFUNCTION("""COMPUTED_VALUE"""),2.0)</f>
        <v>2</v>
      </c>
      <c r="Z106" s="236">
        <f>IFERROR(__xludf.DUMMYFUNCTION("""COMPUTED_VALUE"""),1035.0)</f>
        <v>1035</v>
      </c>
    </row>
    <row r="107">
      <c r="A107" s="235">
        <f>IFERROR(__xludf.DUMMYFUNCTION("""COMPUTED_VALUE"""),44051.0)</f>
        <v>44051</v>
      </c>
      <c r="B107" s="236">
        <f>IFERROR(__xludf.DUMMYFUNCTION("""COMPUTED_VALUE"""),123.0)</f>
        <v>123</v>
      </c>
      <c r="C107" s="236">
        <f>IFERROR(__xludf.DUMMYFUNCTION("""COMPUTED_VALUE"""),138.0)</f>
        <v>138</v>
      </c>
      <c r="D107" s="236">
        <f>IFERROR(__xludf.DUMMYFUNCTION("""COMPUTED_VALUE"""),28951.0)</f>
        <v>28951</v>
      </c>
      <c r="E107" s="236">
        <f>IFERROR(__xludf.DUMMYFUNCTION("""COMPUTED_VALUE"""),4112.0)</f>
        <v>4112</v>
      </c>
      <c r="F107" s="172">
        <f>IFERROR(__xludf.DUMMYFUNCTION("""COMPUTED_VALUE"""),382826.0)</f>
        <v>382826</v>
      </c>
      <c r="G107" s="172">
        <f>IFERROR(__xludf.DUMMYFUNCTION("""COMPUTED_VALUE"""),4235.0)</f>
        <v>4235</v>
      </c>
      <c r="H107" s="172">
        <f>IFERROR(__xludf.DUMMYFUNCTION("""COMPUTED_VALUE"""),411777.0)</f>
        <v>411777</v>
      </c>
      <c r="I107" s="236">
        <f>IFERROR(__xludf.DUMMYFUNCTION("""COMPUTED_VALUE"""),91.0)</f>
        <v>91</v>
      </c>
      <c r="J107" s="236">
        <f>IFERROR(__xludf.DUMMYFUNCTION("""COMPUTED_VALUE"""),99.0)</f>
        <v>99</v>
      </c>
      <c r="K107" s="236">
        <f>IFERROR(__xludf.DUMMYFUNCTION("""COMPUTED_VALUE"""),19963.0)</f>
        <v>19963</v>
      </c>
      <c r="L107" s="236">
        <f>IFERROR(__xludf.DUMMYFUNCTION("""COMPUTED_VALUE"""),1768.0)</f>
        <v>1768</v>
      </c>
      <c r="M107" s="236">
        <f>IFERROR(__xludf.DUMMYFUNCTION("""COMPUTED_VALUE"""),202698.0)</f>
        <v>202698</v>
      </c>
      <c r="N107" s="236">
        <f>IFERROR(__xludf.DUMMYFUNCTION("""COMPUTED_VALUE"""),222661.0)</f>
        <v>222661</v>
      </c>
      <c r="O107" s="236">
        <f>IFERROR(__xludf.DUMMYFUNCTION("""COMPUTED_VALUE"""),19.0)</f>
        <v>19</v>
      </c>
      <c r="P107" s="236">
        <f>IFERROR(__xludf.DUMMYFUNCTION("""COMPUTED_VALUE"""),2340.0)</f>
        <v>2340</v>
      </c>
      <c r="Q107" s="236">
        <f>IFERROR(__xludf.DUMMYFUNCTION("""COMPUTED_VALUE"""),6.0)</f>
        <v>6</v>
      </c>
      <c r="R107" s="236">
        <f>IFERROR(__xludf.DUMMYFUNCTION("""COMPUTED_VALUE"""),1936.0)</f>
        <v>1936</v>
      </c>
      <c r="S107" s="236">
        <f>IFERROR(__xludf.DUMMYFUNCTION("""COMPUTED_VALUE"""),1.0)</f>
        <v>1</v>
      </c>
      <c r="T107" s="236">
        <f>IFERROR(__xludf.DUMMYFUNCTION("""COMPUTED_VALUE"""),323.0)</f>
        <v>323</v>
      </c>
      <c r="U107" s="236">
        <f>IFERROR(__xludf.DUMMYFUNCTION("""COMPUTED_VALUE"""),81.0)</f>
        <v>81</v>
      </c>
      <c r="V107" s="236">
        <f>IFERROR(__xludf.DUMMYFUNCTION("""COMPUTED_VALUE"""),72.0)</f>
        <v>72</v>
      </c>
      <c r="W107" s="236">
        <f>IFERROR(__xludf.DUMMYFUNCTION("""COMPUTED_VALUE"""),8.0)</f>
        <v>8</v>
      </c>
      <c r="X107" s="236">
        <f>IFERROR(__xludf.DUMMYFUNCTION("""COMPUTED_VALUE"""),3.0)</f>
        <v>3</v>
      </c>
      <c r="Y107" s="236">
        <f>IFERROR(__xludf.DUMMYFUNCTION("""COMPUTED_VALUE"""),1.0)</f>
        <v>1</v>
      </c>
      <c r="Z107" s="236">
        <f>IFERROR(__xludf.DUMMYFUNCTION("""COMPUTED_VALUE"""),1036.0)</f>
        <v>1036</v>
      </c>
    </row>
    <row r="108">
      <c r="A108" s="235">
        <f>IFERROR(__xludf.DUMMYFUNCTION("""COMPUTED_VALUE"""),44052.0)</f>
        <v>44052</v>
      </c>
      <c r="B108" s="236">
        <f>IFERROR(__xludf.DUMMYFUNCTION("""COMPUTED_VALUE"""),42.0)</f>
        <v>42</v>
      </c>
      <c r="C108" s="236">
        <f>IFERROR(__xludf.DUMMYFUNCTION("""COMPUTED_VALUE"""),96.0)</f>
        <v>96</v>
      </c>
      <c r="D108" s="236">
        <f>IFERROR(__xludf.DUMMYFUNCTION("""COMPUTED_VALUE"""),28993.0)</f>
        <v>28993</v>
      </c>
      <c r="E108" s="236">
        <f>IFERROR(__xludf.DUMMYFUNCTION("""COMPUTED_VALUE"""),1727.0)</f>
        <v>1727</v>
      </c>
      <c r="F108" s="172">
        <f>IFERROR(__xludf.DUMMYFUNCTION("""COMPUTED_VALUE"""),384553.0)</f>
        <v>384553</v>
      </c>
      <c r="G108" s="172">
        <f>IFERROR(__xludf.DUMMYFUNCTION("""COMPUTED_VALUE"""),1769.0)</f>
        <v>1769</v>
      </c>
      <c r="H108" s="172">
        <f>IFERROR(__xludf.DUMMYFUNCTION("""COMPUTED_VALUE"""),413546.0)</f>
        <v>413546</v>
      </c>
      <c r="I108" s="236">
        <f>IFERROR(__xludf.DUMMYFUNCTION("""COMPUTED_VALUE"""),35.0)</f>
        <v>35</v>
      </c>
      <c r="J108" s="236">
        <f>IFERROR(__xludf.DUMMYFUNCTION("""COMPUTED_VALUE"""),71.0)</f>
        <v>71</v>
      </c>
      <c r="K108" s="236">
        <f>IFERROR(__xludf.DUMMYFUNCTION("""COMPUTED_VALUE"""),19998.0)</f>
        <v>19998</v>
      </c>
      <c r="L108" s="236">
        <f>IFERROR(__xludf.DUMMYFUNCTION("""COMPUTED_VALUE"""),1062.0)</f>
        <v>1062</v>
      </c>
      <c r="M108" s="236">
        <f>IFERROR(__xludf.DUMMYFUNCTION("""COMPUTED_VALUE"""),203760.0)</f>
        <v>203760</v>
      </c>
      <c r="N108" s="236">
        <f>IFERROR(__xludf.DUMMYFUNCTION("""COMPUTED_VALUE"""),223758.0)</f>
        <v>223758</v>
      </c>
      <c r="O108" s="236">
        <f>IFERROR(__xludf.DUMMYFUNCTION("""COMPUTED_VALUE"""),6.0)</f>
        <v>6</v>
      </c>
      <c r="P108" s="236">
        <f>IFERROR(__xludf.DUMMYFUNCTION("""COMPUTED_VALUE"""),2346.0)</f>
        <v>2346</v>
      </c>
      <c r="Q108" s="236">
        <f>IFERROR(__xludf.DUMMYFUNCTION("""COMPUTED_VALUE"""),8.0)</f>
        <v>8</v>
      </c>
      <c r="R108" s="236">
        <f>IFERROR(__xludf.DUMMYFUNCTION("""COMPUTED_VALUE"""),1944.0)</f>
        <v>1944</v>
      </c>
      <c r="S108" s="236">
        <f>IFERROR(__xludf.DUMMYFUNCTION("""COMPUTED_VALUE"""),0.0)</f>
        <v>0</v>
      </c>
      <c r="T108" s="236">
        <f>IFERROR(__xludf.DUMMYFUNCTION("""COMPUTED_VALUE"""),323.0)</f>
        <v>323</v>
      </c>
      <c r="U108" s="236">
        <f>IFERROR(__xludf.DUMMYFUNCTION("""COMPUTED_VALUE"""),79.0)</f>
        <v>79</v>
      </c>
      <c r="V108" s="236">
        <f>IFERROR(__xludf.DUMMYFUNCTION("""COMPUTED_VALUE"""),76.0)</f>
        <v>76</v>
      </c>
      <c r="W108" s="236">
        <f>IFERROR(__xludf.DUMMYFUNCTION("""COMPUTED_VALUE"""),9.0)</f>
        <v>9</v>
      </c>
      <c r="X108" s="236">
        <f>IFERROR(__xludf.DUMMYFUNCTION("""COMPUTED_VALUE"""),4.0)</f>
        <v>4</v>
      </c>
      <c r="Y108" s="236">
        <f>IFERROR(__xludf.DUMMYFUNCTION("""COMPUTED_VALUE"""),0.0)</f>
        <v>0</v>
      </c>
      <c r="Z108" s="236">
        <f>IFERROR(__xludf.DUMMYFUNCTION("""COMPUTED_VALUE"""),1036.0)</f>
        <v>1036</v>
      </c>
    </row>
    <row r="109">
      <c r="A109" s="235">
        <f>IFERROR(__xludf.DUMMYFUNCTION("""COMPUTED_VALUE"""),44053.0)</f>
        <v>44053</v>
      </c>
      <c r="B109" s="236">
        <f>IFERROR(__xludf.DUMMYFUNCTION("""COMPUTED_VALUE"""),149.0)</f>
        <v>149</v>
      </c>
      <c r="C109" s="236">
        <f>IFERROR(__xludf.DUMMYFUNCTION("""COMPUTED_VALUE"""),105.0)</f>
        <v>105</v>
      </c>
      <c r="D109" s="236">
        <f>IFERROR(__xludf.DUMMYFUNCTION("""COMPUTED_VALUE"""),29142.0)</f>
        <v>29142</v>
      </c>
      <c r="E109" s="236">
        <f>IFERROR(__xludf.DUMMYFUNCTION("""COMPUTED_VALUE"""),4587.0)</f>
        <v>4587</v>
      </c>
      <c r="F109" s="172">
        <f>IFERROR(__xludf.DUMMYFUNCTION("""COMPUTED_VALUE"""),389140.0)</f>
        <v>389140</v>
      </c>
      <c r="G109" s="172">
        <f>IFERROR(__xludf.DUMMYFUNCTION("""COMPUTED_VALUE"""),4736.0)</f>
        <v>4736</v>
      </c>
      <c r="H109" s="172">
        <f>IFERROR(__xludf.DUMMYFUNCTION("""COMPUTED_VALUE"""),418282.0)</f>
        <v>418282</v>
      </c>
      <c r="I109" s="236">
        <f>IFERROR(__xludf.DUMMYFUNCTION("""COMPUTED_VALUE"""),113.0)</f>
        <v>113</v>
      </c>
      <c r="J109" s="236">
        <f>IFERROR(__xludf.DUMMYFUNCTION("""COMPUTED_VALUE"""),80.0)</f>
        <v>80</v>
      </c>
      <c r="K109" s="236">
        <f>IFERROR(__xludf.DUMMYFUNCTION("""COMPUTED_VALUE"""),20111.0)</f>
        <v>20111</v>
      </c>
      <c r="L109" s="236">
        <f>IFERROR(__xludf.DUMMYFUNCTION("""COMPUTED_VALUE"""),2007.0)</f>
        <v>2007</v>
      </c>
      <c r="M109" s="236">
        <f>IFERROR(__xludf.DUMMYFUNCTION("""COMPUTED_VALUE"""),205767.0)</f>
        <v>205767</v>
      </c>
      <c r="N109" s="236">
        <f>IFERROR(__xludf.DUMMYFUNCTION("""COMPUTED_VALUE"""),225878.0)</f>
        <v>225878</v>
      </c>
      <c r="O109" s="236">
        <f>IFERROR(__xludf.DUMMYFUNCTION("""COMPUTED_VALUE"""),8.0)</f>
        <v>8</v>
      </c>
      <c r="P109" s="236">
        <f>IFERROR(__xludf.DUMMYFUNCTION("""COMPUTED_VALUE"""),2354.0)</f>
        <v>2354</v>
      </c>
      <c r="Q109" s="236">
        <f>IFERROR(__xludf.DUMMYFUNCTION("""COMPUTED_VALUE"""),9.0)</f>
        <v>9</v>
      </c>
      <c r="R109" s="236">
        <f>IFERROR(__xludf.DUMMYFUNCTION("""COMPUTED_VALUE"""),1953.0)</f>
        <v>1953</v>
      </c>
      <c r="S109" s="236">
        <f>IFERROR(__xludf.DUMMYFUNCTION("""COMPUTED_VALUE"""),0.0)</f>
        <v>0</v>
      </c>
      <c r="T109" s="236">
        <f>IFERROR(__xludf.DUMMYFUNCTION("""COMPUTED_VALUE"""),323.0)</f>
        <v>323</v>
      </c>
      <c r="U109" s="236">
        <f>IFERROR(__xludf.DUMMYFUNCTION("""COMPUTED_VALUE"""),78.0)</f>
        <v>78</v>
      </c>
      <c r="V109" s="236">
        <f>IFERROR(__xludf.DUMMYFUNCTION("""COMPUTED_VALUE"""),79.0)</f>
        <v>79</v>
      </c>
      <c r="W109" s="236">
        <f>IFERROR(__xludf.DUMMYFUNCTION("""COMPUTED_VALUE"""),9.0)</f>
        <v>9</v>
      </c>
      <c r="X109" s="236">
        <f>IFERROR(__xludf.DUMMYFUNCTION("""COMPUTED_VALUE"""),4.0)</f>
        <v>4</v>
      </c>
      <c r="Y109" s="236">
        <f>IFERROR(__xludf.DUMMYFUNCTION("""COMPUTED_VALUE"""),1.0)</f>
        <v>1</v>
      </c>
      <c r="Z109" s="236">
        <f>IFERROR(__xludf.DUMMYFUNCTION("""COMPUTED_VALUE"""),1037.0)</f>
        <v>1037</v>
      </c>
    </row>
    <row r="110">
      <c r="A110" s="235">
        <f>IFERROR(__xludf.DUMMYFUNCTION("""COMPUTED_VALUE"""),44054.0)</f>
        <v>44054</v>
      </c>
      <c r="B110" s="236">
        <f>IFERROR(__xludf.DUMMYFUNCTION("""COMPUTED_VALUE"""),106.0)</f>
        <v>106</v>
      </c>
      <c r="C110" s="236">
        <f>IFERROR(__xludf.DUMMYFUNCTION("""COMPUTED_VALUE"""),99.0)</f>
        <v>99</v>
      </c>
      <c r="D110" s="236">
        <f>IFERROR(__xludf.DUMMYFUNCTION("""COMPUTED_VALUE"""),29248.0)</f>
        <v>29248</v>
      </c>
      <c r="E110" s="236">
        <f>IFERROR(__xludf.DUMMYFUNCTION("""COMPUTED_VALUE"""),4334.0)</f>
        <v>4334</v>
      </c>
      <c r="F110" s="172">
        <f>IFERROR(__xludf.DUMMYFUNCTION("""COMPUTED_VALUE"""),393474.0)</f>
        <v>393474</v>
      </c>
      <c r="G110" s="172">
        <f>IFERROR(__xludf.DUMMYFUNCTION("""COMPUTED_VALUE"""),4440.0)</f>
        <v>4440</v>
      </c>
      <c r="H110" s="172">
        <f>IFERROR(__xludf.DUMMYFUNCTION("""COMPUTED_VALUE"""),422722.0)</f>
        <v>422722</v>
      </c>
      <c r="I110" s="236">
        <f>IFERROR(__xludf.DUMMYFUNCTION("""COMPUTED_VALUE"""),92.0)</f>
        <v>92</v>
      </c>
      <c r="J110" s="236">
        <f>IFERROR(__xludf.DUMMYFUNCTION("""COMPUTED_VALUE"""),80.0)</f>
        <v>80</v>
      </c>
      <c r="K110" s="236">
        <f>IFERROR(__xludf.DUMMYFUNCTION("""COMPUTED_VALUE"""),20203.0)</f>
        <v>20203</v>
      </c>
      <c r="L110" s="236">
        <f>IFERROR(__xludf.DUMMYFUNCTION("""COMPUTED_VALUE"""),2253.0)</f>
        <v>2253</v>
      </c>
      <c r="M110" s="236">
        <f>IFERROR(__xludf.DUMMYFUNCTION("""COMPUTED_VALUE"""),208020.0)</f>
        <v>208020</v>
      </c>
      <c r="N110" s="236">
        <f>IFERROR(__xludf.DUMMYFUNCTION("""COMPUTED_VALUE"""),228223.0)</f>
        <v>228223</v>
      </c>
      <c r="O110" s="236">
        <f>IFERROR(__xludf.DUMMYFUNCTION("""COMPUTED_VALUE"""),5.0)</f>
        <v>5</v>
      </c>
      <c r="P110" s="236">
        <f>IFERROR(__xludf.DUMMYFUNCTION("""COMPUTED_VALUE"""),2359.0)</f>
        <v>2359</v>
      </c>
      <c r="Q110" s="236">
        <f>IFERROR(__xludf.DUMMYFUNCTION("""COMPUTED_VALUE"""),13.0)</f>
        <v>13</v>
      </c>
      <c r="R110" s="236">
        <f>IFERROR(__xludf.DUMMYFUNCTION("""COMPUTED_VALUE"""),1966.0)</f>
        <v>1966</v>
      </c>
      <c r="S110" s="236">
        <f>IFERROR(__xludf.DUMMYFUNCTION("""COMPUTED_VALUE"""),0.0)</f>
        <v>0</v>
      </c>
      <c r="T110" s="236">
        <f>IFERROR(__xludf.DUMMYFUNCTION("""COMPUTED_VALUE"""),323.0)</f>
        <v>323</v>
      </c>
      <c r="U110" s="236">
        <f>IFERROR(__xludf.DUMMYFUNCTION("""COMPUTED_VALUE"""),70.0)</f>
        <v>70</v>
      </c>
      <c r="V110" s="236">
        <f>IFERROR(__xludf.DUMMYFUNCTION("""COMPUTED_VALUE"""),76.0)</f>
        <v>76</v>
      </c>
      <c r="W110" s="236">
        <f>IFERROR(__xludf.DUMMYFUNCTION("""COMPUTED_VALUE"""),10.0)</f>
        <v>10</v>
      </c>
      <c r="X110" s="236">
        <f>IFERROR(__xludf.DUMMYFUNCTION("""COMPUTED_VALUE"""),4.0)</f>
        <v>4</v>
      </c>
      <c r="Y110" s="236">
        <f>IFERROR(__xludf.DUMMYFUNCTION("""COMPUTED_VALUE"""),3.0)</f>
        <v>3</v>
      </c>
      <c r="Z110" s="236">
        <f>IFERROR(__xludf.DUMMYFUNCTION("""COMPUTED_VALUE"""),1040.0)</f>
        <v>1040</v>
      </c>
    </row>
    <row r="111">
      <c r="A111" s="235">
        <f>IFERROR(__xludf.DUMMYFUNCTION("""COMPUTED_VALUE"""),44055.0)</f>
        <v>44055</v>
      </c>
      <c r="B111" s="236">
        <f>IFERROR(__xludf.DUMMYFUNCTION("""COMPUTED_VALUE"""),121.0)</f>
        <v>121</v>
      </c>
      <c r="C111" s="236">
        <f>IFERROR(__xludf.DUMMYFUNCTION("""COMPUTED_VALUE"""),125.0)</f>
        <v>125</v>
      </c>
      <c r="D111" s="236">
        <f>IFERROR(__xludf.DUMMYFUNCTION("""COMPUTED_VALUE"""),29369.0)</f>
        <v>29369</v>
      </c>
      <c r="E111" s="236">
        <f>IFERROR(__xludf.DUMMYFUNCTION("""COMPUTED_VALUE"""),5188.0)</f>
        <v>5188</v>
      </c>
      <c r="F111" s="172">
        <f>IFERROR(__xludf.DUMMYFUNCTION("""COMPUTED_VALUE"""),398662.0)</f>
        <v>398662</v>
      </c>
      <c r="G111" s="172">
        <f>IFERROR(__xludf.DUMMYFUNCTION("""COMPUTED_VALUE"""),5309.0)</f>
        <v>5309</v>
      </c>
      <c r="H111" s="172">
        <f>IFERROR(__xludf.DUMMYFUNCTION("""COMPUTED_VALUE"""),428031.0)</f>
        <v>428031</v>
      </c>
      <c r="I111" s="236">
        <f>IFERROR(__xludf.DUMMYFUNCTION("""COMPUTED_VALUE"""),101.0)</f>
        <v>101</v>
      </c>
      <c r="J111" s="236">
        <f>IFERROR(__xludf.DUMMYFUNCTION("""COMPUTED_VALUE"""),102.0)</f>
        <v>102</v>
      </c>
      <c r="K111" s="236">
        <f>IFERROR(__xludf.DUMMYFUNCTION("""COMPUTED_VALUE"""),20304.0)</f>
        <v>20304</v>
      </c>
      <c r="L111" s="236">
        <f>IFERROR(__xludf.DUMMYFUNCTION("""COMPUTED_VALUE"""),2606.0)</f>
        <v>2606</v>
      </c>
      <c r="M111" s="236">
        <f>IFERROR(__xludf.DUMMYFUNCTION("""COMPUTED_VALUE"""),210626.0)</f>
        <v>210626</v>
      </c>
      <c r="N111" s="236">
        <f>IFERROR(__xludf.DUMMYFUNCTION("""COMPUTED_VALUE"""),230930.0)</f>
        <v>230930</v>
      </c>
      <c r="O111" s="236">
        <f>IFERROR(__xludf.DUMMYFUNCTION("""COMPUTED_VALUE"""),8.0)</f>
        <v>8</v>
      </c>
      <c r="P111" s="236">
        <f>IFERROR(__xludf.DUMMYFUNCTION("""COMPUTED_VALUE"""),2367.0)</f>
        <v>2367</v>
      </c>
      <c r="Q111" s="236">
        <f>IFERROR(__xludf.DUMMYFUNCTION("""COMPUTED_VALUE"""),11.0)</f>
        <v>11</v>
      </c>
      <c r="R111" s="236">
        <f>IFERROR(__xludf.DUMMYFUNCTION("""COMPUTED_VALUE"""),1977.0)</f>
        <v>1977</v>
      </c>
      <c r="S111" s="236">
        <f>IFERROR(__xludf.DUMMYFUNCTION("""COMPUTED_VALUE"""),0.0)</f>
        <v>0</v>
      </c>
      <c r="T111" s="236">
        <f>IFERROR(__xludf.DUMMYFUNCTION("""COMPUTED_VALUE"""),323.0)</f>
        <v>323</v>
      </c>
      <c r="U111" s="236">
        <f>IFERROR(__xludf.DUMMYFUNCTION("""COMPUTED_VALUE"""),67.0)</f>
        <v>67</v>
      </c>
      <c r="V111" s="236">
        <f>IFERROR(__xludf.DUMMYFUNCTION("""COMPUTED_VALUE"""),72.0)</f>
        <v>72</v>
      </c>
      <c r="W111" s="236">
        <f>IFERROR(__xludf.DUMMYFUNCTION("""COMPUTED_VALUE"""),9.0)</f>
        <v>9</v>
      </c>
      <c r="X111" s="236">
        <f>IFERROR(__xludf.DUMMYFUNCTION("""COMPUTED_VALUE"""),3.0)</f>
        <v>3</v>
      </c>
      <c r="Y111" s="236">
        <f>IFERROR(__xludf.DUMMYFUNCTION("""COMPUTED_VALUE"""),1.0)</f>
        <v>1</v>
      </c>
      <c r="Z111" s="236">
        <f>IFERROR(__xludf.DUMMYFUNCTION("""COMPUTED_VALUE"""),1041.0)</f>
        <v>1041</v>
      </c>
    </row>
    <row r="112">
      <c r="A112" s="235">
        <f>IFERROR(__xludf.DUMMYFUNCTION("""COMPUTED_VALUE"""),44056.0)</f>
        <v>44056</v>
      </c>
      <c r="B112" s="236">
        <f>IFERROR(__xludf.DUMMYFUNCTION("""COMPUTED_VALUE"""),135.0)</f>
        <v>135</v>
      </c>
      <c r="C112" s="236">
        <f>IFERROR(__xludf.DUMMYFUNCTION("""COMPUTED_VALUE"""),121.0)</f>
        <v>121</v>
      </c>
      <c r="D112" s="236">
        <f>IFERROR(__xludf.DUMMYFUNCTION("""COMPUTED_VALUE"""),29504.0)</f>
        <v>29504</v>
      </c>
      <c r="E112" s="236">
        <f>IFERROR(__xludf.DUMMYFUNCTION("""COMPUTED_VALUE"""),4196.0)</f>
        <v>4196</v>
      </c>
      <c r="F112" s="172">
        <f>IFERROR(__xludf.DUMMYFUNCTION("""COMPUTED_VALUE"""),402858.0)</f>
        <v>402858</v>
      </c>
      <c r="G112" s="172">
        <f>IFERROR(__xludf.DUMMYFUNCTION("""COMPUTED_VALUE"""),4331.0)</f>
        <v>4331</v>
      </c>
      <c r="H112" s="172">
        <f>IFERROR(__xludf.DUMMYFUNCTION("""COMPUTED_VALUE"""),432362.0)</f>
        <v>432362</v>
      </c>
      <c r="I112" s="236">
        <f>IFERROR(__xludf.DUMMYFUNCTION("""COMPUTED_VALUE"""),95.0)</f>
        <v>95</v>
      </c>
      <c r="J112" s="236">
        <f>IFERROR(__xludf.DUMMYFUNCTION("""COMPUTED_VALUE"""),96.0)</f>
        <v>96</v>
      </c>
      <c r="K112" s="236">
        <f>IFERROR(__xludf.DUMMYFUNCTION("""COMPUTED_VALUE"""),20399.0)</f>
        <v>20399</v>
      </c>
      <c r="L112" s="236">
        <f>IFERROR(__xludf.DUMMYFUNCTION("""COMPUTED_VALUE"""),1889.0)</f>
        <v>1889</v>
      </c>
      <c r="M112" s="236">
        <f>IFERROR(__xludf.DUMMYFUNCTION("""COMPUTED_VALUE"""),212515.0)</f>
        <v>212515</v>
      </c>
      <c r="N112" s="236">
        <f>IFERROR(__xludf.DUMMYFUNCTION("""COMPUTED_VALUE"""),232914.0)</f>
        <v>232914</v>
      </c>
      <c r="O112" s="236">
        <f>IFERROR(__xludf.DUMMYFUNCTION("""COMPUTED_VALUE"""),13.0)</f>
        <v>13</v>
      </c>
      <c r="P112" s="236">
        <f>IFERROR(__xludf.DUMMYFUNCTION("""COMPUTED_VALUE"""),2380.0)</f>
        <v>2380</v>
      </c>
      <c r="Q112" s="236">
        <f>IFERROR(__xludf.DUMMYFUNCTION("""COMPUTED_VALUE"""),12.0)</f>
        <v>12</v>
      </c>
      <c r="R112" s="236">
        <f>IFERROR(__xludf.DUMMYFUNCTION("""COMPUTED_VALUE"""),1989.0)</f>
        <v>1989</v>
      </c>
      <c r="S112" s="236">
        <f>IFERROR(__xludf.DUMMYFUNCTION("""COMPUTED_VALUE"""),0.0)</f>
        <v>0</v>
      </c>
      <c r="T112" s="236">
        <f>IFERROR(__xludf.DUMMYFUNCTION("""COMPUTED_VALUE"""),323.0)</f>
        <v>323</v>
      </c>
      <c r="U112" s="236">
        <f>IFERROR(__xludf.DUMMYFUNCTION("""COMPUTED_VALUE"""),68.0)</f>
        <v>68</v>
      </c>
      <c r="V112" s="236">
        <f>IFERROR(__xludf.DUMMYFUNCTION("""COMPUTED_VALUE"""),68.0)</f>
        <v>68</v>
      </c>
      <c r="W112" s="236">
        <f>IFERROR(__xludf.DUMMYFUNCTION("""COMPUTED_VALUE"""),11.0)</f>
        <v>11</v>
      </c>
      <c r="X112" s="236">
        <f>IFERROR(__xludf.DUMMYFUNCTION("""COMPUTED_VALUE"""),3.0)</f>
        <v>3</v>
      </c>
      <c r="Y112" s="236">
        <f>IFERROR(__xludf.DUMMYFUNCTION("""COMPUTED_VALUE"""),0.0)</f>
        <v>0</v>
      </c>
      <c r="Z112" s="236">
        <f>IFERROR(__xludf.DUMMYFUNCTION("""COMPUTED_VALUE"""),1041.0)</f>
        <v>1041</v>
      </c>
    </row>
    <row r="113">
      <c r="A113" s="235">
        <f>IFERROR(__xludf.DUMMYFUNCTION("""COMPUTED_VALUE"""),44057.0)</f>
        <v>44057</v>
      </c>
      <c r="B113" s="236">
        <f>IFERROR(__xludf.DUMMYFUNCTION("""COMPUTED_VALUE"""),145.0)</f>
        <v>145</v>
      </c>
      <c r="C113" s="236">
        <f>IFERROR(__xludf.DUMMYFUNCTION("""COMPUTED_VALUE"""),134.0)</f>
        <v>134</v>
      </c>
      <c r="D113" s="236">
        <f>IFERROR(__xludf.DUMMYFUNCTION("""COMPUTED_VALUE"""),29649.0)</f>
        <v>29649</v>
      </c>
      <c r="E113" s="236">
        <f>IFERROR(__xludf.DUMMYFUNCTION("""COMPUTED_VALUE"""),5498.0)</f>
        <v>5498</v>
      </c>
      <c r="F113" s="172">
        <f>IFERROR(__xludf.DUMMYFUNCTION("""COMPUTED_VALUE"""),408356.0)</f>
        <v>408356</v>
      </c>
      <c r="G113" s="172">
        <f>IFERROR(__xludf.DUMMYFUNCTION("""COMPUTED_VALUE"""),5643.0)</f>
        <v>5643</v>
      </c>
      <c r="H113" s="172">
        <f>IFERROR(__xludf.DUMMYFUNCTION("""COMPUTED_VALUE"""),438005.0)</f>
        <v>438005</v>
      </c>
      <c r="I113" s="236">
        <f>IFERROR(__xludf.DUMMYFUNCTION("""COMPUTED_VALUE"""),98.0)</f>
        <v>98</v>
      </c>
      <c r="J113" s="236">
        <f>IFERROR(__xludf.DUMMYFUNCTION("""COMPUTED_VALUE"""),98.0)</f>
        <v>98</v>
      </c>
      <c r="K113" s="236">
        <f>IFERROR(__xludf.DUMMYFUNCTION("""COMPUTED_VALUE"""),20497.0)</f>
        <v>20497</v>
      </c>
      <c r="L113" s="236">
        <f>IFERROR(__xludf.DUMMYFUNCTION("""COMPUTED_VALUE"""),1964.0)</f>
        <v>1964</v>
      </c>
      <c r="M113" s="236">
        <f>IFERROR(__xludf.DUMMYFUNCTION("""COMPUTED_VALUE"""),214479.0)</f>
        <v>214479</v>
      </c>
      <c r="N113" s="236">
        <f>IFERROR(__xludf.DUMMYFUNCTION("""COMPUTED_VALUE"""),234976.0)</f>
        <v>234976</v>
      </c>
      <c r="O113" s="236">
        <f>IFERROR(__xludf.DUMMYFUNCTION("""COMPUTED_VALUE"""),13.0)</f>
        <v>13</v>
      </c>
      <c r="P113" s="236">
        <f>IFERROR(__xludf.DUMMYFUNCTION("""COMPUTED_VALUE"""),2393.0)</f>
        <v>2393</v>
      </c>
      <c r="Q113" s="236">
        <f>IFERROR(__xludf.DUMMYFUNCTION("""COMPUTED_VALUE"""),11.0)</f>
        <v>11</v>
      </c>
      <c r="R113" s="236">
        <f>IFERROR(__xludf.DUMMYFUNCTION("""COMPUTED_VALUE"""),2000.0)</f>
        <v>2000</v>
      </c>
      <c r="S113" s="236">
        <f>IFERROR(__xludf.DUMMYFUNCTION("""COMPUTED_VALUE"""),0.0)</f>
        <v>0</v>
      </c>
      <c r="T113" s="236">
        <f>IFERROR(__xludf.DUMMYFUNCTION("""COMPUTED_VALUE"""),323.0)</f>
        <v>323</v>
      </c>
      <c r="U113" s="236">
        <f>IFERROR(__xludf.DUMMYFUNCTION("""COMPUTED_VALUE"""),70.0)</f>
        <v>70</v>
      </c>
      <c r="V113" s="236">
        <f>IFERROR(__xludf.DUMMYFUNCTION("""COMPUTED_VALUE"""),68.0)</f>
        <v>68</v>
      </c>
      <c r="W113" s="236">
        <f>IFERROR(__xludf.DUMMYFUNCTION("""COMPUTED_VALUE"""),11.0)</f>
        <v>11</v>
      </c>
      <c r="X113" s="236">
        <f>IFERROR(__xludf.DUMMYFUNCTION("""COMPUTED_VALUE"""),4.0)</f>
        <v>4</v>
      </c>
      <c r="Y113" s="236">
        <f>IFERROR(__xludf.DUMMYFUNCTION("""COMPUTED_VALUE"""),3.0)</f>
        <v>3</v>
      </c>
      <c r="Z113" s="236">
        <f>IFERROR(__xludf.DUMMYFUNCTION("""COMPUTED_VALUE"""),1044.0)</f>
        <v>1044</v>
      </c>
    </row>
    <row r="114">
      <c r="A114" s="235">
        <f>IFERROR(__xludf.DUMMYFUNCTION("""COMPUTED_VALUE"""),44058.0)</f>
        <v>44058</v>
      </c>
      <c r="B114" s="236">
        <f>IFERROR(__xludf.DUMMYFUNCTION("""COMPUTED_VALUE"""),106.0)</f>
        <v>106</v>
      </c>
      <c r="C114" s="236">
        <f>IFERROR(__xludf.DUMMYFUNCTION("""COMPUTED_VALUE"""),129.0)</f>
        <v>129</v>
      </c>
      <c r="D114" s="236">
        <f>IFERROR(__xludf.DUMMYFUNCTION("""COMPUTED_VALUE"""),29755.0)</f>
        <v>29755</v>
      </c>
      <c r="E114" s="236">
        <f>IFERROR(__xludf.DUMMYFUNCTION("""COMPUTED_VALUE"""),4534.0)</f>
        <v>4534</v>
      </c>
      <c r="F114" s="172">
        <f>IFERROR(__xludf.DUMMYFUNCTION("""COMPUTED_VALUE"""),412890.0)</f>
        <v>412890</v>
      </c>
      <c r="G114" s="172">
        <f>IFERROR(__xludf.DUMMYFUNCTION("""COMPUTED_VALUE"""),4640.0)</f>
        <v>4640</v>
      </c>
      <c r="H114" s="172">
        <f>IFERROR(__xludf.DUMMYFUNCTION("""COMPUTED_VALUE"""),442645.0)</f>
        <v>442645</v>
      </c>
      <c r="I114" s="236">
        <f>IFERROR(__xludf.DUMMYFUNCTION("""COMPUTED_VALUE"""),88.0)</f>
        <v>88</v>
      </c>
      <c r="J114" s="236">
        <f>IFERROR(__xludf.DUMMYFUNCTION("""COMPUTED_VALUE"""),94.0)</f>
        <v>94</v>
      </c>
      <c r="K114" s="236">
        <f>IFERROR(__xludf.DUMMYFUNCTION("""COMPUTED_VALUE"""),20585.0)</f>
        <v>20585</v>
      </c>
      <c r="L114" s="236">
        <f>IFERROR(__xludf.DUMMYFUNCTION("""COMPUTED_VALUE"""),1674.0)</f>
        <v>1674</v>
      </c>
      <c r="M114" s="236">
        <f>IFERROR(__xludf.DUMMYFUNCTION("""COMPUTED_VALUE"""),216153.0)</f>
        <v>216153</v>
      </c>
      <c r="N114" s="236">
        <f>IFERROR(__xludf.DUMMYFUNCTION("""COMPUTED_VALUE"""),236738.0)</f>
        <v>236738</v>
      </c>
      <c r="O114" s="236">
        <f>IFERROR(__xludf.DUMMYFUNCTION("""COMPUTED_VALUE"""),9.0)</f>
        <v>9</v>
      </c>
      <c r="P114" s="236">
        <f>IFERROR(__xludf.DUMMYFUNCTION("""COMPUTED_VALUE"""),2402.0)</f>
        <v>2402</v>
      </c>
      <c r="Q114" s="236">
        <f>IFERROR(__xludf.DUMMYFUNCTION("""COMPUTED_VALUE"""),11.0)</f>
        <v>11</v>
      </c>
      <c r="R114" s="236">
        <f>IFERROR(__xludf.DUMMYFUNCTION("""COMPUTED_VALUE"""),2011.0)</f>
        <v>2011</v>
      </c>
      <c r="S114" s="236">
        <f>IFERROR(__xludf.DUMMYFUNCTION("""COMPUTED_VALUE"""),1.0)</f>
        <v>1</v>
      </c>
      <c r="T114" s="236">
        <f>IFERROR(__xludf.DUMMYFUNCTION("""COMPUTED_VALUE"""),324.0)</f>
        <v>324</v>
      </c>
      <c r="U114" s="236">
        <f>IFERROR(__xludf.DUMMYFUNCTION("""COMPUTED_VALUE"""),67.0)</f>
        <v>67</v>
      </c>
      <c r="V114" s="236">
        <f>IFERROR(__xludf.DUMMYFUNCTION("""COMPUTED_VALUE"""),68.0)</f>
        <v>68</v>
      </c>
      <c r="W114" s="236">
        <f>IFERROR(__xludf.DUMMYFUNCTION("""COMPUTED_VALUE"""),11.0)</f>
        <v>11</v>
      </c>
      <c r="X114" s="236">
        <f>IFERROR(__xludf.DUMMYFUNCTION("""COMPUTED_VALUE"""),5.0)</f>
        <v>5</v>
      </c>
      <c r="Y114" s="236">
        <f>IFERROR(__xludf.DUMMYFUNCTION("""COMPUTED_VALUE"""),0.0)</f>
        <v>0</v>
      </c>
      <c r="Z114" s="236">
        <f>IFERROR(__xludf.DUMMYFUNCTION("""COMPUTED_VALUE"""),1044.0)</f>
        <v>1044</v>
      </c>
    </row>
    <row r="115">
      <c r="A115" s="235">
        <f>IFERROR(__xludf.DUMMYFUNCTION("""COMPUTED_VALUE"""),44059.0)</f>
        <v>44059</v>
      </c>
      <c r="B115" s="236">
        <f>IFERROR(__xludf.DUMMYFUNCTION("""COMPUTED_VALUE"""),83.0)</f>
        <v>83</v>
      </c>
      <c r="C115" s="236">
        <f>IFERROR(__xludf.DUMMYFUNCTION("""COMPUTED_VALUE"""),111.0)</f>
        <v>111</v>
      </c>
      <c r="D115" s="236">
        <f>IFERROR(__xludf.DUMMYFUNCTION("""COMPUTED_VALUE"""),29838.0)</f>
        <v>29838</v>
      </c>
      <c r="E115" s="236">
        <f>IFERROR(__xludf.DUMMYFUNCTION("""COMPUTED_VALUE"""),2477.0)</f>
        <v>2477</v>
      </c>
      <c r="F115" s="172">
        <f>IFERROR(__xludf.DUMMYFUNCTION("""COMPUTED_VALUE"""),415367.0)</f>
        <v>415367</v>
      </c>
      <c r="G115" s="172">
        <f>IFERROR(__xludf.DUMMYFUNCTION("""COMPUTED_VALUE"""),2560.0)</f>
        <v>2560</v>
      </c>
      <c r="H115" s="172">
        <f>IFERROR(__xludf.DUMMYFUNCTION("""COMPUTED_VALUE"""),445205.0)</f>
        <v>445205</v>
      </c>
      <c r="I115" s="236">
        <f>IFERROR(__xludf.DUMMYFUNCTION("""COMPUTED_VALUE"""),70.0)</f>
        <v>70</v>
      </c>
      <c r="J115" s="236">
        <f>IFERROR(__xludf.DUMMYFUNCTION("""COMPUTED_VALUE"""),85.0)</f>
        <v>85</v>
      </c>
      <c r="K115" s="236">
        <f>IFERROR(__xludf.DUMMYFUNCTION("""COMPUTED_VALUE"""),20655.0)</f>
        <v>20655</v>
      </c>
      <c r="L115" s="236">
        <f>IFERROR(__xludf.DUMMYFUNCTION("""COMPUTED_VALUE"""),954.0)</f>
        <v>954</v>
      </c>
      <c r="M115" s="236">
        <f>IFERROR(__xludf.DUMMYFUNCTION("""COMPUTED_VALUE"""),217107.0)</f>
        <v>217107</v>
      </c>
      <c r="N115" s="236">
        <f>IFERROR(__xludf.DUMMYFUNCTION("""COMPUTED_VALUE"""),237762.0)</f>
        <v>237762</v>
      </c>
      <c r="O115" s="236">
        <f>IFERROR(__xludf.DUMMYFUNCTION("""COMPUTED_VALUE"""),6.0)</f>
        <v>6</v>
      </c>
      <c r="P115" s="236">
        <f>IFERROR(__xludf.DUMMYFUNCTION("""COMPUTED_VALUE"""),2408.0)</f>
        <v>2408</v>
      </c>
      <c r="Q115" s="236">
        <f>IFERROR(__xludf.DUMMYFUNCTION("""COMPUTED_VALUE"""),5.0)</f>
        <v>5</v>
      </c>
      <c r="R115" s="236">
        <f>IFERROR(__xludf.DUMMYFUNCTION("""COMPUTED_VALUE"""),2016.0)</f>
        <v>2016</v>
      </c>
      <c r="S115" s="236">
        <f>IFERROR(__xludf.DUMMYFUNCTION("""COMPUTED_VALUE"""),4.0)</f>
        <v>4</v>
      </c>
      <c r="T115" s="236">
        <f>IFERROR(__xludf.DUMMYFUNCTION("""COMPUTED_VALUE"""),328.0)</f>
        <v>328</v>
      </c>
      <c r="U115" s="236">
        <f>IFERROR(__xludf.DUMMYFUNCTION("""COMPUTED_VALUE"""),64.0)</f>
        <v>64</v>
      </c>
      <c r="V115" s="236">
        <f>IFERROR(__xludf.DUMMYFUNCTION("""COMPUTED_VALUE"""),67.0)</f>
        <v>67</v>
      </c>
      <c r="W115" s="236">
        <f>IFERROR(__xludf.DUMMYFUNCTION("""COMPUTED_VALUE"""),8.0)</f>
        <v>8</v>
      </c>
      <c r="X115" s="236">
        <f>IFERROR(__xludf.DUMMYFUNCTION("""COMPUTED_VALUE"""),4.0)</f>
        <v>4</v>
      </c>
      <c r="Y115" s="236">
        <f>IFERROR(__xludf.DUMMYFUNCTION("""COMPUTED_VALUE"""),6.0)</f>
        <v>6</v>
      </c>
      <c r="Z115" s="236">
        <f>IFERROR(__xludf.DUMMYFUNCTION("""COMPUTED_VALUE"""),1050.0)</f>
        <v>1050</v>
      </c>
    </row>
    <row r="116">
      <c r="A116" s="235">
        <f>IFERROR(__xludf.DUMMYFUNCTION("""COMPUTED_VALUE"""),44060.0)</f>
        <v>44060</v>
      </c>
      <c r="B116" s="236">
        <f>IFERROR(__xludf.DUMMYFUNCTION("""COMPUTED_VALUE"""),106.0)</f>
        <v>106</v>
      </c>
      <c r="C116" s="236">
        <f>IFERROR(__xludf.DUMMYFUNCTION("""COMPUTED_VALUE"""),98.0)</f>
        <v>98</v>
      </c>
      <c r="D116" s="236">
        <f>IFERROR(__xludf.DUMMYFUNCTION("""COMPUTED_VALUE"""),29944.0)</f>
        <v>29944</v>
      </c>
      <c r="E116" s="236">
        <f>IFERROR(__xludf.DUMMYFUNCTION("""COMPUTED_VALUE"""),4575.0)</f>
        <v>4575</v>
      </c>
      <c r="F116" s="172">
        <f>IFERROR(__xludf.DUMMYFUNCTION("""COMPUTED_VALUE"""),419942.0)</f>
        <v>419942</v>
      </c>
      <c r="G116" s="172">
        <f>IFERROR(__xludf.DUMMYFUNCTION("""COMPUTED_VALUE"""),4681.0)</f>
        <v>4681</v>
      </c>
      <c r="H116" s="172">
        <f>IFERROR(__xludf.DUMMYFUNCTION("""COMPUTED_VALUE"""),449886.0)</f>
        <v>449886</v>
      </c>
      <c r="I116" s="236">
        <f>IFERROR(__xludf.DUMMYFUNCTION("""COMPUTED_VALUE"""),87.0)</f>
        <v>87</v>
      </c>
      <c r="J116" s="236">
        <f>IFERROR(__xludf.DUMMYFUNCTION("""COMPUTED_VALUE"""),82.0)</f>
        <v>82</v>
      </c>
      <c r="K116" s="236">
        <f>IFERROR(__xludf.DUMMYFUNCTION("""COMPUTED_VALUE"""),20742.0)</f>
        <v>20742</v>
      </c>
      <c r="L116" s="236">
        <f>IFERROR(__xludf.DUMMYFUNCTION("""COMPUTED_VALUE"""),2370.0)</f>
        <v>2370</v>
      </c>
      <c r="M116" s="236">
        <f>IFERROR(__xludf.DUMMYFUNCTION("""COMPUTED_VALUE"""),219477.0)</f>
        <v>219477</v>
      </c>
      <c r="N116" s="236">
        <f>IFERROR(__xludf.DUMMYFUNCTION("""COMPUTED_VALUE"""),240219.0)</f>
        <v>240219</v>
      </c>
      <c r="O116" s="236">
        <f>IFERROR(__xludf.DUMMYFUNCTION("""COMPUTED_VALUE"""),8.0)</f>
        <v>8</v>
      </c>
      <c r="P116" s="236">
        <f>IFERROR(__xludf.DUMMYFUNCTION("""COMPUTED_VALUE"""),2416.0)</f>
        <v>2416</v>
      </c>
      <c r="Q116" s="236">
        <f>IFERROR(__xludf.DUMMYFUNCTION("""COMPUTED_VALUE"""),6.0)</f>
        <v>6</v>
      </c>
      <c r="R116" s="236">
        <f>IFERROR(__xludf.DUMMYFUNCTION("""COMPUTED_VALUE"""),2022.0)</f>
        <v>2022</v>
      </c>
      <c r="S116" s="236">
        <f>IFERROR(__xludf.DUMMYFUNCTION("""COMPUTED_VALUE"""),0.0)</f>
        <v>0</v>
      </c>
      <c r="T116" s="236">
        <f>IFERROR(__xludf.DUMMYFUNCTION("""COMPUTED_VALUE"""),328.0)</f>
        <v>328</v>
      </c>
      <c r="U116" s="236">
        <f>IFERROR(__xludf.DUMMYFUNCTION("""COMPUTED_VALUE"""),66.0)</f>
        <v>66</v>
      </c>
      <c r="V116" s="236">
        <f>IFERROR(__xludf.DUMMYFUNCTION("""COMPUTED_VALUE"""),66.0)</f>
        <v>66</v>
      </c>
      <c r="W116" s="236">
        <f>IFERROR(__xludf.DUMMYFUNCTION("""COMPUTED_VALUE"""),8.0)</f>
        <v>8</v>
      </c>
      <c r="X116" s="236">
        <f>IFERROR(__xludf.DUMMYFUNCTION("""COMPUTED_VALUE"""),5.0)</f>
        <v>5</v>
      </c>
      <c r="Y116" s="236">
        <f>IFERROR(__xludf.DUMMYFUNCTION("""COMPUTED_VALUE"""),2.0)</f>
        <v>2</v>
      </c>
      <c r="Z116" s="236">
        <f>IFERROR(__xludf.DUMMYFUNCTION("""COMPUTED_VALUE"""),1052.0)</f>
        <v>1052</v>
      </c>
    </row>
    <row r="117">
      <c r="A117" s="235">
        <f>IFERROR(__xludf.DUMMYFUNCTION("""COMPUTED_VALUE"""),44061.0)</f>
        <v>44061</v>
      </c>
      <c r="B117" s="236">
        <f>IFERROR(__xludf.DUMMYFUNCTION("""COMPUTED_VALUE"""),128.0)</f>
        <v>128</v>
      </c>
      <c r="C117" s="236">
        <f>IFERROR(__xludf.DUMMYFUNCTION("""COMPUTED_VALUE"""),106.0)</f>
        <v>106</v>
      </c>
      <c r="D117" s="236">
        <f>IFERROR(__xludf.DUMMYFUNCTION("""COMPUTED_VALUE"""),30072.0)</f>
        <v>30072</v>
      </c>
      <c r="E117" s="236">
        <f>IFERROR(__xludf.DUMMYFUNCTION("""COMPUTED_VALUE"""),4911.0)</f>
        <v>4911</v>
      </c>
      <c r="F117" s="172">
        <f>IFERROR(__xludf.DUMMYFUNCTION("""COMPUTED_VALUE"""),424853.0)</f>
        <v>424853</v>
      </c>
      <c r="G117" s="172">
        <f>IFERROR(__xludf.DUMMYFUNCTION("""COMPUTED_VALUE"""),5039.0)</f>
        <v>5039</v>
      </c>
      <c r="H117" s="172">
        <f>IFERROR(__xludf.DUMMYFUNCTION("""COMPUTED_VALUE"""),454925.0)</f>
        <v>454925</v>
      </c>
      <c r="I117" s="236">
        <f>IFERROR(__xludf.DUMMYFUNCTION("""COMPUTED_VALUE"""),94.0)</f>
        <v>94</v>
      </c>
      <c r="J117" s="236">
        <f>IFERROR(__xludf.DUMMYFUNCTION("""COMPUTED_VALUE"""),84.0)</f>
        <v>84</v>
      </c>
      <c r="K117" s="236">
        <f>IFERROR(__xludf.DUMMYFUNCTION("""COMPUTED_VALUE"""),20836.0)</f>
        <v>20836</v>
      </c>
      <c r="L117" s="236">
        <f>IFERROR(__xludf.DUMMYFUNCTION("""COMPUTED_VALUE"""),2737.0)</f>
        <v>2737</v>
      </c>
      <c r="M117" s="236">
        <f>IFERROR(__xludf.DUMMYFUNCTION("""COMPUTED_VALUE"""),222214.0)</f>
        <v>222214</v>
      </c>
      <c r="N117" s="236">
        <f>IFERROR(__xludf.DUMMYFUNCTION("""COMPUTED_VALUE"""),243050.0)</f>
        <v>243050</v>
      </c>
      <c r="O117" s="236">
        <f>IFERROR(__xludf.DUMMYFUNCTION("""COMPUTED_VALUE"""),11.0)</f>
        <v>11</v>
      </c>
      <c r="P117" s="236">
        <f>IFERROR(__xludf.DUMMYFUNCTION("""COMPUTED_VALUE"""),2427.0)</f>
        <v>2427</v>
      </c>
      <c r="Q117" s="236">
        <f>IFERROR(__xludf.DUMMYFUNCTION("""COMPUTED_VALUE"""),8.0)</f>
        <v>8</v>
      </c>
      <c r="R117" s="236">
        <f>IFERROR(__xludf.DUMMYFUNCTION("""COMPUTED_VALUE"""),2030.0)</f>
        <v>2030</v>
      </c>
      <c r="S117" s="236">
        <f>IFERROR(__xludf.DUMMYFUNCTION("""COMPUTED_VALUE"""),1.0)</f>
        <v>1</v>
      </c>
      <c r="T117" s="236">
        <f>IFERROR(__xludf.DUMMYFUNCTION("""COMPUTED_VALUE"""),329.0)</f>
        <v>329</v>
      </c>
      <c r="U117" s="236">
        <f>IFERROR(__xludf.DUMMYFUNCTION("""COMPUTED_VALUE"""),68.0)</f>
        <v>68</v>
      </c>
      <c r="V117" s="236">
        <f>IFERROR(__xludf.DUMMYFUNCTION("""COMPUTED_VALUE"""),66.0)</f>
        <v>66</v>
      </c>
      <c r="W117" s="236">
        <f>IFERROR(__xludf.DUMMYFUNCTION("""COMPUTED_VALUE"""),8.0)</f>
        <v>8</v>
      </c>
      <c r="X117" s="236">
        <f>IFERROR(__xludf.DUMMYFUNCTION("""COMPUTED_VALUE"""),4.0)</f>
        <v>4</v>
      </c>
      <c r="Y117" s="236">
        <f>IFERROR(__xludf.DUMMYFUNCTION("""COMPUTED_VALUE"""),5.0)</f>
        <v>5</v>
      </c>
      <c r="Z117" s="236">
        <f>IFERROR(__xludf.DUMMYFUNCTION("""COMPUTED_VALUE"""),1057.0)</f>
        <v>1057</v>
      </c>
    </row>
    <row r="118">
      <c r="A118" s="235">
        <f>IFERROR(__xludf.DUMMYFUNCTION("""COMPUTED_VALUE"""),44062.0)</f>
        <v>44062</v>
      </c>
      <c r="B118" s="236">
        <f>IFERROR(__xludf.DUMMYFUNCTION("""COMPUTED_VALUE"""),113.0)</f>
        <v>113</v>
      </c>
      <c r="C118" s="236">
        <f>IFERROR(__xludf.DUMMYFUNCTION("""COMPUTED_VALUE"""),116.0)</f>
        <v>116</v>
      </c>
      <c r="D118" s="236">
        <f>IFERROR(__xludf.DUMMYFUNCTION("""COMPUTED_VALUE"""),30185.0)</f>
        <v>30185</v>
      </c>
      <c r="E118" s="236">
        <f>IFERROR(__xludf.DUMMYFUNCTION("""COMPUTED_VALUE"""),5077.0)</f>
        <v>5077</v>
      </c>
      <c r="F118" s="172">
        <f>IFERROR(__xludf.DUMMYFUNCTION("""COMPUTED_VALUE"""),429930.0)</f>
        <v>429930</v>
      </c>
      <c r="G118" s="172">
        <f>IFERROR(__xludf.DUMMYFUNCTION("""COMPUTED_VALUE"""),5190.0)</f>
        <v>5190</v>
      </c>
      <c r="H118" s="172">
        <f>IFERROR(__xludf.DUMMYFUNCTION("""COMPUTED_VALUE"""),460115.0)</f>
        <v>460115</v>
      </c>
      <c r="I118" s="236">
        <f>IFERROR(__xludf.DUMMYFUNCTION("""COMPUTED_VALUE"""),90.0)</f>
        <v>90</v>
      </c>
      <c r="J118" s="236">
        <f>IFERROR(__xludf.DUMMYFUNCTION("""COMPUTED_VALUE"""),90.0)</f>
        <v>90</v>
      </c>
      <c r="K118" s="236">
        <f>IFERROR(__xludf.DUMMYFUNCTION("""COMPUTED_VALUE"""),20926.0)</f>
        <v>20926</v>
      </c>
      <c r="L118" s="236">
        <f>IFERROR(__xludf.DUMMYFUNCTION("""COMPUTED_VALUE"""),2627.0)</f>
        <v>2627</v>
      </c>
      <c r="M118" s="236">
        <f>IFERROR(__xludf.DUMMYFUNCTION("""COMPUTED_VALUE"""),224841.0)</f>
        <v>224841</v>
      </c>
      <c r="N118" s="236">
        <f>IFERROR(__xludf.DUMMYFUNCTION("""COMPUTED_VALUE"""),245767.0)</f>
        <v>245767</v>
      </c>
      <c r="O118" s="236">
        <f>IFERROR(__xludf.DUMMYFUNCTION("""COMPUTED_VALUE"""),8.0)</f>
        <v>8</v>
      </c>
      <c r="P118" s="236">
        <f>IFERROR(__xludf.DUMMYFUNCTION("""COMPUTED_VALUE"""),2435.0)</f>
        <v>2435</v>
      </c>
      <c r="Q118" s="236">
        <f>IFERROR(__xludf.DUMMYFUNCTION("""COMPUTED_VALUE"""),9.0)</f>
        <v>9</v>
      </c>
      <c r="R118" s="236">
        <f>IFERROR(__xludf.DUMMYFUNCTION("""COMPUTED_VALUE"""),2039.0)</f>
        <v>2039</v>
      </c>
      <c r="S118" s="236">
        <f>IFERROR(__xludf.DUMMYFUNCTION("""COMPUTED_VALUE"""),1.0)</f>
        <v>1</v>
      </c>
      <c r="T118" s="236">
        <f>IFERROR(__xludf.DUMMYFUNCTION("""COMPUTED_VALUE"""),330.0)</f>
        <v>330</v>
      </c>
      <c r="U118" s="236">
        <f>IFERROR(__xludf.DUMMYFUNCTION("""COMPUTED_VALUE"""),66.0)</f>
        <v>66</v>
      </c>
      <c r="V118" s="236">
        <f>IFERROR(__xludf.DUMMYFUNCTION("""COMPUTED_VALUE"""),67.0)</f>
        <v>67</v>
      </c>
      <c r="W118" s="236">
        <f>IFERROR(__xludf.DUMMYFUNCTION("""COMPUTED_VALUE"""),9.0)</f>
        <v>9</v>
      </c>
      <c r="X118" s="236">
        <f>IFERROR(__xludf.DUMMYFUNCTION("""COMPUTED_VALUE"""),5.0)</f>
        <v>5</v>
      </c>
      <c r="Y118" s="236">
        <f>IFERROR(__xludf.DUMMYFUNCTION("""COMPUTED_VALUE"""),0.0)</f>
        <v>0</v>
      </c>
      <c r="Z118" s="236">
        <f>IFERROR(__xludf.DUMMYFUNCTION("""COMPUTED_VALUE"""),1057.0)</f>
        <v>1057</v>
      </c>
    </row>
    <row r="119">
      <c r="A119" s="235">
        <f>IFERROR(__xludf.DUMMYFUNCTION("""COMPUTED_VALUE"""),44063.0)</f>
        <v>44063</v>
      </c>
      <c r="B119" s="236">
        <f>IFERROR(__xludf.DUMMYFUNCTION("""COMPUTED_VALUE"""),173.0)</f>
        <v>173</v>
      </c>
      <c r="C119" s="236">
        <f>IFERROR(__xludf.DUMMYFUNCTION("""COMPUTED_VALUE"""),138.0)</f>
        <v>138</v>
      </c>
      <c r="D119" s="236">
        <f>IFERROR(__xludf.DUMMYFUNCTION("""COMPUTED_VALUE"""),30358.0)</f>
        <v>30358</v>
      </c>
      <c r="E119" s="236">
        <f>IFERROR(__xludf.DUMMYFUNCTION("""COMPUTED_VALUE"""),7411.0)</f>
        <v>7411</v>
      </c>
      <c r="F119" s="172">
        <f>IFERROR(__xludf.DUMMYFUNCTION("""COMPUTED_VALUE"""),437341.0)</f>
        <v>437341</v>
      </c>
      <c r="G119" s="172">
        <f>IFERROR(__xludf.DUMMYFUNCTION("""COMPUTED_VALUE"""),7584.0)</f>
        <v>7584</v>
      </c>
      <c r="H119" s="172">
        <f>IFERROR(__xludf.DUMMYFUNCTION("""COMPUTED_VALUE"""),467699.0)</f>
        <v>467699</v>
      </c>
      <c r="I119" s="236">
        <f>IFERROR(__xludf.DUMMYFUNCTION("""COMPUTED_VALUE"""),139.0)</f>
        <v>139</v>
      </c>
      <c r="J119" s="236">
        <f>IFERROR(__xludf.DUMMYFUNCTION("""COMPUTED_VALUE"""),108.0)</f>
        <v>108</v>
      </c>
      <c r="K119" s="236">
        <f>IFERROR(__xludf.DUMMYFUNCTION("""COMPUTED_VALUE"""),21065.0)</f>
        <v>21065</v>
      </c>
      <c r="L119" s="236">
        <f>IFERROR(__xludf.DUMMYFUNCTION("""COMPUTED_VALUE"""),3491.0)</f>
        <v>3491</v>
      </c>
      <c r="M119" s="236">
        <f>IFERROR(__xludf.DUMMYFUNCTION("""COMPUTED_VALUE"""),228332.0)</f>
        <v>228332</v>
      </c>
      <c r="N119" s="236">
        <f>IFERROR(__xludf.DUMMYFUNCTION("""COMPUTED_VALUE"""),249397.0)</f>
        <v>249397</v>
      </c>
      <c r="O119" s="236">
        <f>IFERROR(__xludf.DUMMYFUNCTION("""COMPUTED_VALUE"""),12.0)</f>
        <v>12</v>
      </c>
      <c r="P119" s="236">
        <f>IFERROR(__xludf.DUMMYFUNCTION("""COMPUTED_VALUE"""),2447.0)</f>
        <v>2447</v>
      </c>
      <c r="Q119" s="236">
        <f>IFERROR(__xludf.DUMMYFUNCTION("""COMPUTED_VALUE"""),6.0)</f>
        <v>6</v>
      </c>
      <c r="R119" s="236">
        <f>IFERROR(__xludf.DUMMYFUNCTION("""COMPUTED_VALUE"""),2045.0)</f>
        <v>2045</v>
      </c>
      <c r="S119" s="236">
        <f>IFERROR(__xludf.DUMMYFUNCTION("""COMPUTED_VALUE"""),2.0)</f>
        <v>2</v>
      </c>
      <c r="T119" s="236">
        <f>IFERROR(__xludf.DUMMYFUNCTION("""COMPUTED_VALUE"""),332.0)</f>
        <v>332</v>
      </c>
      <c r="U119" s="236">
        <f>IFERROR(__xludf.DUMMYFUNCTION("""COMPUTED_VALUE"""),70.0)</f>
        <v>70</v>
      </c>
      <c r="V119" s="236">
        <f>IFERROR(__xludf.DUMMYFUNCTION("""COMPUTED_VALUE"""),68.0)</f>
        <v>68</v>
      </c>
      <c r="W119" s="236">
        <f>IFERROR(__xludf.DUMMYFUNCTION("""COMPUTED_VALUE"""),10.0)</f>
        <v>10</v>
      </c>
      <c r="X119" s="236">
        <f>IFERROR(__xludf.DUMMYFUNCTION("""COMPUTED_VALUE"""),5.0)</f>
        <v>5</v>
      </c>
      <c r="Y119" s="236">
        <f>IFERROR(__xludf.DUMMYFUNCTION("""COMPUTED_VALUE"""),3.0)</f>
        <v>3</v>
      </c>
      <c r="Z119" s="236">
        <f>IFERROR(__xludf.DUMMYFUNCTION("""COMPUTED_VALUE"""),1060.0)</f>
        <v>1060</v>
      </c>
    </row>
    <row r="120">
      <c r="A120" s="235">
        <f>IFERROR(__xludf.DUMMYFUNCTION("""COMPUTED_VALUE"""),44064.0)</f>
        <v>44064</v>
      </c>
      <c r="B120" s="236">
        <f>IFERROR(__xludf.DUMMYFUNCTION("""COMPUTED_VALUE"""),151.0)</f>
        <v>151</v>
      </c>
      <c r="C120" s="236">
        <f>IFERROR(__xludf.DUMMYFUNCTION("""COMPUTED_VALUE"""),146.0)</f>
        <v>146</v>
      </c>
      <c r="D120" s="236">
        <f>IFERROR(__xludf.DUMMYFUNCTION("""COMPUTED_VALUE"""),30509.0)</f>
        <v>30509</v>
      </c>
      <c r="E120" s="236">
        <f>IFERROR(__xludf.DUMMYFUNCTION("""COMPUTED_VALUE"""),6577.0)</f>
        <v>6577</v>
      </c>
      <c r="F120" s="172">
        <f>IFERROR(__xludf.DUMMYFUNCTION("""COMPUTED_VALUE"""),443918.0)</f>
        <v>443918</v>
      </c>
      <c r="G120" s="172">
        <f>IFERROR(__xludf.DUMMYFUNCTION("""COMPUTED_VALUE"""),6728.0)</f>
        <v>6728</v>
      </c>
      <c r="H120" s="172">
        <f>IFERROR(__xludf.DUMMYFUNCTION("""COMPUTED_VALUE"""),474427.0)</f>
        <v>474427</v>
      </c>
      <c r="I120" s="236">
        <f>IFERROR(__xludf.DUMMYFUNCTION("""COMPUTED_VALUE"""),125.0)</f>
        <v>125</v>
      </c>
      <c r="J120" s="236">
        <f>IFERROR(__xludf.DUMMYFUNCTION("""COMPUTED_VALUE"""),118.0)</f>
        <v>118</v>
      </c>
      <c r="K120" s="236">
        <f>IFERROR(__xludf.DUMMYFUNCTION("""COMPUTED_VALUE"""),21190.0)</f>
        <v>21190</v>
      </c>
      <c r="L120" s="236">
        <f>IFERROR(__xludf.DUMMYFUNCTION("""COMPUTED_VALUE"""),2928.0)</f>
        <v>2928</v>
      </c>
      <c r="M120" s="236">
        <f>IFERROR(__xludf.DUMMYFUNCTION("""COMPUTED_VALUE"""),231260.0)</f>
        <v>231260</v>
      </c>
      <c r="N120" s="236">
        <f>IFERROR(__xludf.DUMMYFUNCTION("""COMPUTED_VALUE"""),252450.0)</f>
        <v>252450</v>
      </c>
      <c r="O120" s="236">
        <f>IFERROR(__xludf.DUMMYFUNCTION("""COMPUTED_VALUE"""),8.0)</f>
        <v>8</v>
      </c>
      <c r="P120" s="236">
        <f>IFERROR(__xludf.DUMMYFUNCTION("""COMPUTED_VALUE"""),2455.0)</f>
        <v>2455</v>
      </c>
      <c r="Q120" s="236">
        <f>IFERROR(__xludf.DUMMYFUNCTION("""COMPUTED_VALUE"""),5.0)</f>
        <v>5</v>
      </c>
      <c r="R120" s="236">
        <f>IFERROR(__xludf.DUMMYFUNCTION("""COMPUTED_VALUE"""),2050.0)</f>
        <v>2050</v>
      </c>
      <c r="S120" s="236">
        <f>IFERROR(__xludf.DUMMYFUNCTION("""COMPUTED_VALUE"""),1.0)</f>
        <v>1</v>
      </c>
      <c r="T120" s="236">
        <f>IFERROR(__xludf.DUMMYFUNCTION("""COMPUTED_VALUE"""),333.0)</f>
        <v>333</v>
      </c>
      <c r="U120" s="236">
        <f>IFERROR(__xludf.DUMMYFUNCTION("""COMPUTED_VALUE"""),72.0)</f>
        <v>72</v>
      </c>
      <c r="V120" s="236">
        <f>IFERROR(__xludf.DUMMYFUNCTION("""COMPUTED_VALUE"""),69.0)</f>
        <v>69</v>
      </c>
      <c r="W120" s="236">
        <f>IFERROR(__xludf.DUMMYFUNCTION("""COMPUTED_VALUE"""),9.0)</f>
        <v>9</v>
      </c>
      <c r="X120" s="236">
        <f>IFERROR(__xludf.DUMMYFUNCTION("""COMPUTED_VALUE"""),4.0)</f>
        <v>4</v>
      </c>
      <c r="Y120" s="236">
        <f>IFERROR(__xludf.DUMMYFUNCTION("""COMPUTED_VALUE"""),2.0)</f>
        <v>2</v>
      </c>
      <c r="Z120" s="236">
        <f>IFERROR(__xludf.DUMMYFUNCTION("""COMPUTED_VALUE"""),1062.0)</f>
        <v>1062</v>
      </c>
    </row>
    <row r="121">
      <c r="A121" s="235">
        <f>IFERROR(__xludf.DUMMYFUNCTION("""COMPUTED_VALUE"""),44065.0)</f>
        <v>44065</v>
      </c>
      <c r="B121" s="236">
        <f>IFERROR(__xludf.DUMMYFUNCTION("""COMPUTED_VALUE"""),96.0)</f>
        <v>96</v>
      </c>
      <c r="C121" s="236">
        <f>IFERROR(__xludf.DUMMYFUNCTION("""COMPUTED_VALUE"""),140.0)</f>
        <v>140</v>
      </c>
      <c r="D121" s="236">
        <f>IFERROR(__xludf.DUMMYFUNCTION("""COMPUTED_VALUE"""),30605.0)</f>
        <v>30605</v>
      </c>
      <c r="E121" s="236">
        <f>IFERROR(__xludf.DUMMYFUNCTION("""COMPUTED_VALUE"""),5550.0)</f>
        <v>5550</v>
      </c>
      <c r="F121" s="172">
        <f>IFERROR(__xludf.DUMMYFUNCTION("""COMPUTED_VALUE"""),449468.0)</f>
        <v>449468</v>
      </c>
      <c r="G121" s="172">
        <f>IFERROR(__xludf.DUMMYFUNCTION("""COMPUTED_VALUE"""),5646.0)</f>
        <v>5646</v>
      </c>
      <c r="H121" s="172">
        <f>IFERROR(__xludf.DUMMYFUNCTION("""COMPUTED_VALUE"""),480073.0)</f>
        <v>480073</v>
      </c>
      <c r="I121" s="236">
        <f>IFERROR(__xludf.DUMMYFUNCTION("""COMPUTED_VALUE"""),84.0)</f>
        <v>84</v>
      </c>
      <c r="J121" s="236">
        <f>IFERROR(__xludf.DUMMYFUNCTION("""COMPUTED_VALUE"""),116.0)</f>
        <v>116</v>
      </c>
      <c r="K121" s="236">
        <f>IFERROR(__xludf.DUMMYFUNCTION("""COMPUTED_VALUE"""),21274.0)</f>
        <v>21274</v>
      </c>
      <c r="L121" s="236">
        <f>IFERROR(__xludf.DUMMYFUNCTION("""COMPUTED_VALUE"""),2582.0)</f>
        <v>2582</v>
      </c>
      <c r="M121" s="236">
        <f>IFERROR(__xludf.DUMMYFUNCTION("""COMPUTED_VALUE"""),233842.0)</f>
        <v>233842</v>
      </c>
      <c r="N121" s="236">
        <f>IFERROR(__xludf.DUMMYFUNCTION("""COMPUTED_VALUE"""),255116.0)</f>
        <v>255116</v>
      </c>
      <c r="O121" s="236">
        <f>IFERROR(__xludf.DUMMYFUNCTION("""COMPUTED_VALUE"""),11.0)</f>
        <v>11</v>
      </c>
      <c r="P121" s="236">
        <f>IFERROR(__xludf.DUMMYFUNCTION("""COMPUTED_VALUE"""),2466.0)</f>
        <v>2466</v>
      </c>
      <c r="Q121" s="236">
        <f>IFERROR(__xludf.DUMMYFUNCTION("""COMPUTED_VALUE"""),12.0)</f>
        <v>12</v>
      </c>
      <c r="R121" s="236">
        <f>IFERROR(__xludf.DUMMYFUNCTION("""COMPUTED_VALUE"""),2062.0)</f>
        <v>2062</v>
      </c>
      <c r="S121" s="236">
        <f>IFERROR(__xludf.DUMMYFUNCTION("""COMPUTED_VALUE"""),0.0)</f>
        <v>0</v>
      </c>
      <c r="T121" s="236">
        <f>IFERROR(__xludf.DUMMYFUNCTION("""COMPUTED_VALUE"""),333.0)</f>
        <v>333</v>
      </c>
      <c r="U121" s="236">
        <f>IFERROR(__xludf.DUMMYFUNCTION("""COMPUTED_VALUE"""),71.0)</f>
        <v>71</v>
      </c>
      <c r="V121" s="236">
        <f>IFERROR(__xludf.DUMMYFUNCTION("""COMPUTED_VALUE"""),71.0)</f>
        <v>71</v>
      </c>
      <c r="W121" s="236">
        <f>IFERROR(__xludf.DUMMYFUNCTION("""COMPUTED_VALUE"""),11.0)</f>
        <v>11</v>
      </c>
      <c r="X121" s="236">
        <f>IFERROR(__xludf.DUMMYFUNCTION("""COMPUTED_VALUE"""),4.0)</f>
        <v>4</v>
      </c>
      <c r="Y121" s="236">
        <f>IFERROR(__xludf.DUMMYFUNCTION("""COMPUTED_VALUE"""),1.0)</f>
        <v>1</v>
      </c>
      <c r="Z121" s="236">
        <f>IFERROR(__xludf.DUMMYFUNCTION("""COMPUTED_VALUE"""),1063.0)</f>
        <v>1063</v>
      </c>
    </row>
    <row r="122">
      <c r="A122" s="235">
        <f>IFERROR(__xludf.DUMMYFUNCTION("""COMPUTED_VALUE"""),44066.0)</f>
        <v>44066</v>
      </c>
      <c r="B122" s="236">
        <f>IFERROR(__xludf.DUMMYFUNCTION("""COMPUTED_VALUE"""),71.0)</f>
        <v>71</v>
      </c>
      <c r="C122" s="236">
        <f>IFERROR(__xludf.DUMMYFUNCTION("""COMPUTED_VALUE"""),106.0)</f>
        <v>106</v>
      </c>
      <c r="D122" s="236">
        <f>IFERROR(__xludf.DUMMYFUNCTION("""COMPUTED_VALUE"""),30676.0)</f>
        <v>30676</v>
      </c>
      <c r="E122" s="236">
        <f>IFERROR(__xludf.DUMMYFUNCTION("""COMPUTED_VALUE"""),4375.0)</f>
        <v>4375</v>
      </c>
      <c r="F122" s="172">
        <f>IFERROR(__xludf.DUMMYFUNCTION("""COMPUTED_VALUE"""),453843.0)</f>
        <v>453843</v>
      </c>
      <c r="G122" s="172">
        <f>IFERROR(__xludf.DUMMYFUNCTION("""COMPUTED_VALUE"""),4446.0)</f>
        <v>4446</v>
      </c>
      <c r="H122" s="172">
        <f>IFERROR(__xludf.DUMMYFUNCTION("""COMPUTED_VALUE"""),484519.0)</f>
        <v>484519</v>
      </c>
      <c r="I122" s="236">
        <f>IFERROR(__xludf.DUMMYFUNCTION("""COMPUTED_VALUE"""),56.0)</f>
        <v>56</v>
      </c>
      <c r="J122" s="236">
        <f>IFERROR(__xludf.DUMMYFUNCTION("""COMPUTED_VALUE"""),88.0)</f>
        <v>88</v>
      </c>
      <c r="K122" s="236">
        <f>IFERROR(__xludf.DUMMYFUNCTION("""COMPUTED_VALUE"""),21330.0)</f>
        <v>21330</v>
      </c>
      <c r="L122" s="236">
        <f>IFERROR(__xludf.DUMMYFUNCTION("""COMPUTED_VALUE"""),2464.0)</f>
        <v>2464</v>
      </c>
      <c r="M122" s="236">
        <f>IFERROR(__xludf.DUMMYFUNCTION("""COMPUTED_VALUE"""),236306.0)</f>
        <v>236306</v>
      </c>
      <c r="N122" s="236">
        <f>IFERROR(__xludf.DUMMYFUNCTION("""COMPUTED_VALUE"""),257636.0)</f>
        <v>257636</v>
      </c>
      <c r="O122" s="236">
        <f>IFERROR(__xludf.DUMMYFUNCTION("""COMPUTED_VALUE"""),11.0)</f>
        <v>11</v>
      </c>
      <c r="P122" s="236">
        <f>IFERROR(__xludf.DUMMYFUNCTION("""COMPUTED_VALUE"""),2477.0)</f>
        <v>2477</v>
      </c>
      <c r="Q122" s="236">
        <f>IFERROR(__xludf.DUMMYFUNCTION("""COMPUTED_VALUE"""),6.0)</f>
        <v>6</v>
      </c>
      <c r="R122" s="236">
        <f>IFERROR(__xludf.DUMMYFUNCTION("""COMPUTED_VALUE"""),2068.0)</f>
        <v>2068</v>
      </c>
      <c r="S122" s="236">
        <f>IFERROR(__xludf.DUMMYFUNCTION("""COMPUTED_VALUE"""),0.0)</f>
        <v>0</v>
      </c>
      <c r="T122" s="236">
        <f>IFERROR(__xludf.DUMMYFUNCTION("""COMPUTED_VALUE"""),333.0)</f>
        <v>333</v>
      </c>
      <c r="U122" s="236">
        <f>IFERROR(__xludf.DUMMYFUNCTION("""COMPUTED_VALUE"""),76.0)</f>
        <v>76</v>
      </c>
      <c r="V122" s="236">
        <f>IFERROR(__xludf.DUMMYFUNCTION("""COMPUTED_VALUE"""),73.0)</f>
        <v>73</v>
      </c>
      <c r="W122" s="236">
        <f>IFERROR(__xludf.DUMMYFUNCTION("""COMPUTED_VALUE"""),12.0)</f>
        <v>12</v>
      </c>
      <c r="X122" s="236">
        <f>IFERROR(__xludf.DUMMYFUNCTION("""COMPUTED_VALUE"""),2.0)</f>
        <v>2</v>
      </c>
      <c r="Y122" s="236">
        <f>IFERROR(__xludf.DUMMYFUNCTION("""COMPUTED_VALUE"""),1.0)</f>
        <v>1</v>
      </c>
      <c r="Z122" s="236">
        <f>IFERROR(__xludf.DUMMYFUNCTION("""COMPUTED_VALUE"""),1064.0)</f>
        <v>1064</v>
      </c>
    </row>
    <row r="123">
      <c r="A123" s="235">
        <f>IFERROR(__xludf.DUMMYFUNCTION("""COMPUTED_VALUE"""),44067.0)</f>
        <v>44067</v>
      </c>
      <c r="B123" s="236">
        <f>IFERROR(__xludf.DUMMYFUNCTION("""COMPUTED_VALUE"""),105.0)</f>
        <v>105</v>
      </c>
      <c r="C123" s="236">
        <f>IFERROR(__xludf.DUMMYFUNCTION("""COMPUTED_VALUE"""),91.0)</f>
        <v>91</v>
      </c>
      <c r="D123" s="236">
        <f>IFERROR(__xludf.DUMMYFUNCTION("""COMPUTED_VALUE"""),30781.0)</f>
        <v>30781</v>
      </c>
      <c r="E123" s="236">
        <f>IFERROR(__xludf.DUMMYFUNCTION("""COMPUTED_VALUE"""),5784.0)</f>
        <v>5784</v>
      </c>
      <c r="F123" s="172">
        <f>IFERROR(__xludf.DUMMYFUNCTION("""COMPUTED_VALUE"""),459627.0)</f>
        <v>459627</v>
      </c>
      <c r="G123" s="172">
        <f>IFERROR(__xludf.DUMMYFUNCTION("""COMPUTED_VALUE"""),5889.0)</f>
        <v>5889</v>
      </c>
      <c r="H123" s="172">
        <f>IFERROR(__xludf.DUMMYFUNCTION("""COMPUTED_VALUE"""),490408.0)</f>
        <v>490408</v>
      </c>
      <c r="I123" s="236">
        <f>IFERROR(__xludf.DUMMYFUNCTION("""COMPUTED_VALUE"""),77.0)</f>
        <v>77</v>
      </c>
      <c r="J123" s="236">
        <f>IFERROR(__xludf.DUMMYFUNCTION("""COMPUTED_VALUE"""),72.0)</f>
        <v>72</v>
      </c>
      <c r="K123" s="236">
        <f>IFERROR(__xludf.DUMMYFUNCTION("""COMPUTED_VALUE"""),21407.0)</f>
        <v>21407</v>
      </c>
      <c r="L123" s="236">
        <f>IFERROR(__xludf.DUMMYFUNCTION("""COMPUTED_VALUE"""),3137.0)</f>
        <v>3137</v>
      </c>
      <c r="M123" s="236">
        <f>IFERROR(__xludf.DUMMYFUNCTION("""COMPUTED_VALUE"""),239443.0)</f>
        <v>239443</v>
      </c>
      <c r="N123" s="236">
        <f>IFERROR(__xludf.DUMMYFUNCTION("""COMPUTED_VALUE"""),260850.0)</f>
        <v>260850</v>
      </c>
      <c r="O123" s="236">
        <f>IFERROR(__xludf.DUMMYFUNCTION("""COMPUTED_VALUE"""),7.0)</f>
        <v>7</v>
      </c>
      <c r="P123" s="236">
        <f>IFERROR(__xludf.DUMMYFUNCTION("""COMPUTED_VALUE"""),2484.0)</f>
        <v>2484</v>
      </c>
      <c r="Q123" s="236">
        <f>IFERROR(__xludf.DUMMYFUNCTION("""COMPUTED_VALUE"""),10.0)</f>
        <v>10</v>
      </c>
      <c r="R123" s="236">
        <f>IFERROR(__xludf.DUMMYFUNCTION("""COMPUTED_VALUE"""),2078.0)</f>
        <v>2078</v>
      </c>
      <c r="S123" s="236">
        <f>IFERROR(__xludf.DUMMYFUNCTION("""COMPUTED_VALUE"""),1.0)</f>
        <v>1</v>
      </c>
      <c r="T123" s="236">
        <f>IFERROR(__xludf.DUMMYFUNCTION("""COMPUTED_VALUE"""),334.0)</f>
        <v>334</v>
      </c>
      <c r="U123" s="236">
        <f>IFERROR(__xludf.DUMMYFUNCTION("""COMPUTED_VALUE"""),72.0)</f>
        <v>72</v>
      </c>
      <c r="V123" s="236">
        <f>IFERROR(__xludf.DUMMYFUNCTION("""COMPUTED_VALUE"""),73.0)</f>
        <v>73</v>
      </c>
      <c r="W123" s="236">
        <f>IFERROR(__xludf.DUMMYFUNCTION("""COMPUTED_VALUE"""),14.0)</f>
        <v>14</v>
      </c>
      <c r="X123" s="236">
        <f>IFERROR(__xludf.DUMMYFUNCTION("""COMPUTED_VALUE"""),4.0)</f>
        <v>4</v>
      </c>
      <c r="Y123" s="236">
        <f>IFERROR(__xludf.DUMMYFUNCTION("""COMPUTED_VALUE"""),1.0)</f>
        <v>1</v>
      </c>
      <c r="Z123" s="236">
        <f>IFERROR(__xludf.DUMMYFUNCTION("""COMPUTED_VALUE"""),1065.0)</f>
        <v>1065</v>
      </c>
    </row>
    <row r="124">
      <c r="A124" s="235">
        <f>IFERROR(__xludf.DUMMYFUNCTION("""COMPUTED_VALUE"""),44068.0)</f>
        <v>44068</v>
      </c>
      <c r="B124" s="236">
        <f>IFERROR(__xludf.DUMMYFUNCTION("""COMPUTED_VALUE"""),108.0)</f>
        <v>108</v>
      </c>
      <c r="C124" s="236">
        <f>IFERROR(__xludf.DUMMYFUNCTION("""COMPUTED_VALUE"""),95.0)</f>
        <v>95</v>
      </c>
      <c r="D124" s="236">
        <f>IFERROR(__xludf.DUMMYFUNCTION("""COMPUTED_VALUE"""),30889.0)</f>
        <v>30889</v>
      </c>
      <c r="E124" s="236">
        <f>IFERROR(__xludf.DUMMYFUNCTION("""COMPUTED_VALUE"""),4764.0)</f>
        <v>4764</v>
      </c>
      <c r="F124" s="172">
        <f>IFERROR(__xludf.DUMMYFUNCTION("""COMPUTED_VALUE"""),464391.0)</f>
        <v>464391</v>
      </c>
      <c r="G124" s="172">
        <f>IFERROR(__xludf.DUMMYFUNCTION("""COMPUTED_VALUE"""),4872.0)</f>
        <v>4872</v>
      </c>
      <c r="H124" s="172">
        <f>IFERROR(__xludf.DUMMYFUNCTION("""COMPUTED_VALUE"""),495280.0)</f>
        <v>495280</v>
      </c>
      <c r="I124" s="236">
        <f>IFERROR(__xludf.DUMMYFUNCTION("""COMPUTED_VALUE"""),92.0)</f>
        <v>92</v>
      </c>
      <c r="J124" s="236">
        <f>IFERROR(__xludf.DUMMYFUNCTION("""COMPUTED_VALUE"""),75.0)</f>
        <v>75</v>
      </c>
      <c r="K124" s="236">
        <f>IFERROR(__xludf.DUMMYFUNCTION("""COMPUTED_VALUE"""),21499.0)</f>
        <v>21499</v>
      </c>
      <c r="L124" s="236">
        <f>IFERROR(__xludf.DUMMYFUNCTION("""COMPUTED_VALUE"""),2274.0)</f>
        <v>2274</v>
      </c>
      <c r="M124" s="236">
        <f>IFERROR(__xludf.DUMMYFUNCTION("""COMPUTED_VALUE"""),241717.0)</f>
        <v>241717</v>
      </c>
      <c r="N124" s="236">
        <f>IFERROR(__xludf.DUMMYFUNCTION("""COMPUTED_VALUE"""),263216.0)</f>
        <v>263216</v>
      </c>
      <c r="O124" s="236">
        <f>IFERROR(__xludf.DUMMYFUNCTION("""COMPUTED_VALUE"""),10.0)</f>
        <v>10</v>
      </c>
      <c r="P124" s="236">
        <f>IFERROR(__xludf.DUMMYFUNCTION("""COMPUTED_VALUE"""),2494.0)</f>
        <v>2494</v>
      </c>
      <c r="Q124" s="236">
        <f>IFERROR(__xludf.DUMMYFUNCTION("""COMPUTED_VALUE"""),4.0)</f>
        <v>4</v>
      </c>
      <c r="R124" s="236">
        <f>IFERROR(__xludf.DUMMYFUNCTION("""COMPUTED_VALUE"""),2082.0)</f>
        <v>2082</v>
      </c>
      <c r="S124" s="236">
        <f>IFERROR(__xludf.DUMMYFUNCTION("""COMPUTED_VALUE"""),1.0)</f>
        <v>1</v>
      </c>
      <c r="T124" s="236">
        <f>IFERROR(__xludf.DUMMYFUNCTION("""COMPUTED_VALUE"""),335.0)</f>
        <v>335</v>
      </c>
      <c r="U124" s="236">
        <f>IFERROR(__xludf.DUMMYFUNCTION("""COMPUTED_VALUE"""),77.0)</f>
        <v>77</v>
      </c>
      <c r="V124" s="236">
        <f>IFERROR(__xludf.DUMMYFUNCTION("""COMPUTED_VALUE"""),75.0)</f>
        <v>75</v>
      </c>
      <c r="W124" s="236">
        <f>IFERROR(__xludf.DUMMYFUNCTION("""COMPUTED_VALUE"""),12.0)</f>
        <v>12</v>
      </c>
      <c r="X124" s="236">
        <f>IFERROR(__xludf.DUMMYFUNCTION("""COMPUTED_VALUE"""),4.0)</f>
        <v>4</v>
      </c>
      <c r="Y124" s="236">
        <f>IFERROR(__xludf.DUMMYFUNCTION("""COMPUTED_VALUE"""),1.0)</f>
        <v>1</v>
      </c>
      <c r="Z124" s="236">
        <f>IFERROR(__xludf.DUMMYFUNCTION("""COMPUTED_VALUE"""),1066.0)</f>
        <v>1066</v>
      </c>
    </row>
    <row r="125">
      <c r="A125" s="235">
        <f>IFERROR(__xludf.DUMMYFUNCTION("""COMPUTED_VALUE"""),44069.0)</f>
        <v>44069</v>
      </c>
      <c r="B125" s="236">
        <f>IFERROR(__xludf.DUMMYFUNCTION("""COMPUTED_VALUE"""),170.0)</f>
        <v>170</v>
      </c>
      <c r="C125" s="236">
        <f>IFERROR(__xludf.DUMMYFUNCTION("""COMPUTED_VALUE"""),128.0)</f>
        <v>128</v>
      </c>
      <c r="D125" s="236">
        <f>IFERROR(__xludf.DUMMYFUNCTION("""COMPUTED_VALUE"""),31059.0)</f>
        <v>31059</v>
      </c>
      <c r="E125" s="236">
        <f>IFERROR(__xludf.DUMMYFUNCTION("""COMPUTED_VALUE"""),9482.0)</f>
        <v>9482</v>
      </c>
      <c r="F125" s="172">
        <f>IFERROR(__xludf.DUMMYFUNCTION("""COMPUTED_VALUE"""),473873.0)</f>
        <v>473873</v>
      </c>
      <c r="G125" s="172">
        <f>IFERROR(__xludf.DUMMYFUNCTION("""COMPUTED_VALUE"""),9652.0)</f>
        <v>9652</v>
      </c>
      <c r="H125" s="172">
        <f>IFERROR(__xludf.DUMMYFUNCTION("""COMPUTED_VALUE"""),504932.0)</f>
        <v>504932</v>
      </c>
      <c r="I125" s="236">
        <f>IFERROR(__xludf.DUMMYFUNCTION("""COMPUTED_VALUE"""),127.0)</f>
        <v>127</v>
      </c>
      <c r="J125" s="236">
        <f>IFERROR(__xludf.DUMMYFUNCTION("""COMPUTED_VALUE"""),99.0)</f>
        <v>99</v>
      </c>
      <c r="K125" s="236">
        <f>IFERROR(__xludf.DUMMYFUNCTION("""COMPUTED_VALUE"""),21626.0)</f>
        <v>21626</v>
      </c>
      <c r="L125" s="236">
        <f>IFERROR(__xludf.DUMMYFUNCTION("""COMPUTED_VALUE"""),3070.0)</f>
        <v>3070</v>
      </c>
      <c r="M125" s="236">
        <f>IFERROR(__xludf.DUMMYFUNCTION("""COMPUTED_VALUE"""),244787.0)</f>
        <v>244787</v>
      </c>
      <c r="N125" s="236">
        <f>IFERROR(__xludf.DUMMYFUNCTION("""COMPUTED_VALUE"""),266413.0)</f>
        <v>266413</v>
      </c>
      <c r="O125" s="236">
        <f>IFERROR(__xludf.DUMMYFUNCTION("""COMPUTED_VALUE"""),4.0)</f>
        <v>4</v>
      </c>
      <c r="P125" s="236">
        <f>IFERROR(__xludf.DUMMYFUNCTION("""COMPUTED_VALUE"""),2498.0)</f>
        <v>2498</v>
      </c>
      <c r="Q125" s="236">
        <f>IFERROR(__xludf.DUMMYFUNCTION("""COMPUTED_VALUE"""),8.0)</f>
        <v>8</v>
      </c>
      <c r="R125" s="236">
        <f>IFERROR(__xludf.DUMMYFUNCTION("""COMPUTED_VALUE"""),2090.0)</f>
        <v>2090</v>
      </c>
      <c r="S125" s="236">
        <f>IFERROR(__xludf.DUMMYFUNCTION("""COMPUTED_VALUE"""),0.0)</f>
        <v>0</v>
      </c>
      <c r="T125" s="236">
        <f>IFERROR(__xludf.DUMMYFUNCTION("""COMPUTED_VALUE"""),335.0)</f>
        <v>335</v>
      </c>
      <c r="U125" s="236">
        <f>IFERROR(__xludf.DUMMYFUNCTION("""COMPUTED_VALUE"""),73.0)</f>
        <v>73</v>
      </c>
      <c r="V125" s="236">
        <f>IFERROR(__xludf.DUMMYFUNCTION("""COMPUTED_VALUE"""),74.0)</f>
        <v>74</v>
      </c>
      <c r="W125" s="236">
        <f>IFERROR(__xludf.DUMMYFUNCTION("""COMPUTED_VALUE"""),10.0)</f>
        <v>10</v>
      </c>
      <c r="X125" s="236">
        <f>IFERROR(__xludf.DUMMYFUNCTION("""COMPUTED_VALUE"""),5.0)</f>
        <v>5</v>
      </c>
      <c r="Y125" s="236">
        <f>IFERROR(__xludf.DUMMYFUNCTION("""COMPUTED_VALUE"""),1.0)</f>
        <v>1</v>
      </c>
      <c r="Z125" s="236">
        <f>IFERROR(__xludf.DUMMYFUNCTION("""COMPUTED_VALUE"""),1067.0)</f>
        <v>1067</v>
      </c>
    </row>
    <row r="126">
      <c r="A126" s="235">
        <f>IFERROR(__xludf.DUMMYFUNCTION("""COMPUTED_VALUE"""),44070.0)</f>
        <v>44070</v>
      </c>
      <c r="B126" s="236">
        <f>IFERROR(__xludf.DUMMYFUNCTION("""COMPUTED_VALUE"""),92.0)</f>
        <v>92</v>
      </c>
      <c r="C126" s="236">
        <f>IFERROR(__xludf.DUMMYFUNCTION("""COMPUTED_VALUE"""),123.0)</f>
        <v>123</v>
      </c>
      <c r="D126" s="236">
        <f>IFERROR(__xludf.DUMMYFUNCTION("""COMPUTED_VALUE"""),31151.0)</f>
        <v>31151</v>
      </c>
      <c r="E126" s="236">
        <f>IFERROR(__xludf.DUMMYFUNCTION("""COMPUTED_VALUE"""),8565.0)</f>
        <v>8565</v>
      </c>
      <c r="F126" s="172">
        <f>IFERROR(__xludf.DUMMYFUNCTION("""COMPUTED_VALUE"""),482438.0)</f>
        <v>482438</v>
      </c>
      <c r="G126" s="172">
        <f>IFERROR(__xludf.DUMMYFUNCTION("""COMPUTED_VALUE"""),8657.0)</f>
        <v>8657</v>
      </c>
      <c r="H126" s="172">
        <f>IFERROR(__xludf.DUMMYFUNCTION("""COMPUTED_VALUE"""),513589.0)</f>
        <v>513589</v>
      </c>
      <c r="I126" s="236">
        <f>IFERROR(__xludf.DUMMYFUNCTION("""COMPUTED_VALUE"""),70.0)</f>
        <v>70</v>
      </c>
      <c r="J126" s="236">
        <f>IFERROR(__xludf.DUMMYFUNCTION("""COMPUTED_VALUE"""),96.0)</f>
        <v>96</v>
      </c>
      <c r="K126" s="236">
        <f>IFERROR(__xludf.DUMMYFUNCTION("""COMPUTED_VALUE"""),21696.0)</f>
        <v>21696</v>
      </c>
      <c r="L126" s="236">
        <f>IFERROR(__xludf.DUMMYFUNCTION("""COMPUTED_VALUE"""),3136.0)</f>
        <v>3136</v>
      </c>
      <c r="M126" s="236">
        <f>IFERROR(__xludf.DUMMYFUNCTION("""COMPUTED_VALUE"""),247923.0)</f>
        <v>247923</v>
      </c>
      <c r="N126" s="236">
        <f>IFERROR(__xludf.DUMMYFUNCTION("""COMPUTED_VALUE"""),269619.0)</f>
        <v>269619</v>
      </c>
      <c r="O126" s="236">
        <f>IFERROR(__xludf.DUMMYFUNCTION("""COMPUTED_VALUE"""),6.0)</f>
        <v>6</v>
      </c>
      <c r="P126" s="236">
        <f>IFERROR(__xludf.DUMMYFUNCTION("""COMPUTED_VALUE"""),2504.0)</f>
        <v>2504</v>
      </c>
      <c r="Q126" s="236">
        <f>IFERROR(__xludf.DUMMYFUNCTION("""COMPUTED_VALUE"""),13.0)</f>
        <v>13</v>
      </c>
      <c r="R126" s="236">
        <f>IFERROR(__xludf.DUMMYFUNCTION("""COMPUTED_VALUE"""),2103.0)</f>
        <v>2103</v>
      </c>
      <c r="S126" s="236">
        <f>IFERROR(__xludf.DUMMYFUNCTION("""COMPUTED_VALUE"""),1.0)</f>
        <v>1</v>
      </c>
      <c r="T126" s="236">
        <f>IFERROR(__xludf.DUMMYFUNCTION("""COMPUTED_VALUE"""),336.0)</f>
        <v>336</v>
      </c>
      <c r="U126" s="236">
        <f>IFERROR(__xludf.DUMMYFUNCTION("""COMPUTED_VALUE"""),65.0)</f>
        <v>65</v>
      </c>
      <c r="V126" s="236">
        <f>IFERROR(__xludf.DUMMYFUNCTION("""COMPUTED_VALUE"""),72.0)</f>
        <v>72</v>
      </c>
      <c r="W126" s="236">
        <f>IFERROR(__xludf.DUMMYFUNCTION("""COMPUTED_VALUE"""),7.0)</f>
        <v>7</v>
      </c>
      <c r="X126" s="236">
        <f>IFERROR(__xludf.DUMMYFUNCTION("""COMPUTED_VALUE"""),5.0)</f>
        <v>5</v>
      </c>
      <c r="Y126" s="236">
        <f>IFERROR(__xludf.DUMMYFUNCTION("""COMPUTED_VALUE"""),2.0)</f>
        <v>2</v>
      </c>
      <c r="Z126" s="236">
        <f>IFERROR(__xludf.DUMMYFUNCTION("""COMPUTED_VALUE"""),1069.0)</f>
        <v>1069</v>
      </c>
    </row>
    <row r="127">
      <c r="A127" s="235">
        <f>IFERROR(__xludf.DUMMYFUNCTION("""COMPUTED_VALUE"""),44071.0)</f>
        <v>44071</v>
      </c>
      <c r="B127" s="236">
        <f>IFERROR(__xludf.DUMMYFUNCTION("""COMPUTED_VALUE"""),113.0)</f>
        <v>113</v>
      </c>
      <c r="C127" s="236">
        <f>IFERROR(__xludf.DUMMYFUNCTION("""COMPUTED_VALUE"""),125.0)</f>
        <v>125</v>
      </c>
      <c r="D127" s="236">
        <f>IFERROR(__xludf.DUMMYFUNCTION("""COMPUTED_VALUE"""),31264.0)</f>
        <v>31264</v>
      </c>
      <c r="E127" s="236">
        <f>IFERROR(__xludf.DUMMYFUNCTION("""COMPUTED_VALUE"""),7994.0)</f>
        <v>7994</v>
      </c>
      <c r="F127" s="172">
        <f>IFERROR(__xludf.DUMMYFUNCTION("""COMPUTED_VALUE"""),490432.0)</f>
        <v>490432</v>
      </c>
      <c r="G127" s="172">
        <f>IFERROR(__xludf.DUMMYFUNCTION("""COMPUTED_VALUE"""),8107.0)</f>
        <v>8107</v>
      </c>
      <c r="H127" s="172">
        <f>IFERROR(__xludf.DUMMYFUNCTION("""COMPUTED_VALUE"""),521696.0)</f>
        <v>521696</v>
      </c>
      <c r="I127" s="236">
        <f>IFERROR(__xludf.DUMMYFUNCTION("""COMPUTED_VALUE"""),87.0)</f>
        <v>87</v>
      </c>
      <c r="J127" s="236">
        <f>IFERROR(__xludf.DUMMYFUNCTION("""COMPUTED_VALUE"""),95.0)</f>
        <v>95</v>
      </c>
      <c r="K127" s="236">
        <f>IFERROR(__xludf.DUMMYFUNCTION("""COMPUTED_VALUE"""),21783.0)</f>
        <v>21783</v>
      </c>
      <c r="L127" s="236">
        <f>IFERROR(__xludf.DUMMYFUNCTION("""COMPUTED_VALUE"""),2421.0)</f>
        <v>2421</v>
      </c>
      <c r="M127" s="236">
        <f>IFERROR(__xludf.DUMMYFUNCTION("""COMPUTED_VALUE"""),250344.0)</f>
        <v>250344</v>
      </c>
      <c r="N127" s="236">
        <f>IFERROR(__xludf.DUMMYFUNCTION("""COMPUTED_VALUE"""),272127.0)</f>
        <v>272127</v>
      </c>
      <c r="O127" s="236">
        <f>IFERROR(__xludf.DUMMYFUNCTION("""COMPUTED_VALUE"""),14.0)</f>
        <v>14</v>
      </c>
      <c r="P127" s="236">
        <f>IFERROR(__xludf.DUMMYFUNCTION("""COMPUTED_VALUE"""),2518.0)</f>
        <v>2518</v>
      </c>
      <c r="Q127" s="236">
        <f>IFERROR(__xludf.DUMMYFUNCTION("""COMPUTED_VALUE"""),4.0)</f>
        <v>4</v>
      </c>
      <c r="R127" s="236">
        <f>IFERROR(__xludf.DUMMYFUNCTION("""COMPUTED_VALUE"""),2107.0)</f>
        <v>2107</v>
      </c>
      <c r="S127" s="236">
        <f>IFERROR(__xludf.DUMMYFUNCTION("""COMPUTED_VALUE"""),0.0)</f>
        <v>0</v>
      </c>
      <c r="T127" s="236">
        <f>IFERROR(__xludf.DUMMYFUNCTION("""COMPUTED_VALUE"""),336.0)</f>
        <v>336</v>
      </c>
      <c r="U127" s="236">
        <f>IFERROR(__xludf.DUMMYFUNCTION("""COMPUTED_VALUE"""),75.0)</f>
        <v>75</v>
      </c>
      <c r="V127" s="236">
        <f>IFERROR(__xludf.DUMMYFUNCTION("""COMPUTED_VALUE"""),71.0)</f>
        <v>71</v>
      </c>
      <c r="W127" s="236">
        <f>IFERROR(__xludf.DUMMYFUNCTION("""COMPUTED_VALUE"""),10.0)</f>
        <v>10</v>
      </c>
      <c r="X127" s="236">
        <f>IFERROR(__xludf.DUMMYFUNCTION("""COMPUTED_VALUE"""),7.0)</f>
        <v>7</v>
      </c>
      <c r="Y127" s="236">
        <f>IFERROR(__xludf.DUMMYFUNCTION("""COMPUTED_VALUE"""),2.0)</f>
        <v>2</v>
      </c>
      <c r="Z127" s="236">
        <f>IFERROR(__xludf.DUMMYFUNCTION("""COMPUTED_VALUE"""),1071.0)</f>
        <v>1071</v>
      </c>
    </row>
    <row r="128">
      <c r="A128" s="235">
        <f>IFERROR(__xludf.DUMMYFUNCTION("""COMPUTED_VALUE"""),44072.0)</f>
        <v>44072</v>
      </c>
      <c r="B128" s="236">
        <f>IFERROR(__xludf.DUMMYFUNCTION("""COMPUTED_VALUE"""),65.0)</f>
        <v>65</v>
      </c>
      <c r="C128" s="236">
        <f>IFERROR(__xludf.DUMMYFUNCTION("""COMPUTED_VALUE"""),90.0)</f>
        <v>90</v>
      </c>
      <c r="D128" s="236">
        <f>IFERROR(__xludf.DUMMYFUNCTION("""COMPUTED_VALUE"""),31329.0)</f>
        <v>31329</v>
      </c>
      <c r="E128" s="236">
        <f>IFERROR(__xludf.DUMMYFUNCTION("""COMPUTED_VALUE"""),5374.0)</f>
        <v>5374</v>
      </c>
      <c r="F128" s="172">
        <f>IFERROR(__xludf.DUMMYFUNCTION("""COMPUTED_VALUE"""),495806.0)</f>
        <v>495806</v>
      </c>
      <c r="G128" s="172">
        <f>IFERROR(__xludf.DUMMYFUNCTION("""COMPUTED_VALUE"""),5439.0)</f>
        <v>5439</v>
      </c>
      <c r="H128" s="172">
        <f>IFERROR(__xludf.DUMMYFUNCTION("""COMPUTED_VALUE"""),527135.0)</f>
        <v>527135</v>
      </c>
      <c r="I128" s="236">
        <f>IFERROR(__xludf.DUMMYFUNCTION("""COMPUTED_VALUE"""),51.0)</f>
        <v>51</v>
      </c>
      <c r="J128" s="236">
        <f>IFERROR(__xludf.DUMMYFUNCTION("""COMPUTED_VALUE"""),69.0)</f>
        <v>69</v>
      </c>
      <c r="K128" s="236">
        <f>IFERROR(__xludf.DUMMYFUNCTION("""COMPUTED_VALUE"""),21834.0)</f>
        <v>21834</v>
      </c>
      <c r="L128" s="236">
        <f>IFERROR(__xludf.DUMMYFUNCTION("""COMPUTED_VALUE"""),1904.0)</f>
        <v>1904</v>
      </c>
      <c r="M128" s="236">
        <f>IFERROR(__xludf.DUMMYFUNCTION("""COMPUTED_VALUE"""),252248.0)</f>
        <v>252248</v>
      </c>
      <c r="N128" s="236">
        <f>IFERROR(__xludf.DUMMYFUNCTION("""COMPUTED_VALUE"""),274082.0)</f>
        <v>274082</v>
      </c>
      <c r="O128" s="236">
        <f>IFERROR(__xludf.DUMMYFUNCTION("""COMPUTED_VALUE"""),6.0)</f>
        <v>6</v>
      </c>
      <c r="P128" s="236">
        <f>IFERROR(__xludf.DUMMYFUNCTION("""COMPUTED_VALUE"""),2524.0)</f>
        <v>2524</v>
      </c>
      <c r="Q128" s="236">
        <f>IFERROR(__xludf.DUMMYFUNCTION("""COMPUTED_VALUE"""),8.0)</f>
        <v>8</v>
      </c>
      <c r="R128" s="236">
        <f>IFERROR(__xludf.DUMMYFUNCTION("""COMPUTED_VALUE"""),2115.0)</f>
        <v>2115</v>
      </c>
      <c r="S128" s="236">
        <f>IFERROR(__xludf.DUMMYFUNCTION("""COMPUTED_VALUE"""),1.0)</f>
        <v>1</v>
      </c>
      <c r="T128" s="236">
        <f>IFERROR(__xludf.DUMMYFUNCTION("""COMPUTED_VALUE"""),337.0)</f>
        <v>337</v>
      </c>
      <c r="U128" s="236">
        <f>IFERROR(__xludf.DUMMYFUNCTION("""COMPUTED_VALUE"""),72.0)</f>
        <v>72</v>
      </c>
      <c r="V128" s="236">
        <f>IFERROR(__xludf.DUMMYFUNCTION("""COMPUTED_VALUE"""),71.0)</f>
        <v>71</v>
      </c>
      <c r="W128" s="236">
        <f>IFERROR(__xludf.DUMMYFUNCTION("""COMPUTED_VALUE"""),11.0)</f>
        <v>11</v>
      </c>
      <c r="X128" s="236">
        <f>IFERROR(__xludf.DUMMYFUNCTION("""COMPUTED_VALUE"""),6.0)</f>
        <v>6</v>
      </c>
      <c r="Y128" s="236">
        <f>IFERROR(__xludf.DUMMYFUNCTION("""COMPUTED_VALUE"""),2.0)</f>
        <v>2</v>
      </c>
      <c r="Z128" s="236">
        <f>IFERROR(__xludf.DUMMYFUNCTION("""COMPUTED_VALUE"""),1073.0)</f>
        <v>1073</v>
      </c>
    </row>
    <row r="129">
      <c r="A129" s="235">
        <f>IFERROR(__xludf.DUMMYFUNCTION("""COMPUTED_VALUE"""),44073.0)</f>
        <v>44073</v>
      </c>
      <c r="B129" s="236">
        <f>IFERROR(__xludf.DUMMYFUNCTION("""COMPUTED_VALUE"""),66.0)</f>
        <v>66</v>
      </c>
      <c r="C129" s="236">
        <f>IFERROR(__xludf.DUMMYFUNCTION("""COMPUTED_VALUE"""),81.0)</f>
        <v>81</v>
      </c>
      <c r="D129" s="236">
        <f>IFERROR(__xludf.DUMMYFUNCTION("""COMPUTED_VALUE"""),31395.0)</f>
        <v>31395</v>
      </c>
      <c r="E129" s="236">
        <f>IFERROR(__xludf.DUMMYFUNCTION("""COMPUTED_VALUE"""),4323.0)</f>
        <v>4323</v>
      </c>
      <c r="F129" s="172">
        <f>IFERROR(__xludf.DUMMYFUNCTION("""COMPUTED_VALUE"""),500129.0)</f>
        <v>500129</v>
      </c>
      <c r="G129" s="172">
        <f>IFERROR(__xludf.DUMMYFUNCTION("""COMPUTED_VALUE"""),4389.0)</f>
        <v>4389</v>
      </c>
      <c r="H129" s="172">
        <f>IFERROR(__xludf.DUMMYFUNCTION("""COMPUTED_VALUE"""),531524.0)</f>
        <v>531524</v>
      </c>
      <c r="I129" s="236">
        <f>IFERROR(__xludf.DUMMYFUNCTION("""COMPUTED_VALUE"""),48.0)</f>
        <v>48</v>
      </c>
      <c r="J129" s="236">
        <f>IFERROR(__xludf.DUMMYFUNCTION("""COMPUTED_VALUE"""),62.0)</f>
        <v>62</v>
      </c>
      <c r="K129" s="236">
        <f>IFERROR(__xludf.DUMMYFUNCTION("""COMPUTED_VALUE"""),21882.0)</f>
        <v>21882</v>
      </c>
      <c r="L129" s="236">
        <f>IFERROR(__xludf.DUMMYFUNCTION("""COMPUTED_VALUE"""),1986.0)</f>
        <v>1986</v>
      </c>
      <c r="M129" s="236">
        <f>IFERROR(__xludf.DUMMYFUNCTION("""COMPUTED_VALUE"""),254234.0)</f>
        <v>254234</v>
      </c>
      <c r="N129" s="236">
        <f>IFERROR(__xludf.DUMMYFUNCTION("""COMPUTED_VALUE"""),276116.0)</f>
        <v>276116</v>
      </c>
      <c r="O129" s="236">
        <f>IFERROR(__xludf.DUMMYFUNCTION("""COMPUTED_VALUE"""),7.0)</f>
        <v>7</v>
      </c>
      <c r="P129" s="236">
        <f>IFERROR(__xludf.DUMMYFUNCTION("""COMPUTED_VALUE"""),2531.0)</f>
        <v>2531</v>
      </c>
      <c r="Q129" s="236">
        <f>IFERROR(__xludf.DUMMYFUNCTION("""COMPUTED_VALUE"""),4.0)</f>
        <v>4</v>
      </c>
      <c r="R129" s="236">
        <f>IFERROR(__xludf.DUMMYFUNCTION("""COMPUTED_VALUE"""),2119.0)</f>
        <v>2119</v>
      </c>
      <c r="S129" s="236">
        <f>IFERROR(__xludf.DUMMYFUNCTION("""COMPUTED_VALUE"""),0.0)</f>
        <v>0</v>
      </c>
      <c r="T129" s="236">
        <f>IFERROR(__xludf.DUMMYFUNCTION("""COMPUTED_VALUE"""),337.0)</f>
        <v>337</v>
      </c>
      <c r="U129" s="236">
        <f>IFERROR(__xludf.DUMMYFUNCTION("""COMPUTED_VALUE"""),75.0)</f>
        <v>75</v>
      </c>
      <c r="V129" s="236">
        <f>IFERROR(__xludf.DUMMYFUNCTION("""COMPUTED_VALUE"""),74.0)</f>
        <v>74</v>
      </c>
      <c r="W129" s="236">
        <f>IFERROR(__xludf.DUMMYFUNCTION("""COMPUTED_VALUE"""),9.0)</f>
        <v>9</v>
      </c>
      <c r="X129" s="236">
        <f>IFERROR(__xludf.DUMMYFUNCTION("""COMPUTED_VALUE"""),5.0)</f>
        <v>5</v>
      </c>
      <c r="Y129" s="236">
        <f>IFERROR(__xludf.DUMMYFUNCTION("""COMPUTED_VALUE"""),2.0)</f>
        <v>2</v>
      </c>
      <c r="Z129" s="236">
        <f>IFERROR(__xludf.DUMMYFUNCTION("""COMPUTED_VALUE"""),1075.0)</f>
        <v>1075</v>
      </c>
    </row>
    <row r="130">
      <c r="A130" s="235">
        <f>IFERROR(__xludf.DUMMYFUNCTION("""COMPUTED_VALUE"""),44074.0)</f>
        <v>44074</v>
      </c>
      <c r="B130" s="236">
        <f>IFERROR(__xludf.DUMMYFUNCTION("""COMPUTED_VALUE"""),105.0)</f>
        <v>105</v>
      </c>
      <c r="C130" s="236">
        <f>IFERROR(__xludf.DUMMYFUNCTION("""COMPUTED_VALUE"""),79.0)</f>
        <v>79</v>
      </c>
      <c r="D130" s="236">
        <f>IFERROR(__xludf.DUMMYFUNCTION("""COMPUTED_VALUE"""),31500.0)</f>
        <v>31500</v>
      </c>
      <c r="E130" s="236">
        <f>IFERROR(__xludf.DUMMYFUNCTION("""COMPUTED_VALUE"""),4863.0)</f>
        <v>4863</v>
      </c>
      <c r="F130" s="172">
        <f>IFERROR(__xludf.DUMMYFUNCTION("""COMPUTED_VALUE"""),504992.0)</f>
        <v>504992</v>
      </c>
      <c r="G130" s="172">
        <f>IFERROR(__xludf.DUMMYFUNCTION("""COMPUTED_VALUE"""),4968.0)</f>
        <v>4968</v>
      </c>
      <c r="H130" s="172">
        <f>IFERROR(__xludf.DUMMYFUNCTION("""COMPUTED_VALUE"""),536492.0)</f>
        <v>536492</v>
      </c>
      <c r="I130" s="236">
        <f>IFERROR(__xludf.DUMMYFUNCTION("""COMPUTED_VALUE"""),81.0)</f>
        <v>81</v>
      </c>
      <c r="J130" s="236">
        <f>IFERROR(__xludf.DUMMYFUNCTION("""COMPUTED_VALUE"""),60.0)</f>
        <v>60</v>
      </c>
      <c r="K130" s="236">
        <f>IFERROR(__xludf.DUMMYFUNCTION("""COMPUTED_VALUE"""),21963.0)</f>
        <v>21963</v>
      </c>
      <c r="L130" s="236">
        <f>IFERROR(__xludf.DUMMYFUNCTION("""COMPUTED_VALUE"""),2174.0)</f>
        <v>2174</v>
      </c>
      <c r="M130" s="236">
        <f>IFERROR(__xludf.DUMMYFUNCTION("""COMPUTED_VALUE"""),256408.0)</f>
        <v>256408</v>
      </c>
      <c r="N130" s="236">
        <f>IFERROR(__xludf.DUMMYFUNCTION("""COMPUTED_VALUE"""),278371.0)</f>
        <v>278371</v>
      </c>
      <c r="O130" s="236">
        <f>IFERROR(__xludf.DUMMYFUNCTION("""COMPUTED_VALUE"""),12.0)</f>
        <v>12</v>
      </c>
      <c r="P130" s="236">
        <f>IFERROR(__xludf.DUMMYFUNCTION("""COMPUTED_VALUE"""),2543.0)</f>
        <v>2543</v>
      </c>
      <c r="Q130" s="236">
        <f>IFERROR(__xludf.DUMMYFUNCTION("""COMPUTED_VALUE"""),16.0)</f>
        <v>16</v>
      </c>
      <c r="R130" s="236">
        <f>IFERROR(__xludf.DUMMYFUNCTION("""COMPUTED_VALUE"""),2135.0)</f>
        <v>2135</v>
      </c>
      <c r="S130" s="236">
        <f>IFERROR(__xludf.DUMMYFUNCTION("""COMPUTED_VALUE"""),0.0)</f>
        <v>0</v>
      </c>
      <c r="T130" s="236">
        <f>IFERROR(__xludf.DUMMYFUNCTION("""COMPUTED_VALUE"""),337.0)</f>
        <v>337</v>
      </c>
      <c r="U130" s="236">
        <f>IFERROR(__xludf.DUMMYFUNCTION("""COMPUTED_VALUE"""),71.0)</f>
        <v>71</v>
      </c>
      <c r="V130" s="236">
        <f>IFERROR(__xludf.DUMMYFUNCTION("""COMPUTED_VALUE"""),73.0)</f>
        <v>73</v>
      </c>
      <c r="W130" s="236">
        <f>IFERROR(__xludf.DUMMYFUNCTION("""COMPUTED_VALUE"""),8.0)</f>
        <v>8</v>
      </c>
      <c r="X130" s="236">
        <f>IFERROR(__xludf.DUMMYFUNCTION("""COMPUTED_VALUE"""),4.0)</f>
        <v>4</v>
      </c>
      <c r="Y130" s="236">
        <f>IFERROR(__xludf.DUMMYFUNCTION("""COMPUTED_VALUE"""),1.0)</f>
        <v>1</v>
      </c>
      <c r="Z130" s="236">
        <f>IFERROR(__xludf.DUMMYFUNCTION("""COMPUTED_VALUE"""),1076.0)</f>
        <v>1076</v>
      </c>
    </row>
    <row r="131">
      <c r="A131" s="235">
        <f>IFERROR(__xludf.DUMMYFUNCTION("""COMPUTED_VALUE"""),44075.0)</f>
        <v>44075</v>
      </c>
      <c r="B131" s="236">
        <f>IFERROR(__xludf.DUMMYFUNCTION("""COMPUTED_VALUE"""),98.0)</f>
        <v>98</v>
      </c>
      <c r="C131" s="236">
        <f>IFERROR(__xludf.DUMMYFUNCTION("""COMPUTED_VALUE"""),90.0)</f>
        <v>90</v>
      </c>
      <c r="D131" s="236">
        <f>IFERROR(__xludf.DUMMYFUNCTION("""COMPUTED_VALUE"""),31598.0)</f>
        <v>31598</v>
      </c>
      <c r="E131" s="236">
        <f>IFERROR(__xludf.DUMMYFUNCTION("""COMPUTED_VALUE"""),7109.0)</f>
        <v>7109</v>
      </c>
      <c r="F131" s="172">
        <f>IFERROR(__xludf.DUMMYFUNCTION("""COMPUTED_VALUE"""),512101.0)</f>
        <v>512101</v>
      </c>
      <c r="G131" s="172">
        <f>IFERROR(__xludf.DUMMYFUNCTION("""COMPUTED_VALUE"""),7207.0)</f>
        <v>7207</v>
      </c>
      <c r="H131" s="172">
        <f>IFERROR(__xludf.DUMMYFUNCTION("""COMPUTED_VALUE"""),543699.0)</f>
        <v>543699</v>
      </c>
      <c r="I131" s="236">
        <f>IFERROR(__xludf.DUMMYFUNCTION("""COMPUTED_VALUE"""),66.0)</f>
        <v>66</v>
      </c>
      <c r="J131" s="236">
        <f>IFERROR(__xludf.DUMMYFUNCTION("""COMPUTED_VALUE"""),65.0)</f>
        <v>65</v>
      </c>
      <c r="K131" s="236">
        <f>IFERROR(__xludf.DUMMYFUNCTION("""COMPUTED_VALUE"""),22029.0)</f>
        <v>22029</v>
      </c>
      <c r="L131" s="236">
        <f>IFERROR(__xludf.DUMMYFUNCTION("""COMPUTED_VALUE"""),2365.0)</f>
        <v>2365</v>
      </c>
      <c r="M131" s="236">
        <f>IFERROR(__xludf.DUMMYFUNCTION("""COMPUTED_VALUE"""),258773.0)</f>
        <v>258773</v>
      </c>
      <c r="N131" s="236">
        <f>IFERROR(__xludf.DUMMYFUNCTION("""COMPUTED_VALUE"""),280802.0)</f>
        <v>280802</v>
      </c>
      <c r="O131" s="236">
        <f>IFERROR(__xludf.DUMMYFUNCTION("""COMPUTED_VALUE"""),6.0)</f>
        <v>6</v>
      </c>
      <c r="P131" s="236">
        <f>IFERROR(__xludf.DUMMYFUNCTION("""COMPUTED_VALUE"""),2549.0)</f>
        <v>2549</v>
      </c>
      <c r="Q131" s="236">
        <f>IFERROR(__xludf.DUMMYFUNCTION("""COMPUTED_VALUE"""),9.0)</f>
        <v>9</v>
      </c>
      <c r="R131" s="236">
        <f>IFERROR(__xludf.DUMMYFUNCTION("""COMPUTED_VALUE"""),2144.0)</f>
        <v>2144</v>
      </c>
      <c r="S131" s="236">
        <f>IFERROR(__xludf.DUMMYFUNCTION("""COMPUTED_VALUE"""),1.0)</f>
        <v>1</v>
      </c>
      <c r="T131" s="236">
        <f>IFERROR(__xludf.DUMMYFUNCTION("""COMPUTED_VALUE"""),338.0)</f>
        <v>338</v>
      </c>
      <c r="U131" s="236">
        <f>IFERROR(__xludf.DUMMYFUNCTION("""COMPUTED_VALUE"""),67.0)</f>
        <v>67</v>
      </c>
      <c r="V131" s="236">
        <f>IFERROR(__xludf.DUMMYFUNCTION("""COMPUTED_VALUE"""),71.0)</f>
        <v>71</v>
      </c>
      <c r="W131" s="236">
        <f>IFERROR(__xludf.DUMMYFUNCTION("""COMPUTED_VALUE"""),7.0)</f>
        <v>7</v>
      </c>
      <c r="X131" s="236">
        <f>IFERROR(__xludf.DUMMYFUNCTION("""COMPUTED_VALUE"""),4.0)</f>
        <v>4</v>
      </c>
      <c r="Y131" s="236">
        <f>IFERROR(__xludf.DUMMYFUNCTION("""COMPUTED_VALUE"""),2.0)</f>
        <v>2</v>
      </c>
      <c r="Z131" s="236">
        <f>IFERROR(__xludf.DUMMYFUNCTION("""COMPUTED_VALUE"""),1078.0)</f>
        <v>1078</v>
      </c>
    </row>
    <row r="132">
      <c r="A132" s="235">
        <f>IFERROR(__xludf.DUMMYFUNCTION("""COMPUTED_VALUE"""),44076.0)</f>
        <v>44076</v>
      </c>
      <c r="B132" s="236">
        <f>IFERROR(__xludf.DUMMYFUNCTION("""COMPUTED_VALUE"""),125.0)</f>
        <v>125</v>
      </c>
      <c r="C132" s="236">
        <f>IFERROR(__xludf.DUMMYFUNCTION("""COMPUTED_VALUE"""),109.0)</f>
        <v>109</v>
      </c>
      <c r="D132" s="236">
        <f>IFERROR(__xludf.DUMMYFUNCTION("""COMPUTED_VALUE"""),31723.0)</f>
        <v>31723</v>
      </c>
      <c r="E132" s="236">
        <f>IFERROR(__xludf.DUMMYFUNCTION("""COMPUTED_VALUE"""),10529.0)</f>
        <v>10529</v>
      </c>
      <c r="F132" s="172">
        <f>IFERROR(__xludf.DUMMYFUNCTION("""COMPUTED_VALUE"""),522630.0)</f>
        <v>522630</v>
      </c>
      <c r="G132" s="172">
        <f>IFERROR(__xludf.DUMMYFUNCTION("""COMPUTED_VALUE"""),10654.0)</f>
        <v>10654</v>
      </c>
      <c r="H132" s="172">
        <f>IFERROR(__xludf.DUMMYFUNCTION("""COMPUTED_VALUE"""),554353.0)</f>
        <v>554353</v>
      </c>
      <c r="I132" s="236">
        <f>IFERROR(__xludf.DUMMYFUNCTION("""COMPUTED_VALUE"""),104.0)</f>
        <v>104</v>
      </c>
      <c r="J132" s="236">
        <f>IFERROR(__xludf.DUMMYFUNCTION("""COMPUTED_VALUE"""),84.0)</f>
        <v>84</v>
      </c>
      <c r="K132" s="236">
        <f>IFERROR(__xludf.DUMMYFUNCTION("""COMPUTED_VALUE"""),22133.0)</f>
        <v>22133</v>
      </c>
      <c r="L132" s="236">
        <f>IFERROR(__xludf.DUMMYFUNCTION("""COMPUTED_VALUE"""),3034.0)</f>
        <v>3034</v>
      </c>
      <c r="M132" s="236">
        <f>IFERROR(__xludf.DUMMYFUNCTION("""COMPUTED_VALUE"""),261807.0)</f>
        <v>261807</v>
      </c>
      <c r="N132" s="236">
        <f>IFERROR(__xludf.DUMMYFUNCTION("""COMPUTED_VALUE"""),283940.0)</f>
        <v>283940</v>
      </c>
      <c r="O132" s="236">
        <f>IFERROR(__xludf.DUMMYFUNCTION("""COMPUTED_VALUE"""),9.0)</f>
        <v>9</v>
      </c>
      <c r="P132" s="236">
        <f>IFERROR(__xludf.DUMMYFUNCTION("""COMPUTED_VALUE"""),2558.0)</f>
        <v>2558</v>
      </c>
      <c r="Q132" s="236">
        <f>IFERROR(__xludf.DUMMYFUNCTION("""COMPUTED_VALUE"""),10.0)</f>
        <v>10</v>
      </c>
      <c r="R132" s="236">
        <f>IFERROR(__xludf.DUMMYFUNCTION("""COMPUTED_VALUE"""),2154.0)</f>
        <v>2154</v>
      </c>
      <c r="S132" s="236">
        <f>IFERROR(__xludf.DUMMYFUNCTION("""COMPUTED_VALUE"""),1.0)</f>
        <v>1</v>
      </c>
      <c r="T132" s="236">
        <f>IFERROR(__xludf.DUMMYFUNCTION("""COMPUTED_VALUE"""),339.0)</f>
        <v>339</v>
      </c>
      <c r="U132" s="236">
        <f>IFERROR(__xludf.DUMMYFUNCTION("""COMPUTED_VALUE"""),65.0)</f>
        <v>65</v>
      </c>
      <c r="V132" s="236">
        <f>IFERROR(__xludf.DUMMYFUNCTION("""COMPUTED_VALUE"""),68.0)</f>
        <v>68</v>
      </c>
      <c r="W132" s="236">
        <f>IFERROR(__xludf.DUMMYFUNCTION("""COMPUTED_VALUE"""),8.0)</f>
        <v>8</v>
      </c>
      <c r="X132" s="236">
        <f>IFERROR(__xludf.DUMMYFUNCTION("""COMPUTED_VALUE"""),4.0)</f>
        <v>4</v>
      </c>
      <c r="Y132" s="236">
        <f>IFERROR(__xludf.DUMMYFUNCTION("""COMPUTED_VALUE"""),2.0)</f>
        <v>2</v>
      </c>
      <c r="Z132" s="236">
        <f>IFERROR(__xludf.DUMMYFUNCTION("""COMPUTED_VALUE"""),1080.0)</f>
        <v>1080</v>
      </c>
    </row>
    <row r="133">
      <c r="A133" s="235">
        <f>IFERROR(__xludf.DUMMYFUNCTION("""COMPUTED_VALUE"""),44077.0)</f>
        <v>44077</v>
      </c>
      <c r="B133" s="236">
        <f>IFERROR(__xludf.DUMMYFUNCTION("""COMPUTED_VALUE"""),90.0)</f>
        <v>90</v>
      </c>
      <c r="C133" s="236">
        <f>IFERROR(__xludf.DUMMYFUNCTION("""COMPUTED_VALUE"""),104.0)</f>
        <v>104</v>
      </c>
      <c r="D133" s="236">
        <f>IFERROR(__xludf.DUMMYFUNCTION("""COMPUTED_VALUE"""),31813.0)</f>
        <v>31813</v>
      </c>
      <c r="E133" s="236">
        <f>IFERROR(__xludf.DUMMYFUNCTION("""COMPUTED_VALUE"""),11079.0)</f>
        <v>11079</v>
      </c>
      <c r="F133" s="172">
        <f>IFERROR(__xludf.DUMMYFUNCTION("""COMPUTED_VALUE"""),533709.0)</f>
        <v>533709</v>
      </c>
      <c r="G133" s="172">
        <f>IFERROR(__xludf.DUMMYFUNCTION("""COMPUTED_VALUE"""),11169.0)</f>
        <v>11169</v>
      </c>
      <c r="H133" s="172">
        <f>IFERROR(__xludf.DUMMYFUNCTION("""COMPUTED_VALUE"""),565522.0)</f>
        <v>565522</v>
      </c>
      <c r="I133" s="236">
        <f>IFERROR(__xludf.DUMMYFUNCTION("""COMPUTED_VALUE"""),73.0)</f>
        <v>73</v>
      </c>
      <c r="J133" s="236">
        <f>IFERROR(__xludf.DUMMYFUNCTION("""COMPUTED_VALUE"""),81.0)</f>
        <v>81</v>
      </c>
      <c r="K133" s="236">
        <f>IFERROR(__xludf.DUMMYFUNCTION("""COMPUTED_VALUE"""),22206.0)</f>
        <v>22206</v>
      </c>
      <c r="L133" s="236">
        <f>IFERROR(__xludf.DUMMYFUNCTION("""COMPUTED_VALUE"""),2573.0)</f>
        <v>2573</v>
      </c>
      <c r="M133" s="236">
        <f>IFERROR(__xludf.DUMMYFUNCTION("""COMPUTED_VALUE"""),264380.0)</f>
        <v>264380</v>
      </c>
      <c r="N133" s="236">
        <f>IFERROR(__xludf.DUMMYFUNCTION("""COMPUTED_VALUE"""),286586.0)</f>
        <v>286586</v>
      </c>
      <c r="O133" s="236">
        <f>IFERROR(__xludf.DUMMYFUNCTION("""COMPUTED_VALUE"""),8.0)</f>
        <v>8</v>
      </c>
      <c r="P133" s="236">
        <f>IFERROR(__xludf.DUMMYFUNCTION("""COMPUTED_VALUE"""),2566.0)</f>
        <v>2566</v>
      </c>
      <c r="Q133" s="236">
        <f>IFERROR(__xludf.DUMMYFUNCTION("""COMPUTED_VALUE"""),8.0)</f>
        <v>8</v>
      </c>
      <c r="R133" s="236">
        <f>IFERROR(__xludf.DUMMYFUNCTION("""COMPUTED_VALUE"""),2162.0)</f>
        <v>2162</v>
      </c>
      <c r="S133" s="236">
        <f>IFERROR(__xludf.DUMMYFUNCTION("""COMPUTED_VALUE"""),0.0)</f>
        <v>0</v>
      </c>
      <c r="T133" s="236">
        <f>IFERROR(__xludf.DUMMYFUNCTION("""COMPUTED_VALUE"""),339.0)</f>
        <v>339</v>
      </c>
      <c r="U133" s="236">
        <f>IFERROR(__xludf.DUMMYFUNCTION("""COMPUTED_VALUE"""),65.0)</f>
        <v>65</v>
      </c>
      <c r="V133" s="236">
        <f>IFERROR(__xludf.DUMMYFUNCTION("""COMPUTED_VALUE"""),66.0)</f>
        <v>66</v>
      </c>
      <c r="W133" s="236">
        <f>IFERROR(__xludf.DUMMYFUNCTION("""COMPUTED_VALUE"""),9.0)</f>
        <v>9</v>
      </c>
      <c r="X133" s="236">
        <f>IFERROR(__xludf.DUMMYFUNCTION("""COMPUTED_VALUE"""),4.0)</f>
        <v>4</v>
      </c>
      <c r="Y133" s="236">
        <f>IFERROR(__xludf.DUMMYFUNCTION("""COMPUTED_VALUE"""),3.0)</f>
        <v>3</v>
      </c>
      <c r="Z133" s="236">
        <f>IFERROR(__xludf.DUMMYFUNCTION("""COMPUTED_VALUE"""),1083.0)</f>
        <v>1083</v>
      </c>
    </row>
    <row r="134">
      <c r="A134" s="235">
        <f>IFERROR(__xludf.DUMMYFUNCTION("""COMPUTED_VALUE"""),44078.0)</f>
        <v>44078</v>
      </c>
      <c r="B134" s="236">
        <f>IFERROR(__xludf.DUMMYFUNCTION("""COMPUTED_VALUE"""),103.0)</f>
        <v>103</v>
      </c>
      <c r="C134" s="236">
        <f>IFERROR(__xludf.DUMMYFUNCTION("""COMPUTED_VALUE"""),106.0)</f>
        <v>106</v>
      </c>
      <c r="D134" s="236">
        <f>IFERROR(__xludf.DUMMYFUNCTION("""COMPUTED_VALUE"""),31916.0)</f>
        <v>31916</v>
      </c>
      <c r="E134" s="236">
        <f>IFERROR(__xludf.DUMMYFUNCTION("""COMPUTED_VALUE"""),8963.0)</f>
        <v>8963</v>
      </c>
      <c r="F134" s="172">
        <f>IFERROR(__xludf.DUMMYFUNCTION("""COMPUTED_VALUE"""),542672.0)</f>
        <v>542672</v>
      </c>
      <c r="G134" s="172">
        <f>IFERROR(__xludf.DUMMYFUNCTION("""COMPUTED_VALUE"""),9066.0)</f>
        <v>9066</v>
      </c>
      <c r="H134" s="172">
        <f>IFERROR(__xludf.DUMMYFUNCTION("""COMPUTED_VALUE"""),574588.0)</f>
        <v>574588</v>
      </c>
      <c r="I134" s="236">
        <f>IFERROR(__xludf.DUMMYFUNCTION("""COMPUTED_VALUE"""),83.0)</f>
        <v>83</v>
      </c>
      <c r="J134" s="236">
        <f>IFERROR(__xludf.DUMMYFUNCTION("""COMPUTED_VALUE"""),87.0)</f>
        <v>87</v>
      </c>
      <c r="K134" s="236">
        <f>IFERROR(__xludf.DUMMYFUNCTION("""COMPUTED_VALUE"""),22289.0)</f>
        <v>22289</v>
      </c>
      <c r="L134" s="236">
        <f>IFERROR(__xludf.DUMMYFUNCTION("""COMPUTED_VALUE"""),2363.0)</f>
        <v>2363</v>
      </c>
      <c r="M134" s="236">
        <f>IFERROR(__xludf.DUMMYFUNCTION("""COMPUTED_VALUE"""),266743.0)</f>
        <v>266743</v>
      </c>
      <c r="N134" s="236">
        <f>IFERROR(__xludf.DUMMYFUNCTION("""COMPUTED_VALUE"""),289032.0)</f>
        <v>289032</v>
      </c>
      <c r="O134" s="236">
        <f>IFERROR(__xludf.DUMMYFUNCTION("""COMPUTED_VALUE"""),11.0)</f>
        <v>11</v>
      </c>
      <c r="P134" s="236">
        <f>IFERROR(__xludf.DUMMYFUNCTION("""COMPUTED_VALUE"""),2577.0)</f>
        <v>2577</v>
      </c>
      <c r="Q134" s="236">
        <f>IFERROR(__xludf.DUMMYFUNCTION("""COMPUTED_VALUE"""),4.0)</f>
        <v>4</v>
      </c>
      <c r="R134" s="236">
        <f>IFERROR(__xludf.DUMMYFUNCTION("""COMPUTED_VALUE"""),2166.0)</f>
        <v>2166</v>
      </c>
      <c r="S134" s="236">
        <f>IFERROR(__xludf.DUMMYFUNCTION("""COMPUTED_VALUE"""),0.0)</f>
        <v>0</v>
      </c>
      <c r="T134" s="236">
        <f>IFERROR(__xludf.DUMMYFUNCTION("""COMPUTED_VALUE"""),339.0)</f>
        <v>339</v>
      </c>
      <c r="U134" s="236">
        <f>IFERROR(__xludf.DUMMYFUNCTION("""COMPUTED_VALUE"""),72.0)</f>
        <v>72</v>
      </c>
      <c r="V134" s="236">
        <f>IFERROR(__xludf.DUMMYFUNCTION("""COMPUTED_VALUE"""),67.0)</f>
        <v>67</v>
      </c>
      <c r="W134" s="236">
        <f>IFERROR(__xludf.DUMMYFUNCTION("""COMPUTED_VALUE"""),9.0)</f>
        <v>9</v>
      </c>
      <c r="X134" s="236">
        <f>IFERROR(__xludf.DUMMYFUNCTION("""COMPUTED_VALUE"""),4.0)</f>
        <v>4</v>
      </c>
      <c r="Y134" s="236">
        <f>IFERROR(__xludf.DUMMYFUNCTION("""COMPUTED_VALUE"""),1.0)</f>
        <v>1</v>
      </c>
      <c r="Z134" s="236">
        <f>IFERROR(__xludf.DUMMYFUNCTION("""COMPUTED_VALUE"""),1084.0)</f>
        <v>1084</v>
      </c>
    </row>
    <row r="135">
      <c r="A135" s="235">
        <f>IFERROR(__xludf.DUMMYFUNCTION("""COMPUTED_VALUE"""),44079.0)</f>
        <v>44079</v>
      </c>
      <c r="B135" s="236">
        <f>IFERROR(__xludf.DUMMYFUNCTION("""COMPUTED_VALUE"""),52.0)</f>
        <v>52</v>
      </c>
      <c r="C135" s="236">
        <f>IFERROR(__xludf.DUMMYFUNCTION("""COMPUTED_VALUE"""),82.0)</f>
        <v>82</v>
      </c>
      <c r="D135" s="236">
        <f>IFERROR(__xludf.DUMMYFUNCTION("""COMPUTED_VALUE"""),31968.0)</f>
        <v>31968</v>
      </c>
      <c r="E135" s="236">
        <f>IFERROR(__xludf.DUMMYFUNCTION("""COMPUTED_VALUE"""),6309.0)</f>
        <v>6309</v>
      </c>
      <c r="F135" s="172">
        <f>IFERROR(__xludf.DUMMYFUNCTION("""COMPUTED_VALUE"""),548981.0)</f>
        <v>548981</v>
      </c>
      <c r="G135" s="172">
        <f>IFERROR(__xludf.DUMMYFUNCTION("""COMPUTED_VALUE"""),6361.0)</f>
        <v>6361</v>
      </c>
      <c r="H135" s="172">
        <f>IFERROR(__xludf.DUMMYFUNCTION("""COMPUTED_VALUE"""),580949.0)</f>
        <v>580949</v>
      </c>
      <c r="I135" s="236">
        <f>IFERROR(__xludf.DUMMYFUNCTION("""COMPUTED_VALUE"""),42.0)</f>
        <v>42</v>
      </c>
      <c r="J135" s="236">
        <f>IFERROR(__xludf.DUMMYFUNCTION("""COMPUTED_VALUE"""),66.0)</f>
        <v>66</v>
      </c>
      <c r="K135" s="236">
        <f>IFERROR(__xludf.DUMMYFUNCTION("""COMPUTED_VALUE"""),22331.0)</f>
        <v>22331</v>
      </c>
      <c r="L135" s="236">
        <f>IFERROR(__xludf.DUMMYFUNCTION("""COMPUTED_VALUE"""),1593.0)</f>
        <v>1593</v>
      </c>
      <c r="M135" s="236">
        <f>IFERROR(__xludf.DUMMYFUNCTION("""COMPUTED_VALUE"""),268336.0)</f>
        <v>268336</v>
      </c>
      <c r="N135" s="236">
        <f>IFERROR(__xludf.DUMMYFUNCTION("""COMPUTED_VALUE"""),290667.0)</f>
        <v>290667</v>
      </c>
      <c r="O135" s="236">
        <f>IFERROR(__xludf.DUMMYFUNCTION("""COMPUTED_VALUE"""),6.0)</f>
        <v>6</v>
      </c>
      <c r="P135" s="236">
        <f>IFERROR(__xludf.DUMMYFUNCTION("""COMPUTED_VALUE"""),2583.0)</f>
        <v>2583</v>
      </c>
      <c r="Q135" s="236">
        <f>IFERROR(__xludf.DUMMYFUNCTION("""COMPUTED_VALUE"""),9.0)</f>
        <v>9</v>
      </c>
      <c r="R135" s="236">
        <f>IFERROR(__xludf.DUMMYFUNCTION("""COMPUTED_VALUE"""),2175.0)</f>
        <v>2175</v>
      </c>
      <c r="S135" s="236">
        <f>IFERROR(__xludf.DUMMYFUNCTION("""COMPUTED_VALUE"""),0.0)</f>
        <v>0</v>
      </c>
      <c r="T135" s="236">
        <f>IFERROR(__xludf.DUMMYFUNCTION("""COMPUTED_VALUE"""),339.0)</f>
        <v>339</v>
      </c>
      <c r="U135" s="236">
        <f>IFERROR(__xludf.DUMMYFUNCTION("""COMPUTED_VALUE"""),69.0)</f>
        <v>69</v>
      </c>
      <c r="V135" s="236">
        <f>IFERROR(__xludf.DUMMYFUNCTION("""COMPUTED_VALUE"""),69.0)</f>
        <v>69</v>
      </c>
      <c r="W135" s="236">
        <f>IFERROR(__xludf.DUMMYFUNCTION("""COMPUTED_VALUE"""),8.0)</f>
        <v>8</v>
      </c>
      <c r="X135" s="236">
        <f>IFERROR(__xludf.DUMMYFUNCTION("""COMPUTED_VALUE"""),3.0)</f>
        <v>3</v>
      </c>
      <c r="Y135" s="236">
        <f>IFERROR(__xludf.DUMMYFUNCTION("""COMPUTED_VALUE"""),1.0)</f>
        <v>1</v>
      </c>
      <c r="Z135" s="236">
        <f>IFERROR(__xludf.DUMMYFUNCTION("""COMPUTED_VALUE"""),1085.0)</f>
        <v>1085</v>
      </c>
    </row>
    <row r="136">
      <c r="A136" s="235">
        <f>IFERROR(__xludf.DUMMYFUNCTION("""COMPUTED_VALUE"""),44080.0)</f>
        <v>44080</v>
      </c>
      <c r="B136" s="236">
        <f>IFERROR(__xludf.DUMMYFUNCTION("""COMPUTED_VALUE"""),88.0)</f>
        <v>88</v>
      </c>
      <c r="C136" s="236">
        <f>IFERROR(__xludf.DUMMYFUNCTION("""COMPUTED_VALUE"""),81.0)</f>
        <v>81</v>
      </c>
      <c r="D136" s="236">
        <f>IFERROR(__xludf.DUMMYFUNCTION("""COMPUTED_VALUE"""),32056.0)</f>
        <v>32056</v>
      </c>
      <c r="E136" s="236">
        <f>IFERROR(__xludf.DUMMYFUNCTION("""COMPUTED_VALUE"""),4325.0)</f>
        <v>4325</v>
      </c>
      <c r="F136" s="172">
        <f>IFERROR(__xludf.DUMMYFUNCTION("""COMPUTED_VALUE"""),553306.0)</f>
        <v>553306</v>
      </c>
      <c r="G136" s="172">
        <f>IFERROR(__xludf.DUMMYFUNCTION("""COMPUTED_VALUE"""),4413.0)</f>
        <v>4413</v>
      </c>
      <c r="H136" s="172">
        <f>IFERROR(__xludf.DUMMYFUNCTION("""COMPUTED_VALUE"""),585362.0)</f>
        <v>585362</v>
      </c>
      <c r="I136" s="236">
        <f>IFERROR(__xludf.DUMMYFUNCTION("""COMPUTED_VALUE"""),65.0)</f>
        <v>65</v>
      </c>
      <c r="J136" s="236">
        <f>IFERROR(__xludf.DUMMYFUNCTION("""COMPUTED_VALUE"""),63.0)</f>
        <v>63</v>
      </c>
      <c r="K136" s="236">
        <f>IFERROR(__xludf.DUMMYFUNCTION("""COMPUTED_VALUE"""),22396.0)</f>
        <v>22396</v>
      </c>
      <c r="L136" s="236">
        <f>IFERROR(__xludf.DUMMYFUNCTION("""COMPUTED_VALUE"""),1942.0)</f>
        <v>1942</v>
      </c>
      <c r="M136" s="236">
        <f>IFERROR(__xludf.DUMMYFUNCTION("""COMPUTED_VALUE"""),270278.0)</f>
        <v>270278</v>
      </c>
      <c r="N136" s="236">
        <f>IFERROR(__xludf.DUMMYFUNCTION("""COMPUTED_VALUE"""),292674.0)</f>
        <v>292674</v>
      </c>
      <c r="O136" s="236">
        <f>IFERROR(__xludf.DUMMYFUNCTION("""COMPUTED_VALUE"""),4.0)</f>
        <v>4</v>
      </c>
      <c r="P136" s="236">
        <f>IFERROR(__xludf.DUMMYFUNCTION("""COMPUTED_VALUE"""),2587.0)</f>
        <v>2587</v>
      </c>
      <c r="Q136" s="236">
        <f>IFERROR(__xludf.DUMMYFUNCTION("""COMPUTED_VALUE"""),8.0)</f>
        <v>8</v>
      </c>
      <c r="R136" s="236">
        <f>IFERROR(__xludf.DUMMYFUNCTION("""COMPUTED_VALUE"""),2183.0)</f>
        <v>2183</v>
      </c>
      <c r="S136" s="236">
        <f>IFERROR(__xludf.DUMMYFUNCTION("""COMPUTED_VALUE"""),1.0)</f>
        <v>1</v>
      </c>
      <c r="T136" s="236">
        <f>IFERROR(__xludf.DUMMYFUNCTION("""COMPUTED_VALUE"""),340.0)</f>
        <v>340</v>
      </c>
      <c r="U136" s="236">
        <f>IFERROR(__xludf.DUMMYFUNCTION("""COMPUTED_VALUE"""),64.0)</f>
        <v>64</v>
      </c>
      <c r="V136" s="236">
        <f>IFERROR(__xludf.DUMMYFUNCTION("""COMPUTED_VALUE"""),68.0)</f>
        <v>68</v>
      </c>
      <c r="W136" s="236">
        <f>IFERROR(__xludf.DUMMYFUNCTION("""COMPUTED_VALUE"""),6.0)</f>
        <v>6</v>
      </c>
      <c r="X136" s="236">
        <f>IFERROR(__xludf.DUMMYFUNCTION("""COMPUTED_VALUE"""),3.0)</f>
        <v>3</v>
      </c>
      <c r="Y136" s="236">
        <f>IFERROR(__xludf.DUMMYFUNCTION("""COMPUTED_VALUE"""),1.0)</f>
        <v>1</v>
      </c>
      <c r="Z136" s="236">
        <f>IFERROR(__xludf.DUMMYFUNCTION("""COMPUTED_VALUE"""),1086.0)</f>
        <v>1086</v>
      </c>
    </row>
    <row r="137">
      <c r="A137" s="235">
        <f>IFERROR(__xludf.DUMMYFUNCTION("""COMPUTED_VALUE"""),44081.0)</f>
        <v>44081</v>
      </c>
      <c r="B137" s="236">
        <f>IFERROR(__xludf.DUMMYFUNCTION("""COMPUTED_VALUE"""),35.0)</f>
        <v>35</v>
      </c>
      <c r="C137" s="236">
        <f>IFERROR(__xludf.DUMMYFUNCTION("""COMPUTED_VALUE"""),58.0)</f>
        <v>58</v>
      </c>
      <c r="D137" s="236">
        <f>IFERROR(__xludf.DUMMYFUNCTION("""COMPUTED_VALUE"""),32091.0)</f>
        <v>32091</v>
      </c>
      <c r="E137" s="236">
        <f>IFERROR(__xludf.DUMMYFUNCTION("""COMPUTED_VALUE"""),3002.0)</f>
        <v>3002</v>
      </c>
      <c r="F137" s="172">
        <f>IFERROR(__xludf.DUMMYFUNCTION("""COMPUTED_VALUE"""),556308.0)</f>
        <v>556308</v>
      </c>
      <c r="G137" s="172">
        <f>IFERROR(__xludf.DUMMYFUNCTION("""COMPUTED_VALUE"""),3037.0)</f>
        <v>3037</v>
      </c>
      <c r="H137" s="172">
        <f>IFERROR(__xludf.DUMMYFUNCTION("""COMPUTED_VALUE"""),588399.0)</f>
        <v>588399</v>
      </c>
      <c r="I137" s="236">
        <f>IFERROR(__xludf.DUMMYFUNCTION("""COMPUTED_VALUE"""),26.0)</f>
        <v>26</v>
      </c>
      <c r="J137" s="236">
        <f>IFERROR(__xludf.DUMMYFUNCTION("""COMPUTED_VALUE"""),44.0)</f>
        <v>44</v>
      </c>
      <c r="K137" s="236">
        <f>IFERROR(__xludf.DUMMYFUNCTION("""COMPUTED_VALUE"""),22422.0)</f>
        <v>22422</v>
      </c>
      <c r="L137" s="236">
        <f>IFERROR(__xludf.DUMMYFUNCTION("""COMPUTED_VALUE"""),641.0)</f>
        <v>641</v>
      </c>
      <c r="M137" s="236">
        <f>IFERROR(__xludf.DUMMYFUNCTION("""COMPUTED_VALUE"""),270919.0)</f>
        <v>270919</v>
      </c>
      <c r="N137" s="236">
        <f>IFERROR(__xludf.DUMMYFUNCTION("""COMPUTED_VALUE"""),293341.0)</f>
        <v>293341</v>
      </c>
      <c r="O137" s="236">
        <f>IFERROR(__xludf.DUMMYFUNCTION("""COMPUTED_VALUE"""),11.0)</f>
        <v>11</v>
      </c>
      <c r="P137" s="236">
        <f>IFERROR(__xludf.DUMMYFUNCTION("""COMPUTED_VALUE"""),2598.0)</f>
        <v>2598</v>
      </c>
      <c r="Q137" s="236">
        <f>IFERROR(__xludf.DUMMYFUNCTION("""COMPUTED_VALUE"""),3.0)</f>
        <v>3</v>
      </c>
      <c r="R137" s="236">
        <f>IFERROR(__xludf.DUMMYFUNCTION("""COMPUTED_VALUE"""),2186.0)</f>
        <v>2186</v>
      </c>
      <c r="S137" s="236">
        <f>IFERROR(__xludf.DUMMYFUNCTION("""COMPUTED_VALUE"""),0.0)</f>
        <v>0</v>
      </c>
      <c r="T137" s="236">
        <f>IFERROR(__xludf.DUMMYFUNCTION("""COMPUTED_VALUE"""),340.0)</f>
        <v>340</v>
      </c>
      <c r="U137" s="236">
        <f>IFERROR(__xludf.DUMMYFUNCTION("""COMPUTED_VALUE"""),72.0)</f>
        <v>72</v>
      </c>
      <c r="V137" s="236">
        <f>IFERROR(__xludf.DUMMYFUNCTION("""COMPUTED_VALUE"""),68.0)</f>
        <v>68</v>
      </c>
      <c r="W137" s="236">
        <f>IFERROR(__xludf.DUMMYFUNCTION("""COMPUTED_VALUE"""),5.0)</f>
        <v>5</v>
      </c>
      <c r="X137" s="236">
        <f>IFERROR(__xludf.DUMMYFUNCTION("""COMPUTED_VALUE"""),3.0)</f>
        <v>3</v>
      </c>
      <c r="Y137" s="236">
        <f>IFERROR(__xludf.DUMMYFUNCTION("""COMPUTED_VALUE"""),1.0)</f>
        <v>1</v>
      </c>
      <c r="Z137" s="236">
        <f>IFERROR(__xludf.DUMMYFUNCTION("""COMPUTED_VALUE"""),1087.0)</f>
        <v>1087</v>
      </c>
    </row>
    <row r="138">
      <c r="A138" s="235">
        <f>IFERROR(__xludf.DUMMYFUNCTION("""COMPUTED_VALUE"""),44082.0)</f>
        <v>44082</v>
      </c>
      <c r="B138" s="236">
        <f>IFERROR(__xludf.DUMMYFUNCTION("""COMPUTED_VALUE"""),74.0)</f>
        <v>74</v>
      </c>
      <c r="C138" s="236">
        <f>IFERROR(__xludf.DUMMYFUNCTION("""COMPUTED_VALUE"""),66.0)</f>
        <v>66</v>
      </c>
      <c r="D138" s="236">
        <f>IFERROR(__xludf.DUMMYFUNCTION("""COMPUTED_VALUE"""),32165.0)</f>
        <v>32165</v>
      </c>
      <c r="E138" s="236">
        <f>IFERROR(__xludf.DUMMYFUNCTION("""COMPUTED_VALUE"""),6381.0)</f>
        <v>6381</v>
      </c>
      <c r="F138" s="172">
        <f>IFERROR(__xludf.DUMMYFUNCTION("""COMPUTED_VALUE"""),562689.0)</f>
        <v>562689</v>
      </c>
      <c r="G138" s="172">
        <f>IFERROR(__xludf.DUMMYFUNCTION("""COMPUTED_VALUE"""),6455.0)</f>
        <v>6455</v>
      </c>
      <c r="H138" s="172">
        <f>IFERROR(__xludf.DUMMYFUNCTION("""COMPUTED_VALUE"""),594854.0)</f>
        <v>594854</v>
      </c>
      <c r="I138" s="236">
        <f>IFERROR(__xludf.DUMMYFUNCTION("""COMPUTED_VALUE"""),66.0)</f>
        <v>66</v>
      </c>
      <c r="J138" s="236">
        <f>IFERROR(__xludf.DUMMYFUNCTION("""COMPUTED_VALUE"""),52.0)</f>
        <v>52</v>
      </c>
      <c r="K138" s="236">
        <f>IFERROR(__xludf.DUMMYFUNCTION("""COMPUTED_VALUE"""),22488.0)</f>
        <v>22488</v>
      </c>
      <c r="L138" s="236">
        <f>IFERROR(__xludf.DUMMYFUNCTION("""COMPUTED_VALUE"""),1582.0)</f>
        <v>1582</v>
      </c>
      <c r="M138" s="236">
        <f>IFERROR(__xludf.DUMMYFUNCTION("""COMPUTED_VALUE"""),272501.0)</f>
        <v>272501</v>
      </c>
      <c r="N138" s="236">
        <f>IFERROR(__xludf.DUMMYFUNCTION("""COMPUTED_VALUE"""),294989.0)</f>
        <v>294989</v>
      </c>
      <c r="O138" s="236">
        <f>IFERROR(__xludf.DUMMYFUNCTION("""COMPUTED_VALUE"""),6.0)</f>
        <v>6</v>
      </c>
      <c r="P138" s="236">
        <f>IFERROR(__xludf.DUMMYFUNCTION("""COMPUTED_VALUE"""),2604.0)</f>
        <v>2604</v>
      </c>
      <c r="Q138" s="236">
        <f>IFERROR(__xludf.DUMMYFUNCTION("""COMPUTED_VALUE"""),12.0)</f>
        <v>12</v>
      </c>
      <c r="R138" s="236">
        <f>IFERROR(__xludf.DUMMYFUNCTION("""COMPUTED_VALUE"""),2198.0)</f>
        <v>2198</v>
      </c>
      <c r="S138" s="236">
        <f>IFERROR(__xludf.DUMMYFUNCTION("""COMPUTED_VALUE"""),1.0)</f>
        <v>1</v>
      </c>
      <c r="T138" s="236">
        <f>IFERROR(__xludf.DUMMYFUNCTION("""COMPUTED_VALUE"""),341.0)</f>
        <v>341</v>
      </c>
      <c r="U138" s="236">
        <f>IFERROR(__xludf.DUMMYFUNCTION("""COMPUTED_VALUE"""),65.0)</f>
        <v>65</v>
      </c>
      <c r="V138" s="236">
        <f>IFERROR(__xludf.DUMMYFUNCTION("""COMPUTED_VALUE"""),67.0)</f>
        <v>67</v>
      </c>
      <c r="W138" s="236">
        <f>IFERROR(__xludf.DUMMYFUNCTION("""COMPUTED_VALUE"""),6.0)</f>
        <v>6</v>
      </c>
      <c r="X138" s="236">
        <f>IFERROR(__xludf.DUMMYFUNCTION("""COMPUTED_VALUE"""),3.0)</f>
        <v>3</v>
      </c>
      <c r="Y138" s="236">
        <f>IFERROR(__xludf.DUMMYFUNCTION("""COMPUTED_VALUE"""),2.0)</f>
        <v>2</v>
      </c>
      <c r="Z138" s="236">
        <f>IFERROR(__xludf.DUMMYFUNCTION("""COMPUTED_VALUE"""),1089.0)</f>
        <v>1089</v>
      </c>
    </row>
    <row r="139">
      <c r="A139" s="235">
        <f>IFERROR(__xludf.DUMMYFUNCTION("""COMPUTED_VALUE"""),44083.0)</f>
        <v>44083</v>
      </c>
      <c r="B139" s="236">
        <f>IFERROR(__xludf.DUMMYFUNCTION("""COMPUTED_VALUE"""),118.0)</f>
        <v>118</v>
      </c>
      <c r="C139" s="236">
        <f>IFERROR(__xludf.DUMMYFUNCTION("""COMPUTED_VALUE"""),76.0)</f>
        <v>76</v>
      </c>
      <c r="D139" s="236">
        <f>IFERROR(__xludf.DUMMYFUNCTION("""COMPUTED_VALUE"""),32283.0)</f>
        <v>32283</v>
      </c>
      <c r="E139" s="236">
        <f>IFERROR(__xludf.DUMMYFUNCTION("""COMPUTED_VALUE"""),8650.0)</f>
        <v>8650</v>
      </c>
      <c r="F139" s="172">
        <f>IFERROR(__xludf.DUMMYFUNCTION("""COMPUTED_VALUE"""),571339.0)</f>
        <v>571339</v>
      </c>
      <c r="G139" s="172">
        <f>IFERROR(__xludf.DUMMYFUNCTION("""COMPUTED_VALUE"""),8768.0)</f>
        <v>8768</v>
      </c>
      <c r="H139" s="172">
        <f>IFERROR(__xludf.DUMMYFUNCTION("""COMPUTED_VALUE"""),603622.0)</f>
        <v>603622</v>
      </c>
      <c r="I139" s="236">
        <f>IFERROR(__xludf.DUMMYFUNCTION("""COMPUTED_VALUE"""),102.0)</f>
        <v>102</v>
      </c>
      <c r="J139" s="236">
        <f>IFERROR(__xludf.DUMMYFUNCTION("""COMPUTED_VALUE"""),65.0)</f>
        <v>65</v>
      </c>
      <c r="K139" s="236">
        <f>IFERROR(__xludf.DUMMYFUNCTION("""COMPUTED_VALUE"""),22590.0)</f>
        <v>22590</v>
      </c>
      <c r="L139" s="236">
        <f>IFERROR(__xludf.DUMMYFUNCTION("""COMPUTED_VALUE"""),2138.0)</f>
        <v>2138</v>
      </c>
      <c r="M139" s="236">
        <f>IFERROR(__xludf.DUMMYFUNCTION("""COMPUTED_VALUE"""),274639.0)</f>
        <v>274639</v>
      </c>
      <c r="N139" s="236">
        <f>IFERROR(__xludf.DUMMYFUNCTION("""COMPUTED_VALUE"""),297229.0)</f>
        <v>297229</v>
      </c>
      <c r="O139" s="236">
        <f>IFERROR(__xludf.DUMMYFUNCTION("""COMPUTED_VALUE"""),10.0)</f>
        <v>10</v>
      </c>
      <c r="P139" s="236">
        <f>IFERROR(__xludf.DUMMYFUNCTION("""COMPUTED_VALUE"""),2614.0)</f>
        <v>2614</v>
      </c>
      <c r="Q139" s="236">
        <f>IFERROR(__xludf.DUMMYFUNCTION("""COMPUTED_VALUE"""),5.0)</f>
        <v>5</v>
      </c>
      <c r="R139" s="236">
        <f>IFERROR(__xludf.DUMMYFUNCTION("""COMPUTED_VALUE"""),2203.0)</f>
        <v>2203</v>
      </c>
      <c r="S139" s="236">
        <f>IFERROR(__xludf.DUMMYFUNCTION("""COMPUTED_VALUE"""),1.0)</f>
        <v>1</v>
      </c>
      <c r="T139" s="236">
        <f>IFERROR(__xludf.DUMMYFUNCTION("""COMPUTED_VALUE"""),342.0)</f>
        <v>342</v>
      </c>
      <c r="U139" s="236">
        <f>IFERROR(__xludf.DUMMYFUNCTION("""COMPUTED_VALUE"""),69.0)</f>
        <v>69</v>
      </c>
      <c r="V139" s="236">
        <f>IFERROR(__xludf.DUMMYFUNCTION("""COMPUTED_VALUE"""),69.0)</f>
        <v>69</v>
      </c>
      <c r="W139" s="236">
        <f>IFERROR(__xludf.DUMMYFUNCTION("""COMPUTED_VALUE"""),9.0)</f>
        <v>9</v>
      </c>
      <c r="X139" s="236">
        <f>IFERROR(__xludf.DUMMYFUNCTION("""COMPUTED_VALUE"""),3.0)</f>
        <v>3</v>
      </c>
      <c r="Y139" s="236">
        <f>IFERROR(__xludf.DUMMYFUNCTION("""COMPUTED_VALUE"""),1.0)</f>
        <v>1</v>
      </c>
      <c r="Z139" s="236">
        <f>IFERROR(__xludf.DUMMYFUNCTION("""COMPUTED_VALUE"""),1090.0)</f>
        <v>1090</v>
      </c>
    </row>
    <row r="140">
      <c r="A140" s="235">
        <f>IFERROR(__xludf.DUMMYFUNCTION("""COMPUTED_VALUE"""),44084.0)</f>
        <v>44084</v>
      </c>
      <c r="B140" s="236">
        <f>IFERROR(__xludf.DUMMYFUNCTION("""COMPUTED_VALUE"""),164.0)</f>
        <v>164</v>
      </c>
      <c r="C140" s="236">
        <f>IFERROR(__xludf.DUMMYFUNCTION("""COMPUTED_VALUE"""),119.0)</f>
        <v>119</v>
      </c>
      <c r="D140" s="236">
        <f>IFERROR(__xludf.DUMMYFUNCTION("""COMPUTED_VALUE"""),32447.0)</f>
        <v>32447</v>
      </c>
      <c r="E140" s="236">
        <f>IFERROR(__xludf.DUMMYFUNCTION("""COMPUTED_VALUE"""),11334.0)</f>
        <v>11334</v>
      </c>
      <c r="F140" s="172">
        <f>IFERROR(__xludf.DUMMYFUNCTION("""COMPUTED_VALUE"""),582673.0)</f>
        <v>582673</v>
      </c>
      <c r="G140" s="172">
        <f>IFERROR(__xludf.DUMMYFUNCTION("""COMPUTED_VALUE"""),11498.0)</f>
        <v>11498</v>
      </c>
      <c r="H140" s="172">
        <f>IFERROR(__xludf.DUMMYFUNCTION("""COMPUTED_VALUE"""),615120.0)</f>
        <v>615120</v>
      </c>
      <c r="I140" s="236">
        <f>IFERROR(__xludf.DUMMYFUNCTION("""COMPUTED_VALUE"""),111.0)</f>
        <v>111</v>
      </c>
      <c r="J140" s="236">
        <f>IFERROR(__xludf.DUMMYFUNCTION("""COMPUTED_VALUE"""),93.0)</f>
        <v>93</v>
      </c>
      <c r="K140" s="236">
        <f>IFERROR(__xludf.DUMMYFUNCTION("""COMPUTED_VALUE"""),22701.0)</f>
        <v>22701</v>
      </c>
      <c r="L140" s="236">
        <f>IFERROR(__xludf.DUMMYFUNCTION("""COMPUTED_VALUE"""),2264.0)</f>
        <v>2264</v>
      </c>
      <c r="M140" s="236">
        <f>IFERROR(__xludf.DUMMYFUNCTION("""COMPUTED_VALUE"""),276903.0)</f>
        <v>276903</v>
      </c>
      <c r="N140" s="236">
        <f>IFERROR(__xludf.DUMMYFUNCTION("""COMPUTED_VALUE"""),299604.0)</f>
        <v>299604</v>
      </c>
      <c r="O140" s="236">
        <f>IFERROR(__xludf.DUMMYFUNCTION("""COMPUTED_VALUE"""),9.0)</f>
        <v>9</v>
      </c>
      <c r="P140" s="236">
        <f>IFERROR(__xludf.DUMMYFUNCTION("""COMPUTED_VALUE"""),2623.0)</f>
        <v>2623</v>
      </c>
      <c r="Q140" s="236">
        <f>IFERROR(__xludf.DUMMYFUNCTION("""COMPUTED_VALUE"""),8.0)</f>
        <v>8</v>
      </c>
      <c r="R140" s="236">
        <f>IFERROR(__xludf.DUMMYFUNCTION("""COMPUTED_VALUE"""),2211.0)</f>
        <v>2211</v>
      </c>
      <c r="S140" s="236">
        <f>IFERROR(__xludf.DUMMYFUNCTION("""COMPUTED_VALUE"""),0.0)</f>
        <v>0</v>
      </c>
      <c r="T140" s="236">
        <f>IFERROR(__xludf.DUMMYFUNCTION("""COMPUTED_VALUE"""),342.0)</f>
        <v>342</v>
      </c>
      <c r="U140" s="236">
        <f>IFERROR(__xludf.DUMMYFUNCTION("""COMPUTED_VALUE"""),70.0)</f>
        <v>70</v>
      </c>
      <c r="V140" s="236">
        <f>IFERROR(__xludf.DUMMYFUNCTION("""COMPUTED_VALUE"""),68.0)</f>
        <v>68</v>
      </c>
      <c r="W140" s="236">
        <f>IFERROR(__xludf.DUMMYFUNCTION("""COMPUTED_VALUE"""),10.0)</f>
        <v>10</v>
      </c>
      <c r="X140" s="236">
        <f>IFERROR(__xludf.DUMMYFUNCTION("""COMPUTED_VALUE"""),3.0)</f>
        <v>3</v>
      </c>
      <c r="Y140" s="236">
        <f>IFERROR(__xludf.DUMMYFUNCTION("""COMPUTED_VALUE"""),1.0)</f>
        <v>1</v>
      </c>
      <c r="Z140" s="236">
        <f>IFERROR(__xludf.DUMMYFUNCTION("""COMPUTED_VALUE"""),1091.0)</f>
        <v>1091</v>
      </c>
    </row>
    <row r="141">
      <c r="A141" s="235">
        <f>IFERROR(__xludf.DUMMYFUNCTION("""COMPUTED_VALUE"""),44085.0)</f>
        <v>44085</v>
      </c>
      <c r="B141" s="236">
        <f>IFERROR(__xludf.DUMMYFUNCTION("""COMPUTED_VALUE"""),120.0)</f>
        <v>120</v>
      </c>
      <c r="C141" s="236">
        <f>IFERROR(__xludf.DUMMYFUNCTION("""COMPUTED_VALUE"""),134.0)</f>
        <v>134</v>
      </c>
      <c r="D141" s="236">
        <f>IFERROR(__xludf.DUMMYFUNCTION("""COMPUTED_VALUE"""),32567.0)</f>
        <v>32567</v>
      </c>
      <c r="E141" s="236">
        <f>IFERROR(__xludf.DUMMYFUNCTION("""COMPUTED_VALUE"""),9454.0)</f>
        <v>9454</v>
      </c>
      <c r="F141" s="172">
        <f>IFERROR(__xludf.DUMMYFUNCTION("""COMPUTED_VALUE"""),592127.0)</f>
        <v>592127</v>
      </c>
      <c r="G141" s="172">
        <f>IFERROR(__xludf.DUMMYFUNCTION("""COMPUTED_VALUE"""),9574.0)</f>
        <v>9574</v>
      </c>
      <c r="H141" s="172">
        <f>IFERROR(__xludf.DUMMYFUNCTION("""COMPUTED_VALUE"""),624694.0)</f>
        <v>624694</v>
      </c>
      <c r="I141" s="236">
        <f>IFERROR(__xludf.DUMMYFUNCTION("""COMPUTED_VALUE"""),97.0)</f>
        <v>97</v>
      </c>
      <c r="J141" s="236">
        <f>IFERROR(__xludf.DUMMYFUNCTION("""COMPUTED_VALUE"""),103.0)</f>
        <v>103</v>
      </c>
      <c r="K141" s="236">
        <f>IFERROR(__xludf.DUMMYFUNCTION("""COMPUTED_VALUE"""),22798.0)</f>
        <v>22798</v>
      </c>
      <c r="L141" s="236">
        <f>IFERROR(__xludf.DUMMYFUNCTION("""COMPUTED_VALUE"""),1964.0)</f>
        <v>1964</v>
      </c>
      <c r="M141" s="236">
        <f>IFERROR(__xludf.DUMMYFUNCTION("""COMPUTED_VALUE"""),278867.0)</f>
        <v>278867</v>
      </c>
      <c r="N141" s="236">
        <f>IFERROR(__xludf.DUMMYFUNCTION("""COMPUTED_VALUE"""),301665.0)</f>
        <v>301665</v>
      </c>
      <c r="O141" s="236">
        <f>IFERROR(__xludf.DUMMYFUNCTION("""COMPUTED_VALUE"""),11.0)</f>
        <v>11</v>
      </c>
      <c r="P141" s="236">
        <f>IFERROR(__xludf.DUMMYFUNCTION("""COMPUTED_VALUE"""),2634.0)</f>
        <v>2634</v>
      </c>
      <c r="Q141" s="236">
        <f>IFERROR(__xludf.DUMMYFUNCTION("""COMPUTED_VALUE"""),11.0)</f>
        <v>11</v>
      </c>
      <c r="R141" s="236">
        <f>IFERROR(__xludf.DUMMYFUNCTION("""COMPUTED_VALUE"""),2222.0)</f>
        <v>2222</v>
      </c>
      <c r="S141" s="236">
        <f>IFERROR(__xludf.DUMMYFUNCTION("""COMPUTED_VALUE"""),0.0)</f>
        <v>0</v>
      </c>
      <c r="T141" s="236">
        <f>IFERROR(__xludf.DUMMYFUNCTION("""COMPUTED_VALUE"""),342.0)</f>
        <v>342</v>
      </c>
      <c r="U141" s="236">
        <f>IFERROR(__xludf.DUMMYFUNCTION("""COMPUTED_VALUE"""),70.0)</f>
        <v>70</v>
      </c>
      <c r="V141" s="236">
        <f>IFERROR(__xludf.DUMMYFUNCTION("""COMPUTED_VALUE"""),70.0)</f>
        <v>70</v>
      </c>
      <c r="W141" s="236">
        <f>IFERROR(__xludf.DUMMYFUNCTION("""COMPUTED_VALUE"""),10.0)</f>
        <v>10</v>
      </c>
      <c r="X141" s="236">
        <f>IFERROR(__xludf.DUMMYFUNCTION("""COMPUTED_VALUE"""),5.0)</f>
        <v>5</v>
      </c>
      <c r="Y141" s="236">
        <f>IFERROR(__xludf.DUMMYFUNCTION("""COMPUTED_VALUE"""),0.0)</f>
        <v>0</v>
      </c>
      <c r="Z141" s="236">
        <f>IFERROR(__xludf.DUMMYFUNCTION("""COMPUTED_VALUE"""),1091.0)</f>
        <v>1091</v>
      </c>
    </row>
    <row r="142">
      <c r="A142" s="235">
        <f>IFERROR(__xludf.DUMMYFUNCTION("""COMPUTED_VALUE"""),44086.0)</f>
        <v>44086</v>
      </c>
      <c r="B142" s="236">
        <f>IFERROR(__xludf.DUMMYFUNCTION("""COMPUTED_VALUE"""),110.0)</f>
        <v>110</v>
      </c>
      <c r="C142" s="236">
        <f>IFERROR(__xludf.DUMMYFUNCTION("""COMPUTED_VALUE"""),131.0)</f>
        <v>131</v>
      </c>
      <c r="D142" s="236">
        <f>IFERROR(__xludf.DUMMYFUNCTION("""COMPUTED_VALUE"""),32677.0)</f>
        <v>32677</v>
      </c>
      <c r="E142" s="236">
        <f>IFERROR(__xludf.DUMMYFUNCTION("""COMPUTED_VALUE"""),6173.0)</f>
        <v>6173</v>
      </c>
      <c r="F142" s="172">
        <f>IFERROR(__xludf.DUMMYFUNCTION("""COMPUTED_VALUE"""),598300.0)</f>
        <v>598300</v>
      </c>
      <c r="G142" s="172">
        <f>IFERROR(__xludf.DUMMYFUNCTION("""COMPUTED_VALUE"""),6283.0)</f>
        <v>6283</v>
      </c>
      <c r="H142" s="172">
        <f>IFERROR(__xludf.DUMMYFUNCTION("""COMPUTED_VALUE"""),630977.0)</f>
        <v>630977</v>
      </c>
      <c r="I142" s="236">
        <f>IFERROR(__xludf.DUMMYFUNCTION("""COMPUTED_VALUE"""),97.0)</f>
        <v>97</v>
      </c>
      <c r="J142" s="236">
        <f>IFERROR(__xludf.DUMMYFUNCTION("""COMPUTED_VALUE"""),102.0)</f>
        <v>102</v>
      </c>
      <c r="K142" s="236">
        <f>IFERROR(__xludf.DUMMYFUNCTION("""COMPUTED_VALUE"""),22895.0)</f>
        <v>22895</v>
      </c>
      <c r="L142" s="236">
        <f>IFERROR(__xludf.DUMMYFUNCTION("""COMPUTED_VALUE"""),1516.0)</f>
        <v>1516</v>
      </c>
      <c r="M142" s="236">
        <f>IFERROR(__xludf.DUMMYFUNCTION("""COMPUTED_VALUE"""),280383.0)</f>
        <v>280383</v>
      </c>
      <c r="N142" s="236">
        <f>IFERROR(__xludf.DUMMYFUNCTION("""COMPUTED_VALUE"""),303278.0)</f>
        <v>303278</v>
      </c>
      <c r="O142" s="236">
        <f>IFERROR(__xludf.DUMMYFUNCTION("""COMPUTED_VALUE"""),8.0)</f>
        <v>8</v>
      </c>
      <c r="P142" s="236">
        <f>IFERROR(__xludf.DUMMYFUNCTION("""COMPUTED_VALUE"""),2642.0)</f>
        <v>2642</v>
      </c>
      <c r="Q142" s="236">
        <f>IFERROR(__xludf.DUMMYFUNCTION("""COMPUTED_VALUE"""),5.0)</f>
        <v>5</v>
      </c>
      <c r="R142" s="236">
        <f>IFERROR(__xludf.DUMMYFUNCTION("""COMPUTED_VALUE"""),2227.0)</f>
        <v>2227</v>
      </c>
      <c r="S142" s="236">
        <f>IFERROR(__xludf.DUMMYFUNCTION("""COMPUTED_VALUE"""),2.0)</f>
        <v>2</v>
      </c>
      <c r="T142" s="236">
        <f>IFERROR(__xludf.DUMMYFUNCTION("""COMPUTED_VALUE"""),344.0)</f>
        <v>344</v>
      </c>
      <c r="U142" s="236">
        <f>IFERROR(__xludf.DUMMYFUNCTION("""COMPUTED_VALUE"""),71.0)</f>
        <v>71</v>
      </c>
      <c r="V142" s="236">
        <f>IFERROR(__xludf.DUMMYFUNCTION("""COMPUTED_VALUE"""),70.0)</f>
        <v>70</v>
      </c>
      <c r="W142" s="236">
        <f>IFERROR(__xludf.DUMMYFUNCTION("""COMPUTED_VALUE"""),9.0)</f>
        <v>9</v>
      </c>
      <c r="X142" s="236">
        <f>IFERROR(__xludf.DUMMYFUNCTION("""COMPUTED_VALUE"""),5.0)</f>
        <v>5</v>
      </c>
      <c r="Y142" s="236">
        <f>IFERROR(__xludf.DUMMYFUNCTION("""COMPUTED_VALUE"""),3.0)</f>
        <v>3</v>
      </c>
      <c r="Z142" s="236">
        <f>IFERROR(__xludf.DUMMYFUNCTION("""COMPUTED_VALUE"""),1094.0)</f>
        <v>1094</v>
      </c>
    </row>
    <row r="143">
      <c r="A143" s="235">
        <f>IFERROR(__xludf.DUMMYFUNCTION("""COMPUTED_VALUE"""),44087.0)</f>
        <v>44087</v>
      </c>
      <c r="B143" s="236">
        <f>IFERROR(__xludf.DUMMYFUNCTION("""COMPUTED_VALUE"""),58.0)</f>
        <v>58</v>
      </c>
      <c r="C143" s="236">
        <f>IFERROR(__xludf.DUMMYFUNCTION("""COMPUTED_VALUE"""),96.0)</f>
        <v>96</v>
      </c>
      <c r="D143" s="236">
        <f>IFERROR(__xludf.DUMMYFUNCTION("""COMPUTED_VALUE"""),32735.0)</f>
        <v>32735</v>
      </c>
      <c r="E143" s="236">
        <f>IFERROR(__xludf.DUMMYFUNCTION("""COMPUTED_VALUE"""),2716.0)</f>
        <v>2716</v>
      </c>
      <c r="F143" s="172">
        <f>IFERROR(__xludf.DUMMYFUNCTION("""COMPUTED_VALUE"""),601016.0)</f>
        <v>601016</v>
      </c>
      <c r="G143" s="172">
        <f>IFERROR(__xludf.DUMMYFUNCTION("""COMPUTED_VALUE"""),2774.0)</f>
        <v>2774</v>
      </c>
      <c r="H143" s="172">
        <f>IFERROR(__xludf.DUMMYFUNCTION("""COMPUTED_VALUE"""),633751.0)</f>
        <v>633751</v>
      </c>
      <c r="I143" s="236">
        <f>IFERROR(__xludf.DUMMYFUNCTION("""COMPUTED_VALUE"""),54.0)</f>
        <v>54</v>
      </c>
      <c r="J143" s="236">
        <f>IFERROR(__xludf.DUMMYFUNCTION("""COMPUTED_VALUE"""),83.0)</f>
        <v>83</v>
      </c>
      <c r="K143" s="236">
        <f>IFERROR(__xludf.DUMMYFUNCTION("""COMPUTED_VALUE"""),22949.0)</f>
        <v>22949</v>
      </c>
      <c r="L143" s="236">
        <f>IFERROR(__xludf.DUMMYFUNCTION("""COMPUTED_VALUE"""),861.0)</f>
        <v>861</v>
      </c>
      <c r="M143" s="236">
        <f>IFERROR(__xludf.DUMMYFUNCTION("""COMPUTED_VALUE"""),281244.0)</f>
        <v>281244</v>
      </c>
      <c r="N143" s="236">
        <f>IFERROR(__xludf.DUMMYFUNCTION("""COMPUTED_VALUE"""),304193.0)</f>
        <v>304193</v>
      </c>
      <c r="O143" s="236">
        <f>IFERROR(__xludf.DUMMYFUNCTION("""COMPUTED_VALUE"""),4.0)</f>
        <v>4</v>
      </c>
      <c r="P143" s="236">
        <f>IFERROR(__xludf.DUMMYFUNCTION("""COMPUTED_VALUE"""),2646.0)</f>
        <v>2646</v>
      </c>
      <c r="Q143" s="236">
        <f>IFERROR(__xludf.DUMMYFUNCTION("""COMPUTED_VALUE"""),3.0)</f>
        <v>3</v>
      </c>
      <c r="R143" s="236">
        <f>IFERROR(__xludf.DUMMYFUNCTION("""COMPUTED_VALUE"""),2230.0)</f>
        <v>2230</v>
      </c>
      <c r="S143" s="236">
        <f>IFERROR(__xludf.DUMMYFUNCTION("""COMPUTED_VALUE"""),0.0)</f>
        <v>0</v>
      </c>
      <c r="T143" s="236">
        <f>IFERROR(__xludf.DUMMYFUNCTION("""COMPUTED_VALUE"""),344.0)</f>
        <v>344</v>
      </c>
      <c r="U143" s="236">
        <f>IFERROR(__xludf.DUMMYFUNCTION("""COMPUTED_VALUE"""),72.0)</f>
        <v>72</v>
      </c>
      <c r="V143" s="236">
        <f>IFERROR(__xludf.DUMMYFUNCTION("""COMPUTED_VALUE"""),71.0)</f>
        <v>71</v>
      </c>
      <c r="W143" s="236">
        <f>IFERROR(__xludf.DUMMYFUNCTION("""COMPUTED_VALUE"""),10.0)</f>
        <v>10</v>
      </c>
      <c r="X143" s="236">
        <f>IFERROR(__xludf.DUMMYFUNCTION("""COMPUTED_VALUE"""),5.0)</f>
        <v>5</v>
      </c>
      <c r="Y143" s="236">
        <f>IFERROR(__xludf.DUMMYFUNCTION("""COMPUTED_VALUE"""),0.0)</f>
        <v>0</v>
      </c>
      <c r="Z143" s="236">
        <f>IFERROR(__xludf.DUMMYFUNCTION("""COMPUTED_VALUE"""),1094.0)</f>
        <v>1094</v>
      </c>
    </row>
    <row r="144">
      <c r="A144" s="235">
        <f>IFERROR(__xludf.DUMMYFUNCTION("""COMPUTED_VALUE"""),44088.0)</f>
        <v>44088</v>
      </c>
      <c r="B144" s="236">
        <f>IFERROR(__xludf.DUMMYFUNCTION("""COMPUTED_VALUE"""),104.0)</f>
        <v>104</v>
      </c>
      <c r="C144" s="236">
        <f>IFERROR(__xludf.DUMMYFUNCTION("""COMPUTED_VALUE"""),91.0)</f>
        <v>91</v>
      </c>
      <c r="D144" s="236">
        <f>IFERROR(__xludf.DUMMYFUNCTION("""COMPUTED_VALUE"""),32839.0)</f>
        <v>32839</v>
      </c>
      <c r="E144" s="236">
        <f>IFERROR(__xludf.DUMMYFUNCTION("""COMPUTED_VALUE"""),6446.0)</f>
        <v>6446</v>
      </c>
      <c r="F144" s="172">
        <f>IFERROR(__xludf.DUMMYFUNCTION("""COMPUTED_VALUE"""),607462.0)</f>
        <v>607462</v>
      </c>
      <c r="G144" s="172">
        <f>IFERROR(__xludf.DUMMYFUNCTION("""COMPUTED_VALUE"""),6550.0)</f>
        <v>6550</v>
      </c>
      <c r="H144" s="172">
        <f>IFERROR(__xludf.DUMMYFUNCTION("""COMPUTED_VALUE"""),640301.0)</f>
        <v>640301</v>
      </c>
      <c r="I144" s="236">
        <f>IFERROR(__xludf.DUMMYFUNCTION("""COMPUTED_VALUE"""),95.0)</f>
        <v>95</v>
      </c>
      <c r="J144" s="236">
        <f>IFERROR(__xludf.DUMMYFUNCTION("""COMPUTED_VALUE"""),82.0)</f>
        <v>82</v>
      </c>
      <c r="K144" s="236">
        <f>IFERROR(__xludf.DUMMYFUNCTION("""COMPUTED_VALUE"""),23044.0)</f>
        <v>23044</v>
      </c>
      <c r="L144" s="236">
        <f>IFERROR(__xludf.DUMMYFUNCTION("""COMPUTED_VALUE"""),1728.0)</f>
        <v>1728</v>
      </c>
      <c r="M144" s="236">
        <f>IFERROR(__xludf.DUMMYFUNCTION("""COMPUTED_VALUE"""),282972.0)</f>
        <v>282972</v>
      </c>
      <c r="N144" s="236">
        <f>IFERROR(__xludf.DUMMYFUNCTION("""COMPUTED_VALUE"""),306016.0)</f>
        <v>306016</v>
      </c>
      <c r="O144" s="236">
        <f>IFERROR(__xludf.DUMMYFUNCTION("""COMPUTED_VALUE"""),6.0)</f>
        <v>6</v>
      </c>
      <c r="P144" s="236">
        <f>IFERROR(__xludf.DUMMYFUNCTION("""COMPUTED_VALUE"""),2652.0)</f>
        <v>2652</v>
      </c>
      <c r="Q144" s="236">
        <f>IFERROR(__xludf.DUMMYFUNCTION("""COMPUTED_VALUE"""),3.0)</f>
        <v>3</v>
      </c>
      <c r="R144" s="236">
        <f>IFERROR(__xludf.DUMMYFUNCTION("""COMPUTED_VALUE"""),2233.0)</f>
        <v>2233</v>
      </c>
      <c r="S144" s="236">
        <f>IFERROR(__xludf.DUMMYFUNCTION("""COMPUTED_VALUE"""),2.0)</f>
        <v>2</v>
      </c>
      <c r="T144" s="236">
        <f>IFERROR(__xludf.DUMMYFUNCTION("""COMPUTED_VALUE"""),346.0)</f>
        <v>346</v>
      </c>
      <c r="U144" s="236">
        <f>IFERROR(__xludf.DUMMYFUNCTION("""COMPUTED_VALUE"""),73.0)</f>
        <v>73</v>
      </c>
      <c r="V144" s="236">
        <f>IFERROR(__xludf.DUMMYFUNCTION("""COMPUTED_VALUE"""),72.0)</f>
        <v>72</v>
      </c>
      <c r="W144" s="236">
        <f>IFERROR(__xludf.DUMMYFUNCTION("""COMPUTED_VALUE"""),10.0)</f>
        <v>10</v>
      </c>
      <c r="X144" s="236">
        <f>IFERROR(__xludf.DUMMYFUNCTION("""COMPUTED_VALUE"""),5.0)</f>
        <v>5</v>
      </c>
      <c r="Y144" s="236">
        <f>IFERROR(__xludf.DUMMYFUNCTION("""COMPUTED_VALUE"""),2.0)</f>
        <v>2</v>
      </c>
      <c r="Z144" s="236">
        <f>IFERROR(__xludf.DUMMYFUNCTION("""COMPUTED_VALUE"""),1096.0)</f>
        <v>1096</v>
      </c>
    </row>
    <row r="145">
      <c r="A145" s="235">
        <f>IFERROR(__xludf.DUMMYFUNCTION("""COMPUTED_VALUE"""),44089.0)</f>
        <v>44089</v>
      </c>
      <c r="B145" s="236">
        <f>IFERROR(__xludf.DUMMYFUNCTION("""COMPUTED_VALUE"""),122.0)</f>
        <v>122</v>
      </c>
      <c r="C145" s="236">
        <f>IFERROR(__xludf.DUMMYFUNCTION("""COMPUTED_VALUE"""),95.0)</f>
        <v>95</v>
      </c>
      <c r="D145" s="236">
        <f>IFERROR(__xludf.DUMMYFUNCTION("""COMPUTED_VALUE"""),32961.0)</f>
        <v>32961</v>
      </c>
      <c r="E145" s="236">
        <f>IFERROR(__xludf.DUMMYFUNCTION("""COMPUTED_VALUE"""),8466.0)</f>
        <v>8466</v>
      </c>
      <c r="F145" s="172">
        <f>IFERROR(__xludf.DUMMYFUNCTION("""COMPUTED_VALUE"""),615928.0)</f>
        <v>615928</v>
      </c>
      <c r="G145" s="172">
        <f>IFERROR(__xludf.DUMMYFUNCTION("""COMPUTED_VALUE"""),8588.0)</f>
        <v>8588</v>
      </c>
      <c r="H145" s="172">
        <f>IFERROR(__xludf.DUMMYFUNCTION("""COMPUTED_VALUE"""),648889.0)</f>
        <v>648889</v>
      </c>
      <c r="I145" s="236">
        <f>IFERROR(__xludf.DUMMYFUNCTION("""COMPUTED_VALUE"""),124.0)</f>
        <v>124</v>
      </c>
      <c r="J145" s="236">
        <f>IFERROR(__xludf.DUMMYFUNCTION("""COMPUTED_VALUE"""),91.0)</f>
        <v>91</v>
      </c>
      <c r="K145" s="236">
        <f>IFERROR(__xludf.DUMMYFUNCTION("""COMPUTED_VALUE"""),23168.0)</f>
        <v>23168</v>
      </c>
      <c r="L145" s="236">
        <f>IFERROR(__xludf.DUMMYFUNCTION("""COMPUTED_VALUE"""),2188.0)</f>
        <v>2188</v>
      </c>
      <c r="M145" s="236">
        <f>IFERROR(__xludf.DUMMYFUNCTION("""COMPUTED_VALUE"""),285160.0)</f>
        <v>285160</v>
      </c>
      <c r="N145" s="236">
        <f>IFERROR(__xludf.DUMMYFUNCTION("""COMPUTED_VALUE"""),308328.0)</f>
        <v>308328</v>
      </c>
      <c r="O145" s="236">
        <f>IFERROR(__xludf.DUMMYFUNCTION("""COMPUTED_VALUE"""),7.0)</f>
        <v>7</v>
      </c>
      <c r="P145" s="236">
        <f>IFERROR(__xludf.DUMMYFUNCTION("""COMPUTED_VALUE"""),2659.0)</f>
        <v>2659</v>
      </c>
      <c r="Q145" s="236">
        <f>IFERROR(__xludf.DUMMYFUNCTION("""COMPUTED_VALUE"""),2.0)</f>
        <v>2</v>
      </c>
      <c r="R145" s="236">
        <f>IFERROR(__xludf.DUMMYFUNCTION("""COMPUTED_VALUE"""),2235.0)</f>
        <v>2235</v>
      </c>
      <c r="S145" s="236">
        <f>IFERROR(__xludf.DUMMYFUNCTION("""COMPUTED_VALUE"""),1.0)</f>
        <v>1</v>
      </c>
      <c r="T145" s="236">
        <f>IFERROR(__xludf.DUMMYFUNCTION("""COMPUTED_VALUE"""),347.0)</f>
        <v>347</v>
      </c>
      <c r="U145" s="236">
        <f>IFERROR(__xludf.DUMMYFUNCTION("""COMPUTED_VALUE"""),77.0)</f>
        <v>77</v>
      </c>
      <c r="V145" s="236">
        <f>IFERROR(__xludf.DUMMYFUNCTION("""COMPUTED_VALUE"""),74.0)</f>
        <v>74</v>
      </c>
      <c r="W145" s="236">
        <f>IFERROR(__xludf.DUMMYFUNCTION("""COMPUTED_VALUE"""),10.0)</f>
        <v>10</v>
      </c>
      <c r="X145" s="236">
        <f>IFERROR(__xludf.DUMMYFUNCTION("""COMPUTED_VALUE"""),5.0)</f>
        <v>5</v>
      </c>
      <c r="Y145" s="236">
        <f>IFERROR(__xludf.DUMMYFUNCTION("""COMPUTED_VALUE"""),2.0)</f>
        <v>2</v>
      </c>
      <c r="Z145" s="236">
        <f>IFERROR(__xludf.DUMMYFUNCTION("""COMPUTED_VALUE"""),1098.0)</f>
        <v>1098</v>
      </c>
    </row>
    <row r="146">
      <c r="A146" s="235">
        <f>IFERROR(__xludf.DUMMYFUNCTION("""COMPUTED_VALUE"""),44090.0)</f>
        <v>44090</v>
      </c>
      <c r="B146" s="236">
        <f>IFERROR(__xludf.DUMMYFUNCTION("""COMPUTED_VALUE"""),137.0)</f>
        <v>137</v>
      </c>
      <c r="C146" s="236">
        <f>IFERROR(__xludf.DUMMYFUNCTION("""COMPUTED_VALUE"""),121.0)</f>
        <v>121</v>
      </c>
      <c r="D146" s="236">
        <f>IFERROR(__xludf.DUMMYFUNCTION("""COMPUTED_VALUE"""),33098.0)</f>
        <v>33098</v>
      </c>
      <c r="E146" s="236">
        <f>IFERROR(__xludf.DUMMYFUNCTION("""COMPUTED_VALUE"""),9715.0)</f>
        <v>9715</v>
      </c>
      <c r="F146" s="172">
        <f>IFERROR(__xludf.DUMMYFUNCTION("""COMPUTED_VALUE"""),625643.0)</f>
        <v>625643</v>
      </c>
      <c r="G146" s="172">
        <f>IFERROR(__xludf.DUMMYFUNCTION("""COMPUTED_VALUE"""),9852.0)</f>
        <v>9852</v>
      </c>
      <c r="H146" s="172">
        <f>IFERROR(__xludf.DUMMYFUNCTION("""COMPUTED_VALUE"""),658741.0)</f>
        <v>658741</v>
      </c>
      <c r="I146" s="236">
        <f>IFERROR(__xludf.DUMMYFUNCTION("""COMPUTED_VALUE"""),118.0)</f>
        <v>118</v>
      </c>
      <c r="J146" s="236">
        <f>IFERROR(__xludf.DUMMYFUNCTION("""COMPUTED_VALUE"""),112.0)</f>
        <v>112</v>
      </c>
      <c r="K146" s="236">
        <f>IFERROR(__xludf.DUMMYFUNCTION("""COMPUTED_VALUE"""),23286.0)</f>
        <v>23286</v>
      </c>
      <c r="L146" s="236">
        <f>IFERROR(__xludf.DUMMYFUNCTION("""COMPUTED_VALUE"""),1965.0)</f>
        <v>1965</v>
      </c>
      <c r="M146" s="236">
        <f>IFERROR(__xludf.DUMMYFUNCTION("""COMPUTED_VALUE"""),287125.0)</f>
        <v>287125</v>
      </c>
      <c r="N146" s="236">
        <f>IFERROR(__xludf.DUMMYFUNCTION("""COMPUTED_VALUE"""),310411.0)</f>
        <v>310411</v>
      </c>
      <c r="O146" s="236">
        <f>IFERROR(__xludf.DUMMYFUNCTION("""COMPUTED_VALUE"""),7.0)</f>
        <v>7</v>
      </c>
      <c r="P146" s="236">
        <f>IFERROR(__xludf.DUMMYFUNCTION("""COMPUTED_VALUE"""),2666.0)</f>
        <v>2666</v>
      </c>
      <c r="Q146" s="236">
        <f>IFERROR(__xludf.DUMMYFUNCTION("""COMPUTED_VALUE"""),7.0)</f>
        <v>7</v>
      </c>
      <c r="R146" s="236">
        <f>IFERROR(__xludf.DUMMYFUNCTION("""COMPUTED_VALUE"""),2242.0)</f>
        <v>2242</v>
      </c>
      <c r="S146" s="236">
        <f>IFERROR(__xludf.DUMMYFUNCTION("""COMPUTED_VALUE"""),2.0)</f>
        <v>2</v>
      </c>
      <c r="T146" s="236">
        <f>IFERROR(__xludf.DUMMYFUNCTION("""COMPUTED_VALUE"""),349.0)</f>
        <v>349</v>
      </c>
      <c r="U146" s="236">
        <f>IFERROR(__xludf.DUMMYFUNCTION("""COMPUTED_VALUE"""),75.0)</f>
        <v>75</v>
      </c>
      <c r="V146" s="236">
        <f>IFERROR(__xludf.DUMMYFUNCTION("""COMPUTED_VALUE"""),75.0)</f>
        <v>75</v>
      </c>
      <c r="W146" s="236">
        <f>IFERROR(__xludf.DUMMYFUNCTION("""COMPUTED_VALUE"""),9.0)</f>
        <v>9</v>
      </c>
      <c r="X146" s="236">
        <f>IFERROR(__xludf.DUMMYFUNCTION("""COMPUTED_VALUE"""),6.0)</f>
        <v>6</v>
      </c>
      <c r="Y146" s="236">
        <f>IFERROR(__xludf.DUMMYFUNCTION("""COMPUTED_VALUE"""),5.0)</f>
        <v>5</v>
      </c>
      <c r="Z146" s="236">
        <f>IFERROR(__xludf.DUMMYFUNCTION("""COMPUTED_VALUE"""),1103.0)</f>
        <v>1103</v>
      </c>
    </row>
    <row r="147">
      <c r="A147" s="235">
        <f>IFERROR(__xludf.DUMMYFUNCTION("""COMPUTED_VALUE"""),44091.0)</f>
        <v>44091</v>
      </c>
      <c r="B147" s="236">
        <f>IFERROR(__xludf.DUMMYFUNCTION("""COMPUTED_VALUE"""),125.0)</f>
        <v>125</v>
      </c>
      <c r="C147" s="236">
        <f>IFERROR(__xludf.DUMMYFUNCTION("""COMPUTED_VALUE"""),128.0)</f>
        <v>128</v>
      </c>
      <c r="D147" s="236">
        <f>IFERROR(__xludf.DUMMYFUNCTION("""COMPUTED_VALUE"""),33223.0)</f>
        <v>33223</v>
      </c>
      <c r="E147" s="236">
        <f>IFERROR(__xludf.DUMMYFUNCTION("""COMPUTED_VALUE"""),9239.0)</f>
        <v>9239</v>
      </c>
      <c r="F147" s="172">
        <f>IFERROR(__xludf.DUMMYFUNCTION("""COMPUTED_VALUE"""),634882.0)</f>
        <v>634882</v>
      </c>
      <c r="G147" s="172">
        <f>IFERROR(__xludf.DUMMYFUNCTION("""COMPUTED_VALUE"""),9364.0)</f>
        <v>9364</v>
      </c>
      <c r="H147" s="172">
        <f>IFERROR(__xludf.DUMMYFUNCTION("""COMPUTED_VALUE"""),668105.0)</f>
        <v>668105</v>
      </c>
      <c r="I147" s="236">
        <f>IFERROR(__xludf.DUMMYFUNCTION("""COMPUTED_VALUE"""),154.0)</f>
        <v>154</v>
      </c>
      <c r="J147" s="236">
        <f>IFERROR(__xludf.DUMMYFUNCTION("""COMPUTED_VALUE"""),132.0)</f>
        <v>132</v>
      </c>
      <c r="K147" s="236">
        <f>IFERROR(__xludf.DUMMYFUNCTION("""COMPUTED_VALUE"""),23440.0)</f>
        <v>23440</v>
      </c>
      <c r="L147" s="236">
        <f>IFERROR(__xludf.DUMMYFUNCTION("""COMPUTED_VALUE"""),1942.0)</f>
        <v>1942</v>
      </c>
      <c r="M147" s="236">
        <f>IFERROR(__xludf.DUMMYFUNCTION("""COMPUTED_VALUE"""),289067.0)</f>
        <v>289067</v>
      </c>
      <c r="N147" s="236">
        <f>IFERROR(__xludf.DUMMYFUNCTION("""COMPUTED_VALUE"""),312507.0)</f>
        <v>312507</v>
      </c>
      <c r="O147" s="236">
        <f>IFERROR(__xludf.DUMMYFUNCTION("""COMPUTED_VALUE"""),7.0)</f>
        <v>7</v>
      </c>
      <c r="P147" s="236">
        <f>IFERROR(__xludf.DUMMYFUNCTION("""COMPUTED_VALUE"""),2673.0)</f>
        <v>2673</v>
      </c>
      <c r="Q147" s="236">
        <f>IFERROR(__xludf.DUMMYFUNCTION("""COMPUTED_VALUE"""),15.0)</f>
        <v>15</v>
      </c>
      <c r="R147" s="236">
        <f>IFERROR(__xludf.DUMMYFUNCTION("""COMPUTED_VALUE"""),2257.0)</f>
        <v>2257</v>
      </c>
      <c r="S147" s="236">
        <f>IFERROR(__xludf.DUMMYFUNCTION("""COMPUTED_VALUE"""),0.0)</f>
        <v>0</v>
      </c>
      <c r="T147" s="236">
        <f>IFERROR(__xludf.DUMMYFUNCTION("""COMPUTED_VALUE"""),349.0)</f>
        <v>349</v>
      </c>
      <c r="U147" s="236">
        <f>IFERROR(__xludf.DUMMYFUNCTION("""COMPUTED_VALUE"""),67.0)</f>
        <v>67</v>
      </c>
      <c r="V147" s="236">
        <f>IFERROR(__xludf.DUMMYFUNCTION("""COMPUTED_VALUE"""),73.0)</f>
        <v>73</v>
      </c>
      <c r="W147" s="236">
        <f>IFERROR(__xludf.DUMMYFUNCTION("""COMPUTED_VALUE"""),8.0)</f>
        <v>8</v>
      </c>
      <c r="X147" s="236">
        <f>IFERROR(__xludf.DUMMYFUNCTION("""COMPUTED_VALUE"""),4.0)</f>
        <v>4</v>
      </c>
      <c r="Y147" s="236">
        <f>IFERROR(__xludf.DUMMYFUNCTION("""COMPUTED_VALUE"""),0.0)</f>
        <v>0</v>
      </c>
      <c r="Z147" s="236">
        <f>IFERROR(__xludf.DUMMYFUNCTION("""COMPUTED_VALUE"""),1103.0)</f>
        <v>1103</v>
      </c>
    </row>
    <row r="148">
      <c r="A148" s="235">
        <f>IFERROR(__xludf.DUMMYFUNCTION("""COMPUTED_VALUE"""),44092.0)</f>
        <v>44092</v>
      </c>
      <c r="B148" s="236">
        <f>IFERROR(__xludf.DUMMYFUNCTION("""COMPUTED_VALUE"""),132.0)</f>
        <v>132</v>
      </c>
      <c r="C148" s="236">
        <f>IFERROR(__xludf.DUMMYFUNCTION("""COMPUTED_VALUE"""),131.0)</f>
        <v>131</v>
      </c>
      <c r="D148" s="236">
        <f>IFERROR(__xludf.DUMMYFUNCTION("""COMPUTED_VALUE"""),33355.0)</f>
        <v>33355</v>
      </c>
      <c r="E148" s="236">
        <f>IFERROR(__xludf.DUMMYFUNCTION("""COMPUTED_VALUE"""),10045.0)</f>
        <v>10045</v>
      </c>
      <c r="F148" s="172">
        <f>IFERROR(__xludf.DUMMYFUNCTION("""COMPUTED_VALUE"""),644927.0)</f>
        <v>644927</v>
      </c>
      <c r="G148" s="172">
        <f>IFERROR(__xludf.DUMMYFUNCTION("""COMPUTED_VALUE"""),10177.0)</f>
        <v>10177</v>
      </c>
      <c r="H148" s="172">
        <f>IFERROR(__xludf.DUMMYFUNCTION("""COMPUTED_VALUE"""),678282.0)</f>
        <v>678282</v>
      </c>
      <c r="I148" s="236">
        <f>IFERROR(__xludf.DUMMYFUNCTION("""COMPUTED_VALUE"""),132.0)</f>
        <v>132</v>
      </c>
      <c r="J148" s="236">
        <f>IFERROR(__xludf.DUMMYFUNCTION("""COMPUTED_VALUE"""),135.0)</f>
        <v>135</v>
      </c>
      <c r="K148" s="236">
        <f>IFERROR(__xludf.DUMMYFUNCTION("""COMPUTED_VALUE"""),23572.0)</f>
        <v>23572</v>
      </c>
      <c r="L148" s="236">
        <f>IFERROR(__xludf.DUMMYFUNCTION("""COMPUTED_VALUE"""),1922.0)</f>
        <v>1922</v>
      </c>
      <c r="M148" s="236">
        <f>IFERROR(__xludf.DUMMYFUNCTION("""COMPUTED_VALUE"""),290989.0)</f>
        <v>290989</v>
      </c>
      <c r="N148" s="236">
        <f>IFERROR(__xludf.DUMMYFUNCTION("""COMPUTED_VALUE"""),314561.0)</f>
        <v>314561</v>
      </c>
      <c r="O148" s="236">
        <f>IFERROR(__xludf.DUMMYFUNCTION("""COMPUTED_VALUE"""),7.0)</f>
        <v>7</v>
      </c>
      <c r="P148" s="236">
        <f>IFERROR(__xludf.DUMMYFUNCTION("""COMPUTED_VALUE"""),2680.0)</f>
        <v>2680</v>
      </c>
      <c r="Q148" s="236">
        <f>IFERROR(__xludf.DUMMYFUNCTION("""COMPUTED_VALUE"""),7.0)</f>
        <v>7</v>
      </c>
      <c r="R148" s="236">
        <f>IFERROR(__xludf.DUMMYFUNCTION("""COMPUTED_VALUE"""),2264.0)</f>
        <v>2264</v>
      </c>
      <c r="S148" s="236">
        <f>IFERROR(__xludf.DUMMYFUNCTION("""COMPUTED_VALUE"""),1.0)</f>
        <v>1</v>
      </c>
      <c r="T148" s="236">
        <f>IFERROR(__xludf.DUMMYFUNCTION("""COMPUTED_VALUE"""),350.0)</f>
        <v>350</v>
      </c>
      <c r="U148" s="236">
        <f>IFERROR(__xludf.DUMMYFUNCTION("""COMPUTED_VALUE"""),66.0)</f>
        <v>66</v>
      </c>
      <c r="V148" s="236">
        <f>IFERROR(__xludf.DUMMYFUNCTION("""COMPUTED_VALUE"""),69.0)</f>
        <v>69</v>
      </c>
      <c r="W148" s="236">
        <f>IFERROR(__xludf.DUMMYFUNCTION("""COMPUTED_VALUE"""),11.0)</f>
        <v>11</v>
      </c>
      <c r="X148" s="236">
        <f>IFERROR(__xludf.DUMMYFUNCTION("""COMPUTED_VALUE"""),6.0)</f>
        <v>6</v>
      </c>
      <c r="Y148" s="236">
        <f>IFERROR(__xludf.DUMMYFUNCTION("""COMPUTED_VALUE"""),2.0)</f>
        <v>2</v>
      </c>
      <c r="Z148" s="236">
        <f>IFERROR(__xludf.DUMMYFUNCTION("""COMPUTED_VALUE"""),1105.0)</f>
        <v>1105</v>
      </c>
    </row>
    <row r="149">
      <c r="A149" s="235">
        <f>IFERROR(__xludf.DUMMYFUNCTION("""COMPUTED_VALUE"""),44093.0)</f>
        <v>44093</v>
      </c>
      <c r="B149" s="236">
        <f>IFERROR(__xludf.DUMMYFUNCTION("""COMPUTED_VALUE"""),115.0)</f>
        <v>115</v>
      </c>
      <c r="C149" s="236">
        <f>IFERROR(__xludf.DUMMYFUNCTION("""COMPUTED_VALUE"""),124.0)</f>
        <v>124</v>
      </c>
      <c r="D149" s="236">
        <f>IFERROR(__xludf.DUMMYFUNCTION("""COMPUTED_VALUE"""),33470.0)</f>
        <v>33470</v>
      </c>
      <c r="E149" s="236">
        <f>IFERROR(__xludf.DUMMYFUNCTION("""COMPUTED_VALUE"""),8297.0)</f>
        <v>8297</v>
      </c>
      <c r="F149" s="172">
        <f>IFERROR(__xludf.DUMMYFUNCTION("""COMPUTED_VALUE"""),653224.0)</f>
        <v>653224</v>
      </c>
      <c r="G149" s="172">
        <f>IFERROR(__xludf.DUMMYFUNCTION("""COMPUTED_VALUE"""),8412.0)</f>
        <v>8412</v>
      </c>
      <c r="H149" s="172">
        <f>IFERROR(__xludf.DUMMYFUNCTION("""COMPUTED_VALUE"""),686694.0)</f>
        <v>686694</v>
      </c>
      <c r="I149" s="236">
        <f>IFERROR(__xludf.DUMMYFUNCTION("""COMPUTED_VALUE"""),112.0)</f>
        <v>112</v>
      </c>
      <c r="J149" s="236">
        <f>IFERROR(__xludf.DUMMYFUNCTION("""COMPUTED_VALUE"""),133.0)</f>
        <v>133</v>
      </c>
      <c r="K149" s="236">
        <f>IFERROR(__xludf.DUMMYFUNCTION("""COMPUTED_VALUE"""),23684.0)</f>
        <v>23684</v>
      </c>
      <c r="L149" s="236">
        <f>IFERROR(__xludf.DUMMYFUNCTION("""COMPUTED_VALUE"""),1688.0)</f>
        <v>1688</v>
      </c>
      <c r="M149" s="236">
        <f>IFERROR(__xludf.DUMMYFUNCTION("""COMPUTED_VALUE"""),292677.0)</f>
        <v>292677</v>
      </c>
      <c r="N149" s="236">
        <f>IFERROR(__xludf.DUMMYFUNCTION("""COMPUTED_VALUE"""),316361.0)</f>
        <v>316361</v>
      </c>
      <c r="O149" s="236">
        <f>IFERROR(__xludf.DUMMYFUNCTION("""COMPUTED_VALUE"""),7.0)</f>
        <v>7</v>
      </c>
      <c r="P149" s="236">
        <f>IFERROR(__xludf.DUMMYFUNCTION("""COMPUTED_VALUE"""),2687.0)</f>
        <v>2687</v>
      </c>
      <c r="Q149" s="236">
        <f>IFERROR(__xludf.DUMMYFUNCTION("""COMPUTED_VALUE"""),3.0)</f>
        <v>3</v>
      </c>
      <c r="R149" s="236">
        <f>IFERROR(__xludf.DUMMYFUNCTION("""COMPUTED_VALUE"""),2267.0)</f>
        <v>2267</v>
      </c>
      <c r="S149" s="236">
        <f>IFERROR(__xludf.DUMMYFUNCTION("""COMPUTED_VALUE"""),0.0)</f>
        <v>0</v>
      </c>
      <c r="T149" s="236">
        <f>IFERROR(__xludf.DUMMYFUNCTION("""COMPUTED_VALUE"""),350.0)</f>
        <v>350</v>
      </c>
      <c r="U149" s="236">
        <f>IFERROR(__xludf.DUMMYFUNCTION("""COMPUTED_VALUE"""),70.0)</f>
        <v>70</v>
      </c>
      <c r="V149" s="236">
        <f>IFERROR(__xludf.DUMMYFUNCTION("""COMPUTED_VALUE"""),68.0)</f>
        <v>68</v>
      </c>
      <c r="W149" s="236">
        <f>IFERROR(__xludf.DUMMYFUNCTION("""COMPUTED_VALUE"""),10.0)</f>
        <v>10</v>
      </c>
      <c r="X149" s="236">
        <f>IFERROR(__xludf.DUMMYFUNCTION("""COMPUTED_VALUE"""),6.0)</f>
        <v>6</v>
      </c>
      <c r="Y149" s="236">
        <f>IFERROR(__xludf.DUMMYFUNCTION("""COMPUTED_VALUE"""),4.0)</f>
        <v>4</v>
      </c>
      <c r="Z149" s="236">
        <f>IFERROR(__xludf.DUMMYFUNCTION("""COMPUTED_VALUE"""),1109.0)</f>
        <v>1109</v>
      </c>
    </row>
    <row r="150">
      <c r="A150" s="235">
        <f>IFERROR(__xludf.DUMMYFUNCTION("""COMPUTED_VALUE"""),44094.0)</f>
        <v>44094</v>
      </c>
      <c r="B150" s="236">
        <f>IFERROR(__xludf.DUMMYFUNCTION("""COMPUTED_VALUE"""),60.0)</f>
        <v>60</v>
      </c>
      <c r="C150" s="236">
        <f>IFERROR(__xludf.DUMMYFUNCTION("""COMPUTED_VALUE"""),102.0)</f>
        <v>102</v>
      </c>
      <c r="D150" s="236">
        <f>IFERROR(__xludf.DUMMYFUNCTION("""COMPUTED_VALUE"""),33530.0)</f>
        <v>33530</v>
      </c>
      <c r="E150" s="236">
        <f>IFERROR(__xludf.DUMMYFUNCTION("""COMPUTED_VALUE"""),3676.0)</f>
        <v>3676</v>
      </c>
      <c r="F150" s="172">
        <f>IFERROR(__xludf.DUMMYFUNCTION("""COMPUTED_VALUE"""),656900.0)</f>
        <v>656900</v>
      </c>
      <c r="G150" s="172">
        <f>IFERROR(__xludf.DUMMYFUNCTION("""COMPUTED_VALUE"""),3736.0)</f>
        <v>3736</v>
      </c>
      <c r="H150" s="172">
        <f>IFERROR(__xludf.DUMMYFUNCTION("""COMPUTED_VALUE"""),690430.0)</f>
        <v>690430</v>
      </c>
      <c r="I150" s="236">
        <f>IFERROR(__xludf.DUMMYFUNCTION("""COMPUTED_VALUE"""),49.0)</f>
        <v>49</v>
      </c>
      <c r="J150" s="236">
        <f>IFERROR(__xludf.DUMMYFUNCTION("""COMPUTED_VALUE"""),98.0)</f>
        <v>98</v>
      </c>
      <c r="K150" s="236">
        <f>IFERROR(__xludf.DUMMYFUNCTION("""COMPUTED_VALUE"""),23733.0)</f>
        <v>23733</v>
      </c>
      <c r="L150" s="236">
        <f>IFERROR(__xludf.DUMMYFUNCTION("""COMPUTED_VALUE"""),1322.0)</f>
        <v>1322</v>
      </c>
      <c r="M150" s="236">
        <f>IFERROR(__xludf.DUMMYFUNCTION("""COMPUTED_VALUE"""),293999.0)</f>
        <v>293999</v>
      </c>
      <c r="N150" s="236">
        <f>IFERROR(__xludf.DUMMYFUNCTION("""COMPUTED_VALUE"""),317732.0)</f>
        <v>317732</v>
      </c>
      <c r="O150" s="236">
        <f>IFERROR(__xludf.DUMMYFUNCTION("""COMPUTED_VALUE"""),7.0)</f>
        <v>7</v>
      </c>
      <c r="P150" s="236">
        <f>IFERROR(__xludf.DUMMYFUNCTION("""COMPUTED_VALUE"""),2694.0)</f>
        <v>2694</v>
      </c>
      <c r="Q150" s="236">
        <f>IFERROR(__xludf.DUMMYFUNCTION("""COMPUTED_VALUE"""),6.0)</f>
        <v>6</v>
      </c>
      <c r="R150" s="236">
        <f>IFERROR(__xludf.DUMMYFUNCTION("""COMPUTED_VALUE"""),2273.0)</f>
        <v>2273</v>
      </c>
      <c r="S150" s="236">
        <f>IFERROR(__xludf.DUMMYFUNCTION("""COMPUTED_VALUE"""),2.0)</f>
        <v>2</v>
      </c>
      <c r="T150" s="236">
        <f>IFERROR(__xludf.DUMMYFUNCTION("""COMPUTED_VALUE"""),352.0)</f>
        <v>352</v>
      </c>
      <c r="U150" s="236">
        <f>IFERROR(__xludf.DUMMYFUNCTION("""COMPUTED_VALUE"""),69.0)</f>
        <v>69</v>
      </c>
      <c r="V150" s="236">
        <f>IFERROR(__xludf.DUMMYFUNCTION("""COMPUTED_VALUE"""),68.0)</f>
        <v>68</v>
      </c>
      <c r="W150" s="236">
        <f>IFERROR(__xludf.DUMMYFUNCTION("""COMPUTED_VALUE"""),9.0)</f>
        <v>9</v>
      </c>
      <c r="X150" s="236">
        <f>IFERROR(__xludf.DUMMYFUNCTION("""COMPUTED_VALUE"""),8.0)</f>
        <v>8</v>
      </c>
      <c r="Y150" s="236">
        <f>IFERROR(__xludf.DUMMYFUNCTION("""COMPUTED_VALUE"""),4.0)</f>
        <v>4</v>
      </c>
      <c r="Z150" s="236">
        <f>IFERROR(__xludf.DUMMYFUNCTION("""COMPUTED_VALUE"""),1113.0)</f>
        <v>1113</v>
      </c>
    </row>
    <row r="151">
      <c r="A151" s="235">
        <f>IFERROR(__xludf.DUMMYFUNCTION("""COMPUTED_VALUE"""),44095.0)</f>
        <v>44095</v>
      </c>
      <c r="B151" s="236">
        <f>IFERROR(__xludf.DUMMYFUNCTION("""COMPUTED_VALUE"""),102.0)</f>
        <v>102</v>
      </c>
      <c r="C151" s="236">
        <f>IFERROR(__xludf.DUMMYFUNCTION("""COMPUTED_VALUE"""),92.0)</f>
        <v>92</v>
      </c>
      <c r="D151" s="236">
        <f>IFERROR(__xludf.DUMMYFUNCTION("""COMPUTED_VALUE"""),33632.0)</f>
        <v>33632</v>
      </c>
      <c r="E151" s="236">
        <f>IFERROR(__xludf.DUMMYFUNCTION("""COMPUTED_VALUE"""),7018.0)</f>
        <v>7018</v>
      </c>
      <c r="F151" s="172">
        <f>IFERROR(__xludf.DUMMYFUNCTION("""COMPUTED_VALUE"""),663918.0)</f>
        <v>663918</v>
      </c>
      <c r="G151" s="172">
        <f>IFERROR(__xludf.DUMMYFUNCTION("""COMPUTED_VALUE"""),7120.0)</f>
        <v>7120</v>
      </c>
      <c r="H151" s="172">
        <f>IFERROR(__xludf.DUMMYFUNCTION("""COMPUTED_VALUE"""),697550.0)</f>
        <v>697550</v>
      </c>
      <c r="I151" s="236">
        <f>IFERROR(__xludf.DUMMYFUNCTION("""COMPUTED_VALUE"""),94.0)</f>
        <v>94</v>
      </c>
      <c r="J151" s="236">
        <f>IFERROR(__xludf.DUMMYFUNCTION("""COMPUTED_VALUE"""),85.0)</f>
        <v>85</v>
      </c>
      <c r="K151" s="236">
        <f>IFERROR(__xludf.DUMMYFUNCTION("""COMPUTED_VALUE"""),23827.0)</f>
        <v>23827</v>
      </c>
      <c r="L151" s="236">
        <f>IFERROR(__xludf.DUMMYFUNCTION("""COMPUTED_VALUE"""),2401.0)</f>
        <v>2401</v>
      </c>
      <c r="M151" s="236">
        <f>IFERROR(__xludf.DUMMYFUNCTION("""COMPUTED_VALUE"""),296400.0)</f>
        <v>296400</v>
      </c>
      <c r="N151" s="236">
        <f>IFERROR(__xludf.DUMMYFUNCTION("""COMPUTED_VALUE"""),320227.0)</f>
        <v>320227</v>
      </c>
      <c r="O151" s="236">
        <f>IFERROR(__xludf.DUMMYFUNCTION("""COMPUTED_VALUE"""),12.0)</f>
        <v>12</v>
      </c>
      <c r="P151" s="236">
        <f>IFERROR(__xludf.DUMMYFUNCTION("""COMPUTED_VALUE"""),2706.0)</f>
        <v>2706</v>
      </c>
      <c r="Q151" s="236">
        <f>IFERROR(__xludf.DUMMYFUNCTION("""COMPUTED_VALUE"""),3.0)</f>
        <v>3</v>
      </c>
      <c r="R151" s="236">
        <f>IFERROR(__xludf.DUMMYFUNCTION("""COMPUTED_VALUE"""),2276.0)</f>
        <v>2276</v>
      </c>
      <c r="S151" s="236">
        <f>IFERROR(__xludf.DUMMYFUNCTION("""COMPUTED_VALUE"""),2.0)</f>
        <v>2</v>
      </c>
      <c r="T151" s="236">
        <f>IFERROR(__xludf.DUMMYFUNCTION("""COMPUTED_VALUE"""),354.0)</f>
        <v>354</v>
      </c>
      <c r="U151" s="236">
        <f>IFERROR(__xludf.DUMMYFUNCTION("""COMPUTED_VALUE"""),76.0)</f>
        <v>76</v>
      </c>
      <c r="V151" s="236">
        <f>IFERROR(__xludf.DUMMYFUNCTION("""COMPUTED_VALUE"""),72.0)</f>
        <v>72</v>
      </c>
      <c r="W151" s="236">
        <f>IFERROR(__xludf.DUMMYFUNCTION("""COMPUTED_VALUE"""),8.0)</f>
        <v>8</v>
      </c>
      <c r="X151" s="236">
        <f>IFERROR(__xludf.DUMMYFUNCTION("""COMPUTED_VALUE"""),6.0)</f>
        <v>6</v>
      </c>
      <c r="Y151" s="236">
        <f>IFERROR(__xludf.DUMMYFUNCTION("""COMPUTED_VALUE"""),2.0)</f>
        <v>2</v>
      </c>
      <c r="Z151" s="236">
        <f>IFERROR(__xludf.DUMMYFUNCTION("""COMPUTED_VALUE"""),1115.0)</f>
        <v>1115</v>
      </c>
    </row>
    <row r="152">
      <c r="A152" s="235">
        <f>IFERROR(__xludf.DUMMYFUNCTION("""COMPUTED_VALUE"""),44096.0)</f>
        <v>44096</v>
      </c>
      <c r="B152" s="236">
        <f>IFERROR(__xludf.DUMMYFUNCTION("""COMPUTED_VALUE"""),154.0)</f>
        <v>154</v>
      </c>
      <c r="C152" s="236">
        <f>IFERROR(__xludf.DUMMYFUNCTION("""COMPUTED_VALUE"""),105.0)</f>
        <v>105</v>
      </c>
      <c r="D152" s="236">
        <f>IFERROR(__xludf.DUMMYFUNCTION("""COMPUTED_VALUE"""),33786.0)</f>
        <v>33786</v>
      </c>
      <c r="E152" s="236">
        <f>IFERROR(__xludf.DUMMYFUNCTION("""COMPUTED_VALUE"""),9287.0)</f>
        <v>9287</v>
      </c>
      <c r="F152" s="172">
        <f>IFERROR(__xludf.DUMMYFUNCTION("""COMPUTED_VALUE"""),673205.0)</f>
        <v>673205</v>
      </c>
      <c r="G152" s="172">
        <f>IFERROR(__xludf.DUMMYFUNCTION("""COMPUTED_VALUE"""),9441.0)</f>
        <v>9441</v>
      </c>
      <c r="H152" s="172">
        <f>IFERROR(__xludf.DUMMYFUNCTION("""COMPUTED_VALUE"""),706991.0)</f>
        <v>706991</v>
      </c>
      <c r="I152" s="236">
        <f>IFERROR(__xludf.DUMMYFUNCTION("""COMPUTED_VALUE"""),123.0)</f>
        <v>123</v>
      </c>
      <c r="J152" s="236">
        <f>IFERROR(__xludf.DUMMYFUNCTION("""COMPUTED_VALUE"""),89.0)</f>
        <v>89</v>
      </c>
      <c r="K152" s="236">
        <f>IFERROR(__xludf.DUMMYFUNCTION("""COMPUTED_VALUE"""),23950.0)</f>
        <v>23950</v>
      </c>
      <c r="L152" s="236">
        <f>IFERROR(__xludf.DUMMYFUNCTION("""COMPUTED_VALUE"""),2199.0)</f>
        <v>2199</v>
      </c>
      <c r="M152" s="236">
        <f>IFERROR(__xludf.DUMMYFUNCTION("""COMPUTED_VALUE"""),298599.0)</f>
        <v>298599</v>
      </c>
      <c r="N152" s="236">
        <f>IFERROR(__xludf.DUMMYFUNCTION("""COMPUTED_VALUE"""),322549.0)</f>
        <v>322549</v>
      </c>
      <c r="O152" s="236">
        <f>IFERROR(__xludf.DUMMYFUNCTION("""COMPUTED_VALUE"""),12.0)</f>
        <v>12</v>
      </c>
      <c r="P152" s="236">
        <f>IFERROR(__xludf.DUMMYFUNCTION("""COMPUTED_VALUE"""),2718.0)</f>
        <v>2718</v>
      </c>
      <c r="Q152" s="236">
        <f>IFERROR(__xludf.DUMMYFUNCTION("""COMPUTED_VALUE"""),3.0)</f>
        <v>3</v>
      </c>
      <c r="R152" s="236">
        <f>IFERROR(__xludf.DUMMYFUNCTION("""COMPUTED_VALUE"""),2279.0)</f>
        <v>2279</v>
      </c>
      <c r="S152" s="236">
        <f>IFERROR(__xludf.DUMMYFUNCTION("""COMPUTED_VALUE"""),1.0)</f>
        <v>1</v>
      </c>
      <c r="T152" s="236">
        <f>IFERROR(__xludf.DUMMYFUNCTION("""COMPUTED_VALUE"""),355.0)</f>
        <v>355</v>
      </c>
      <c r="U152" s="236">
        <f>IFERROR(__xludf.DUMMYFUNCTION("""COMPUTED_VALUE"""),84.0)</f>
        <v>84</v>
      </c>
      <c r="V152" s="236">
        <f>IFERROR(__xludf.DUMMYFUNCTION("""COMPUTED_VALUE"""),76.0)</f>
        <v>76</v>
      </c>
      <c r="W152" s="236">
        <f>IFERROR(__xludf.DUMMYFUNCTION("""COMPUTED_VALUE"""),7.0)</f>
        <v>7</v>
      </c>
      <c r="X152" s="236">
        <f>IFERROR(__xludf.DUMMYFUNCTION("""COMPUTED_VALUE"""),5.0)</f>
        <v>5</v>
      </c>
      <c r="Y152" s="236">
        <f>IFERROR(__xludf.DUMMYFUNCTION("""COMPUTED_VALUE"""),1.0)</f>
        <v>1</v>
      </c>
      <c r="Z152" s="236">
        <f>IFERROR(__xludf.DUMMYFUNCTION("""COMPUTED_VALUE"""),1116.0)</f>
        <v>1116</v>
      </c>
    </row>
    <row r="153">
      <c r="A153" s="235">
        <f>IFERROR(__xludf.DUMMYFUNCTION("""COMPUTED_VALUE"""),44097.0)</f>
        <v>44097</v>
      </c>
      <c r="B153" s="236">
        <f>IFERROR(__xludf.DUMMYFUNCTION("""COMPUTED_VALUE"""),136.0)</f>
        <v>136</v>
      </c>
      <c r="C153" s="236">
        <f>IFERROR(__xludf.DUMMYFUNCTION("""COMPUTED_VALUE"""),131.0)</f>
        <v>131</v>
      </c>
      <c r="D153" s="236">
        <f>IFERROR(__xludf.DUMMYFUNCTION("""COMPUTED_VALUE"""),33922.0)</f>
        <v>33922</v>
      </c>
      <c r="E153" s="236">
        <f>IFERROR(__xludf.DUMMYFUNCTION("""COMPUTED_VALUE"""),10650.0)</f>
        <v>10650</v>
      </c>
      <c r="F153" s="172">
        <f>IFERROR(__xludf.DUMMYFUNCTION("""COMPUTED_VALUE"""),683855.0)</f>
        <v>683855</v>
      </c>
      <c r="G153" s="172">
        <f>IFERROR(__xludf.DUMMYFUNCTION("""COMPUTED_VALUE"""),10786.0)</f>
        <v>10786</v>
      </c>
      <c r="H153" s="172">
        <f>IFERROR(__xludf.DUMMYFUNCTION("""COMPUTED_VALUE"""),717777.0)</f>
        <v>717777</v>
      </c>
      <c r="I153" s="236">
        <f>IFERROR(__xludf.DUMMYFUNCTION("""COMPUTED_VALUE"""),127.0)</f>
        <v>127</v>
      </c>
      <c r="J153" s="236">
        <f>IFERROR(__xludf.DUMMYFUNCTION("""COMPUTED_VALUE"""),115.0)</f>
        <v>115</v>
      </c>
      <c r="K153" s="236">
        <f>IFERROR(__xludf.DUMMYFUNCTION("""COMPUTED_VALUE"""),24077.0)</f>
        <v>24077</v>
      </c>
      <c r="L153" s="236">
        <f>IFERROR(__xludf.DUMMYFUNCTION("""COMPUTED_VALUE"""),2211.0)</f>
        <v>2211</v>
      </c>
      <c r="M153" s="236">
        <f>IFERROR(__xludf.DUMMYFUNCTION("""COMPUTED_VALUE"""),300810.0)</f>
        <v>300810</v>
      </c>
      <c r="N153" s="236">
        <f>IFERROR(__xludf.DUMMYFUNCTION("""COMPUTED_VALUE"""),324887.0)</f>
        <v>324887</v>
      </c>
      <c r="O153" s="236">
        <f>IFERROR(__xludf.DUMMYFUNCTION("""COMPUTED_VALUE"""),12.0)</f>
        <v>12</v>
      </c>
      <c r="P153" s="236">
        <f>IFERROR(__xludf.DUMMYFUNCTION("""COMPUTED_VALUE"""),2730.0)</f>
        <v>2730</v>
      </c>
      <c r="Q153" s="236">
        <f>IFERROR(__xludf.DUMMYFUNCTION("""COMPUTED_VALUE"""),7.0)</f>
        <v>7</v>
      </c>
      <c r="R153" s="236">
        <f>IFERROR(__xludf.DUMMYFUNCTION("""COMPUTED_VALUE"""),2286.0)</f>
        <v>2286</v>
      </c>
      <c r="S153" s="236">
        <f>IFERROR(__xludf.DUMMYFUNCTION("""COMPUTED_VALUE"""),0.0)</f>
        <v>0</v>
      </c>
      <c r="T153" s="236">
        <f>IFERROR(__xludf.DUMMYFUNCTION("""COMPUTED_VALUE"""),355.0)</f>
        <v>355</v>
      </c>
      <c r="U153" s="236">
        <f>IFERROR(__xludf.DUMMYFUNCTION("""COMPUTED_VALUE"""),89.0)</f>
        <v>89</v>
      </c>
      <c r="V153" s="236">
        <f>IFERROR(__xludf.DUMMYFUNCTION("""COMPUTED_VALUE"""),83.0)</f>
        <v>83</v>
      </c>
      <c r="W153" s="236">
        <f>IFERROR(__xludf.DUMMYFUNCTION("""COMPUTED_VALUE"""),6.0)</f>
        <v>6</v>
      </c>
      <c r="X153" s="236">
        <f>IFERROR(__xludf.DUMMYFUNCTION("""COMPUTED_VALUE"""),5.0)</f>
        <v>5</v>
      </c>
      <c r="Y153" s="236">
        <f>IFERROR(__xludf.DUMMYFUNCTION("""COMPUTED_VALUE"""),0.0)</f>
        <v>0</v>
      </c>
      <c r="Z153" s="236">
        <f>IFERROR(__xludf.DUMMYFUNCTION("""COMPUTED_VALUE"""),1116.0)</f>
        <v>1116</v>
      </c>
    </row>
    <row r="154">
      <c r="A154" s="235">
        <f>IFERROR(__xludf.DUMMYFUNCTION("""COMPUTED_VALUE"""),44098.0)</f>
        <v>44098</v>
      </c>
      <c r="B154" s="236">
        <f>IFERROR(__xludf.DUMMYFUNCTION("""COMPUTED_VALUE"""),120.0)</f>
        <v>120</v>
      </c>
      <c r="C154" s="236">
        <f>IFERROR(__xludf.DUMMYFUNCTION("""COMPUTED_VALUE"""),137.0)</f>
        <v>137</v>
      </c>
      <c r="D154" s="236">
        <f>IFERROR(__xludf.DUMMYFUNCTION("""COMPUTED_VALUE"""),34042.0)</f>
        <v>34042</v>
      </c>
      <c r="E154" s="236">
        <f>IFERROR(__xludf.DUMMYFUNCTION("""COMPUTED_VALUE"""),12479.0)</f>
        <v>12479</v>
      </c>
      <c r="F154" s="172">
        <f>IFERROR(__xludf.DUMMYFUNCTION("""COMPUTED_VALUE"""),696334.0)</f>
        <v>696334</v>
      </c>
      <c r="G154" s="172">
        <f>IFERROR(__xludf.DUMMYFUNCTION("""COMPUTED_VALUE"""),12599.0)</f>
        <v>12599</v>
      </c>
      <c r="H154" s="172">
        <f>IFERROR(__xludf.DUMMYFUNCTION("""COMPUTED_VALUE"""),730376.0)</f>
        <v>730376</v>
      </c>
      <c r="I154" s="236">
        <f>IFERROR(__xludf.DUMMYFUNCTION("""COMPUTED_VALUE"""),121.0)</f>
        <v>121</v>
      </c>
      <c r="J154" s="236">
        <f>IFERROR(__xludf.DUMMYFUNCTION("""COMPUTED_VALUE"""),124.0)</f>
        <v>124</v>
      </c>
      <c r="K154" s="236">
        <f>IFERROR(__xludf.DUMMYFUNCTION("""COMPUTED_VALUE"""),24198.0)</f>
        <v>24198</v>
      </c>
      <c r="L154" s="236">
        <f>IFERROR(__xludf.DUMMYFUNCTION("""COMPUTED_VALUE"""),3162.0)</f>
        <v>3162</v>
      </c>
      <c r="M154" s="236">
        <f>IFERROR(__xludf.DUMMYFUNCTION("""COMPUTED_VALUE"""),303972.0)</f>
        <v>303972</v>
      </c>
      <c r="N154" s="236">
        <f>IFERROR(__xludf.DUMMYFUNCTION("""COMPUTED_VALUE"""),328170.0)</f>
        <v>328170</v>
      </c>
      <c r="O154" s="236">
        <f>IFERROR(__xludf.DUMMYFUNCTION("""COMPUTED_VALUE"""),7.0)</f>
        <v>7</v>
      </c>
      <c r="P154" s="236">
        <f>IFERROR(__xludf.DUMMYFUNCTION("""COMPUTED_VALUE"""),2737.0)</f>
        <v>2737</v>
      </c>
      <c r="Q154" s="236">
        <f>IFERROR(__xludf.DUMMYFUNCTION("""COMPUTED_VALUE"""),9.0)</f>
        <v>9</v>
      </c>
      <c r="R154" s="236">
        <f>IFERROR(__xludf.DUMMYFUNCTION("""COMPUTED_VALUE"""),2295.0)</f>
        <v>2295</v>
      </c>
      <c r="S154" s="236">
        <f>IFERROR(__xludf.DUMMYFUNCTION("""COMPUTED_VALUE"""),1.0)</f>
        <v>1</v>
      </c>
      <c r="T154" s="236">
        <f>IFERROR(__xludf.DUMMYFUNCTION("""COMPUTED_VALUE"""),356.0)</f>
        <v>356</v>
      </c>
      <c r="U154" s="236">
        <f>IFERROR(__xludf.DUMMYFUNCTION("""COMPUTED_VALUE"""),86.0)</f>
        <v>86</v>
      </c>
      <c r="V154" s="236">
        <f>IFERROR(__xludf.DUMMYFUNCTION("""COMPUTED_VALUE"""),86.0)</f>
        <v>86</v>
      </c>
      <c r="W154" s="236">
        <f>IFERROR(__xludf.DUMMYFUNCTION("""COMPUTED_VALUE"""),7.0)</f>
        <v>7</v>
      </c>
      <c r="X154" s="236">
        <f>IFERROR(__xludf.DUMMYFUNCTION("""COMPUTED_VALUE"""),5.0)</f>
        <v>5</v>
      </c>
      <c r="Y154" s="236">
        <f>IFERROR(__xludf.DUMMYFUNCTION("""COMPUTED_VALUE"""),1.0)</f>
        <v>1</v>
      </c>
      <c r="Z154" s="236">
        <f>IFERROR(__xludf.DUMMYFUNCTION("""COMPUTED_VALUE"""),1117.0)</f>
        <v>1117</v>
      </c>
    </row>
    <row r="155">
      <c r="A155" s="235">
        <f>IFERROR(__xludf.DUMMYFUNCTION("""COMPUTED_VALUE"""),44099.0)</f>
        <v>44099</v>
      </c>
      <c r="B155" s="236">
        <f>IFERROR(__xludf.DUMMYFUNCTION("""COMPUTED_VALUE"""),149.0)</f>
        <v>149</v>
      </c>
      <c r="C155" s="236">
        <f>IFERROR(__xludf.DUMMYFUNCTION("""COMPUTED_VALUE"""),135.0)</f>
        <v>135</v>
      </c>
      <c r="D155" s="236">
        <f>IFERROR(__xludf.DUMMYFUNCTION("""COMPUTED_VALUE"""),34191.0)</f>
        <v>34191</v>
      </c>
      <c r="E155" s="236">
        <f>IFERROR(__xludf.DUMMYFUNCTION("""COMPUTED_VALUE"""),10553.0)</f>
        <v>10553</v>
      </c>
      <c r="F155" s="172">
        <f>IFERROR(__xludf.DUMMYFUNCTION("""COMPUTED_VALUE"""),706887.0)</f>
        <v>706887</v>
      </c>
      <c r="G155" s="172">
        <f>IFERROR(__xludf.DUMMYFUNCTION("""COMPUTED_VALUE"""),10702.0)</f>
        <v>10702</v>
      </c>
      <c r="H155" s="172">
        <f>IFERROR(__xludf.DUMMYFUNCTION("""COMPUTED_VALUE"""),741078.0)</f>
        <v>741078</v>
      </c>
      <c r="I155" s="236">
        <f>IFERROR(__xludf.DUMMYFUNCTION("""COMPUTED_VALUE"""),142.0)</f>
        <v>142</v>
      </c>
      <c r="J155" s="236">
        <f>IFERROR(__xludf.DUMMYFUNCTION("""COMPUTED_VALUE"""),130.0)</f>
        <v>130</v>
      </c>
      <c r="K155" s="236">
        <f>IFERROR(__xludf.DUMMYFUNCTION("""COMPUTED_VALUE"""),24340.0)</f>
        <v>24340</v>
      </c>
      <c r="L155" s="236">
        <f>IFERROR(__xludf.DUMMYFUNCTION("""COMPUTED_VALUE"""),3000.0)</f>
        <v>3000</v>
      </c>
      <c r="M155" s="236">
        <f>IFERROR(__xludf.DUMMYFUNCTION("""COMPUTED_VALUE"""),306972.0)</f>
        <v>306972</v>
      </c>
      <c r="N155" s="236">
        <f>IFERROR(__xludf.DUMMYFUNCTION("""COMPUTED_VALUE"""),331312.0)</f>
        <v>331312</v>
      </c>
      <c r="O155" s="236">
        <f>IFERROR(__xludf.DUMMYFUNCTION("""COMPUTED_VALUE"""),9.0)</f>
        <v>9</v>
      </c>
      <c r="P155" s="236">
        <f>IFERROR(__xludf.DUMMYFUNCTION("""COMPUTED_VALUE"""),2746.0)</f>
        <v>2746</v>
      </c>
      <c r="Q155" s="236">
        <f>IFERROR(__xludf.DUMMYFUNCTION("""COMPUTED_VALUE"""),10.0)</f>
        <v>10</v>
      </c>
      <c r="R155" s="236">
        <f>IFERROR(__xludf.DUMMYFUNCTION("""COMPUTED_VALUE"""),2305.0)</f>
        <v>2305</v>
      </c>
      <c r="S155" s="236">
        <f>IFERROR(__xludf.DUMMYFUNCTION("""COMPUTED_VALUE"""),0.0)</f>
        <v>0</v>
      </c>
      <c r="T155" s="236">
        <f>IFERROR(__xludf.DUMMYFUNCTION("""COMPUTED_VALUE"""),356.0)</f>
        <v>356</v>
      </c>
      <c r="U155" s="236">
        <f>IFERROR(__xludf.DUMMYFUNCTION("""COMPUTED_VALUE"""),85.0)</f>
        <v>85</v>
      </c>
      <c r="V155" s="236">
        <f>IFERROR(__xludf.DUMMYFUNCTION("""COMPUTED_VALUE"""),87.0)</f>
        <v>87</v>
      </c>
      <c r="W155" s="236">
        <f>IFERROR(__xludf.DUMMYFUNCTION("""COMPUTED_VALUE"""),6.0)</f>
        <v>6</v>
      </c>
      <c r="X155" s="236">
        <f>IFERROR(__xludf.DUMMYFUNCTION("""COMPUTED_VALUE"""),5.0)</f>
        <v>5</v>
      </c>
      <c r="Y155" s="236">
        <f>IFERROR(__xludf.DUMMYFUNCTION("""COMPUTED_VALUE"""),1.0)</f>
        <v>1</v>
      </c>
      <c r="Z155" s="236">
        <f>IFERROR(__xludf.DUMMYFUNCTION("""COMPUTED_VALUE"""),1118.0)</f>
        <v>1118</v>
      </c>
    </row>
    <row r="156">
      <c r="A156" s="235">
        <f>IFERROR(__xludf.DUMMYFUNCTION("""COMPUTED_VALUE"""),44100.0)</f>
        <v>44100</v>
      </c>
      <c r="B156" s="236">
        <f>IFERROR(__xludf.DUMMYFUNCTION("""COMPUTED_VALUE"""),146.0)</f>
        <v>146</v>
      </c>
      <c r="C156" s="236">
        <f>IFERROR(__xludf.DUMMYFUNCTION("""COMPUTED_VALUE"""),138.0)</f>
        <v>138</v>
      </c>
      <c r="D156" s="236">
        <f>IFERROR(__xludf.DUMMYFUNCTION("""COMPUTED_VALUE"""),34337.0)</f>
        <v>34337</v>
      </c>
      <c r="E156" s="236">
        <f>IFERROR(__xludf.DUMMYFUNCTION("""COMPUTED_VALUE"""),10559.0)</f>
        <v>10559</v>
      </c>
      <c r="F156" s="172">
        <f>IFERROR(__xludf.DUMMYFUNCTION("""COMPUTED_VALUE"""),717446.0)</f>
        <v>717446</v>
      </c>
      <c r="G156" s="172">
        <f>IFERROR(__xludf.DUMMYFUNCTION("""COMPUTED_VALUE"""),10705.0)</f>
        <v>10705</v>
      </c>
      <c r="H156" s="172">
        <f>IFERROR(__xludf.DUMMYFUNCTION("""COMPUTED_VALUE"""),751783.0)</f>
        <v>751783</v>
      </c>
      <c r="I156" s="236">
        <f>IFERROR(__xludf.DUMMYFUNCTION("""COMPUTED_VALUE"""),119.0)</f>
        <v>119</v>
      </c>
      <c r="J156" s="236">
        <f>IFERROR(__xludf.DUMMYFUNCTION("""COMPUTED_VALUE"""),127.0)</f>
        <v>127</v>
      </c>
      <c r="K156" s="236">
        <f>IFERROR(__xludf.DUMMYFUNCTION("""COMPUTED_VALUE"""),24459.0)</f>
        <v>24459</v>
      </c>
      <c r="L156" s="236">
        <f>IFERROR(__xludf.DUMMYFUNCTION("""COMPUTED_VALUE"""),2417.0)</f>
        <v>2417</v>
      </c>
      <c r="M156" s="236">
        <f>IFERROR(__xludf.DUMMYFUNCTION("""COMPUTED_VALUE"""),309389.0)</f>
        <v>309389</v>
      </c>
      <c r="N156" s="236">
        <f>IFERROR(__xludf.DUMMYFUNCTION("""COMPUTED_VALUE"""),333848.0)</f>
        <v>333848</v>
      </c>
      <c r="O156" s="236">
        <f>IFERROR(__xludf.DUMMYFUNCTION("""COMPUTED_VALUE"""),12.0)</f>
        <v>12</v>
      </c>
      <c r="P156" s="236">
        <f>IFERROR(__xludf.DUMMYFUNCTION("""COMPUTED_VALUE"""),2758.0)</f>
        <v>2758</v>
      </c>
      <c r="Q156" s="236">
        <f>IFERROR(__xludf.DUMMYFUNCTION("""COMPUTED_VALUE"""),9.0)</f>
        <v>9</v>
      </c>
      <c r="R156" s="236">
        <f>IFERROR(__xludf.DUMMYFUNCTION("""COMPUTED_VALUE"""),2314.0)</f>
        <v>2314</v>
      </c>
      <c r="S156" s="236">
        <f>IFERROR(__xludf.DUMMYFUNCTION("""COMPUTED_VALUE"""),0.0)</f>
        <v>0</v>
      </c>
      <c r="T156" s="236">
        <f>IFERROR(__xludf.DUMMYFUNCTION("""COMPUTED_VALUE"""),356.0)</f>
        <v>356</v>
      </c>
      <c r="U156" s="236">
        <f>IFERROR(__xludf.DUMMYFUNCTION("""COMPUTED_VALUE"""),88.0)</f>
        <v>88</v>
      </c>
      <c r="V156" s="236">
        <f>IFERROR(__xludf.DUMMYFUNCTION("""COMPUTED_VALUE"""),86.0)</f>
        <v>86</v>
      </c>
      <c r="W156" s="236">
        <f>IFERROR(__xludf.DUMMYFUNCTION("""COMPUTED_VALUE"""),6.0)</f>
        <v>6</v>
      </c>
      <c r="X156" s="236">
        <f>IFERROR(__xludf.DUMMYFUNCTION("""COMPUTED_VALUE"""),5.0)</f>
        <v>5</v>
      </c>
      <c r="Y156" s="236">
        <f>IFERROR(__xludf.DUMMYFUNCTION("""COMPUTED_VALUE"""),1.0)</f>
        <v>1</v>
      </c>
      <c r="Z156" s="236">
        <f>IFERROR(__xludf.DUMMYFUNCTION("""COMPUTED_VALUE"""),1119.0)</f>
        <v>1119</v>
      </c>
    </row>
    <row r="157">
      <c r="A157" s="235">
        <f>IFERROR(__xludf.DUMMYFUNCTION("""COMPUTED_VALUE"""),44101.0)</f>
        <v>44101</v>
      </c>
      <c r="B157" s="236">
        <f>IFERROR(__xludf.DUMMYFUNCTION("""COMPUTED_VALUE"""),43.0)</f>
        <v>43</v>
      </c>
      <c r="C157" s="236">
        <f>IFERROR(__xludf.DUMMYFUNCTION("""COMPUTED_VALUE"""),113.0)</f>
        <v>113</v>
      </c>
      <c r="D157" s="236">
        <f>IFERROR(__xludf.DUMMYFUNCTION("""COMPUTED_VALUE"""),34380.0)</f>
        <v>34380</v>
      </c>
      <c r="E157" s="236">
        <f>IFERROR(__xludf.DUMMYFUNCTION("""COMPUTED_VALUE"""),2764.0)</f>
        <v>2764</v>
      </c>
      <c r="F157" s="172">
        <f>IFERROR(__xludf.DUMMYFUNCTION("""COMPUTED_VALUE"""),720210.0)</f>
        <v>720210</v>
      </c>
      <c r="G157" s="172">
        <f>IFERROR(__xludf.DUMMYFUNCTION("""COMPUTED_VALUE"""),2807.0)</f>
        <v>2807</v>
      </c>
      <c r="H157" s="172">
        <f>IFERROR(__xludf.DUMMYFUNCTION("""COMPUTED_VALUE"""),754590.0)</f>
        <v>754590</v>
      </c>
      <c r="I157" s="236">
        <f>IFERROR(__xludf.DUMMYFUNCTION("""COMPUTED_VALUE"""),34.0)</f>
        <v>34</v>
      </c>
      <c r="J157" s="236">
        <f>IFERROR(__xludf.DUMMYFUNCTION("""COMPUTED_VALUE"""),98.0)</f>
        <v>98</v>
      </c>
      <c r="K157" s="236">
        <f>IFERROR(__xludf.DUMMYFUNCTION("""COMPUTED_VALUE"""),24493.0)</f>
        <v>24493</v>
      </c>
      <c r="L157" s="236">
        <f>IFERROR(__xludf.DUMMYFUNCTION("""COMPUTED_VALUE"""),845.0)</f>
        <v>845</v>
      </c>
      <c r="M157" s="236">
        <f>IFERROR(__xludf.DUMMYFUNCTION("""COMPUTED_VALUE"""),310234.0)</f>
        <v>310234</v>
      </c>
      <c r="N157" s="236">
        <f>IFERROR(__xludf.DUMMYFUNCTION("""COMPUTED_VALUE"""),334727.0)</f>
        <v>334727</v>
      </c>
      <c r="O157" s="236">
        <f>IFERROR(__xludf.DUMMYFUNCTION("""COMPUTED_VALUE"""),7.0)</f>
        <v>7</v>
      </c>
      <c r="P157" s="236">
        <f>IFERROR(__xludf.DUMMYFUNCTION("""COMPUTED_VALUE"""),2765.0)</f>
        <v>2765</v>
      </c>
      <c r="Q157" s="236">
        <f>IFERROR(__xludf.DUMMYFUNCTION("""COMPUTED_VALUE"""),5.0)</f>
        <v>5</v>
      </c>
      <c r="R157" s="236">
        <f>IFERROR(__xludf.DUMMYFUNCTION("""COMPUTED_VALUE"""),2319.0)</f>
        <v>2319</v>
      </c>
      <c r="S157" s="236">
        <f>IFERROR(__xludf.DUMMYFUNCTION("""COMPUTED_VALUE"""),0.0)</f>
        <v>0</v>
      </c>
      <c r="T157" s="236">
        <f>IFERROR(__xludf.DUMMYFUNCTION("""COMPUTED_VALUE"""),356.0)</f>
        <v>356</v>
      </c>
      <c r="U157" s="236">
        <f>IFERROR(__xludf.DUMMYFUNCTION("""COMPUTED_VALUE"""),90.0)</f>
        <v>90</v>
      </c>
      <c r="V157" s="236">
        <f>IFERROR(__xludf.DUMMYFUNCTION("""COMPUTED_VALUE"""),88.0)</f>
        <v>88</v>
      </c>
      <c r="W157" s="236">
        <f>IFERROR(__xludf.DUMMYFUNCTION("""COMPUTED_VALUE"""),9.0)</f>
        <v>9</v>
      </c>
      <c r="X157" s="236">
        <f>IFERROR(__xludf.DUMMYFUNCTION("""COMPUTED_VALUE"""),5.0)</f>
        <v>5</v>
      </c>
      <c r="Y157" s="236">
        <f>IFERROR(__xludf.DUMMYFUNCTION("""COMPUTED_VALUE"""),0.0)</f>
        <v>0</v>
      </c>
      <c r="Z157" s="236">
        <f>IFERROR(__xludf.DUMMYFUNCTION("""COMPUTED_VALUE"""),1119.0)</f>
        <v>1119</v>
      </c>
    </row>
    <row r="158">
      <c r="A158" s="235">
        <f>IFERROR(__xludf.DUMMYFUNCTION("""COMPUTED_VALUE"""),44102.0)</f>
        <v>44102</v>
      </c>
      <c r="B158" s="236">
        <f>IFERROR(__xludf.DUMMYFUNCTION("""COMPUTED_VALUE"""),152.0)</f>
        <v>152</v>
      </c>
      <c r="C158" s="236">
        <f>IFERROR(__xludf.DUMMYFUNCTION("""COMPUTED_VALUE"""),114.0)</f>
        <v>114</v>
      </c>
      <c r="D158" s="236">
        <f>IFERROR(__xludf.DUMMYFUNCTION("""COMPUTED_VALUE"""),34532.0)</f>
        <v>34532</v>
      </c>
      <c r="E158" s="236">
        <f>IFERROR(__xludf.DUMMYFUNCTION("""COMPUTED_VALUE"""),7308.0)</f>
        <v>7308</v>
      </c>
      <c r="F158" s="172">
        <f>IFERROR(__xludf.DUMMYFUNCTION("""COMPUTED_VALUE"""),727518.0)</f>
        <v>727518</v>
      </c>
      <c r="G158" s="172">
        <f>IFERROR(__xludf.DUMMYFUNCTION("""COMPUTED_VALUE"""),7460.0)</f>
        <v>7460</v>
      </c>
      <c r="H158" s="172">
        <f>IFERROR(__xludf.DUMMYFUNCTION("""COMPUTED_VALUE"""),762050.0)</f>
        <v>762050</v>
      </c>
      <c r="I158" s="236">
        <f>IFERROR(__xludf.DUMMYFUNCTION("""COMPUTED_VALUE"""),134.0)</f>
        <v>134</v>
      </c>
      <c r="J158" s="236">
        <f>IFERROR(__xludf.DUMMYFUNCTION("""COMPUTED_VALUE"""),96.0)</f>
        <v>96</v>
      </c>
      <c r="K158" s="236">
        <f>IFERROR(__xludf.DUMMYFUNCTION("""COMPUTED_VALUE"""),24627.0)</f>
        <v>24627</v>
      </c>
      <c r="L158" s="236">
        <f>IFERROR(__xludf.DUMMYFUNCTION("""COMPUTED_VALUE"""),2259.0)</f>
        <v>2259</v>
      </c>
      <c r="M158" s="236">
        <f>IFERROR(__xludf.DUMMYFUNCTION("""COMPUTED_VALUE"""),312493.0)</f>
        <v>312493</v>
      </c>
      <c r="N158" s="236">
        <f>IFERROR(__xludf.DUMMYFUNCTION("""COMPUTED_VALUE"""),337120.0)</f>
        <v>337120</v>
      </c>
      <c r="O158" s="236">
        <f>IFERROR(__xludf.DUMMYFUNCTION("""COMPUTED_VALUE"""),7.0)</f>
        <v>7</v>
      </c>
      <c r="P158" s="236">
        <f>IFERROR(__xludf.DUMMYFUNCTION("""COMPUTED_VALUE"""),2772.0)</f>
        <v>2772</v>
      </c>
      <c r="Q158" s="236">
        <f>IFERROR(__xludf.DUMMYFUNCTION("""COMPUTED_VALUE"""),7.0)</f>
        <v>7</v>
      </c>
      <c r="R158" s="236">
        <f>IFERROR(__xludf.DUMMYFUNCTION("""COMPUTED_VALUE"""),2326.0)</f>
        <v>2326</v>
      </c>
      <c r="S158" s="236">
        <f>IFERROR(__xludf.DUMMYFUNCTION("""COMPUTED_VALUE"""),2.0)</f>
        <v>2</v>
      </c>
      <c r="T158" s="236">
        <f>IFERROR(__xludf.DUMMYFUNCTION("""COMPUTED_VALUE"""),358.0)</f>
        <v>358</v>
      </c>
      <c r="U158" s="236">
        <f>IFERROR(__xludf.DUMMYFUNCTION("""COMPUTED_VALUE"""),88.0)</f>
        <v>88</v>
      </c>
      <c r="V158" s="236">
        <f>IFERROR(__xludf.DUMMYFUNCTION("""COMPUTED_VALUE"""),89.0)</f>
        <v>89</v>
      </c>
      <c r="W158" s="236">
        <f>IFERROR(__xludf.DUMMYFUNCTION("""COMPUTED_VALUE"""),7.0)</f>
        <v>7</v>
      </c>
      <c r="X158" s="236">
        <f>IFERROR(__xludf.DUMMYFUNCTION("""COMPUTED_VALUE"""),5.0)</f>
        <v>5</v>
      </c>
      <c r="Y158" s="236">
        <f>IFERROR(__xludf.DUMMYFUNCTION("""COMPUTED_VALUE"""),2.0)</f>
        <v>2</v>
      </c>
      <c r="Z158" s="236">
        <f>IFERROR(__xludf.DUMMYFUNCTION("""COMPUTED_VALUE"""),1121.0)</f>
        <v>1121</v>
      </c>
    </row>
    <row r="159">
      <c r="A159" s="235">
        <f>IFERROR(__xludf.DUMMYFUNCTION("""COMPUTED_VALUE"""),44103.0)</f>
        <v>44103</v>
      </c>
      <c r="B159" s="236">
        <f>IFERROR(__xludf.DUMMYFUNCTION("""COMPUTED_VALUE"""),208.0)</f>
        <v>208</v>
      </c>
      <c r="C159" s="236">
        <f>IFERROR(__xludf.DUMMYFUNCTION("""COMPUTED_VALUE"""),134.0)</f>
        <v>134</v>
      </c>
      <c r="D159" s="236">
        <f>IFERROR(__xludf.DUMMYFUNCTION("""COMPUTED_VALUE"""),34740.0)</f>
        <v>34740</v>
      </c>
      <c r="E159" s="236">
        <f>IFERROR(__xludf.DUMMYFUNCTION("""COMPUTED_VALUE"""),11046.0)</f>
        <v>11046</v>
      </c>
      <c r="F159" s="172">
        <f>IFERROR(__xludf.DUMMYFUNCTION("""COMPUTED_VALUE"""),738564.0)</f>
        <v>738564</v>
      </c>
      <c r="G159" s="172">
        <f>IFERROR(__xludf.DUMMYFUNCTION("""COMPUTED_VALUE"""),11254.0)</f>
        <v>11254</v>
      </c>
      <c r="H159" s="172">
        <f>IFERROR(__xludf.DUMMYFUNCTION("""COMPUTED_VALUE"""),773304.0)</f>
        <v>773304</v>
      </c>
      <c r="I159" s="236">
        <f>IFERROR(__xludf.DUMMYFUNCTION("""COMPUTED_VALUE"""),190.0)</f>
        <v>190</v>
      </c>
      <c r="J159" s="236">
        <f>IFERROR(__xludf.DUMMYFUNCTION("""COMPUTED_VALUE"""),119.0)</f>
        <v>119</v>
      </c>
      <c r="K159" s="236">
        <f>IFERROR(__xludf.DUMMYFUNCTION("""COMPUTED_VALUE"""),24817.0)</f>
        <v>24817</v>
      </c>
      <c r="L159" s="236">
        <f>IFERROR(__xludf.DUMMYFUNCTION("""COMPUTED_VALUE"""),2823.0)</f>
        <v>2823</v>
      </c>
      <c r="M159" s="236">
        <f>IFERROR(__xludf.DUMMYFUNCTION("""COMPUTED_VALUE"""),315316.0)</f>
        <v>315316</v>
      </c>
      <c r="N159" s="236">
        <f>IFERROR(__xludf.DUMMYFUNCTION("""COMPUTED_VALUE"""),340133.0)</f>
        <v>340133</v>
      </c>
      <c r="O159" s="236">
        <f>IFERROR(__xludf.DUMMYFUNCTION("""COMPUTED_VALUE"""),12.0)</f>
        <v>12</v>
      </c>
      <c r="P159" s="236">
        <f>IFERROR(__xludf.DUMMYFUNCTION("""COMPUTED_VALUE"""),2784.0)</f>
        <v>2784</v>
      </c>
      <c r="Q159" s="236">
        <f>IFERROR(__xludf.DUMMYFUNCTION("""COMPUTED_VALUE"""),18.0)</f>
        <v>18</v>
      </c>
      <c r="R159" s="236">
        <f>IFERROR(__xludf.DUMMYFUNCTION("""COMPUTED_VALUE"""),2344.0)</f>
        <v>2344</v>
      </c>
      <c r="S159" s="236">
        <f>IFERROR(__xludf.DUMMYFUNCTION("""COMPUTED_VALUE"""),1.0)</f>
        <v>1</v>
      </c>
      <c r="T159" s="236">
        <f>IFERROR(__xludf.DUMMYFUNCTION("""COMPUTED_VALUE"""),359.0)</f>
        <v>359</v>
      </c>
      <c r="U159" s="236">
        <f>IFERROR(__xludf.DUMMYFUNCTION("""COMPUTED_VALUE"""),81.0)</f>
        <v>81</v>
      </c>
      <c r="V159" s="236">
        <f>IFERROR(__xludf.DUMMYFUNCTION("""COMPUTED_VALUE"""),86.0)</f>
        <v>86</v>
      </c>
      <c r="W159" s="236">
        <f>IFERROR(__xludf.DUMMYFUNCTION("""COMPUTED_VALUE"""),6.0)</f>
        <v>6</v>
      </c>
      <c r="X159" s="236">
        <f>IFERROR(__xludf.DUMMYFUNCTION("""COMPUTED_VALUE"""),6.0)</f>
        <v>6</v>
      </c>
      <c r="Y159" s="236">
        <f>IFERROR(__xludf.DUMMYFUNCTION("""COMPUTED_VALUE"""),1.0)</f>
        <v>1</v>
      </c>
      <c r="Z159" s="236">
        <f>IFERROR(__xludf.DUMMYFUNCTION("""COMPUTED_VALUE"""),1122.0)</f>
        <v>1122</v>
      </c>
    </row>
    <row r="160">
      <c r="A160" s="235">
        <f>IFERROR(__xludf.DUMMYFUNCTION("""COMPUTED_VALUE"""),44104.0)</f>
        <v>44104</v>
      </c>
      <c r="B160" s="236">
        <f>IFERROR(__xludf.DUMMYFUNCTION("""COMPUTED_VALUE"""),221.0)</f>
        <v>221</v>
      </c>
      <c r="C160" s="236">
        <f>IFERROR(__xludf.DUMMYFUNCTION("""COMPUTED_VALUE"""),194.0)</f>
        <v>194</v>
      </c>
      <c r="D160" s="236">
        <f>IFERROR(__xludf.DUMMYFUNCTION("""COMPUTED_VALUE"""),34961.0)</f>
        <v>34961</v>
      </c>
      <c r="E160" s="236">
        <f>IFERROR(__xludf.DUMMYFUNCTION("""COMPUTED_VALUE"""),12230.0)</f>
        <v>12230</v>
      </c>
      <c r="F160" s="172">
        <f>IFERROR(__xludf.DUMMYFUNCTION("""COMPUTED_VALUE"""),750794.0)</f>
        <v>750794</v>
      </c>
      <c r="G160" s="172">
        <f>IFERROR(__xludf.DUMMYFUNCTION("""COMPUTED_VALUE"""),12451.0)</f>
        <v>12451</v>
      </c>
      <c r="H160" s="172">
        <f>IFERROR(__xludf.DUMMYFUNCTION("""COMPUTED_VALUE"""),785755.0)</f>
        <v>785755</v>
      </c>
      <c r="I160" s="236">
        <f>IFERROR(__xludf.DUMMYFUNCTION("""COMPUTED_VALUE"""),187.0)</f>
        <v>187</v>
      </c>
      <c r="J160" s="236">
        <f>IFERROR(__xludf.DUMMYFUNCTION("""COMPUTED_VALUE"""),170.0)</f>
        <v>170</v>
      </c>
      <c r="K160" s="236">
        <f>IFERROR(__xludf.DUMMYFUNCTION("""COMPUTED_VALUE"""),25004.0)</f>
        <v>25004</v>
      </c>
      <c r="L160" s="236">
        <f>IFERROR(__xludf.DUMMYFUNCTION("""COMPUTED_VALUE"""),2593.0)</f>
        <v>2593</v>
      </c>
      <c r="M160" s="236">
        <f>IFERROR(__xludf.DUMMYFUNCTION("""COMPUTED_VALUE"""),317909.0)</f>
        <v>317909</v>
      </c>
      <c r="N160" s="236">
        <f>IFERROR(__xludf.DUMMYFUNCTION("""COMPUTED_VALUE"""),342913.0)</f>
        <v>342913</v>
      </c>
      <c r="O160" s="236">
        <f>IFERROR(__xludf.DUMMYFUNCTION("""COMPUTED_VALUE"""),6.0)</f>
        <v>6</v>
      </c>
      <c r="P160" s="236">
        <f>IFERROR(__xludf.DUMMYFUNCTION("""COMPUTED_VALUE"""),2790.0)</f>
        <v>2790</v>
      </c>
      <c r="Q160" s="236">
        <f>IFERROR(__xludf.DUMMYFUNCTION("""COMPUTED_VALUE"""),6.0)</f>
        <v>6</v>
      </c>
      <c r="R160" s="236">
        <f>IFERROR(__xludf.DUMMYFUNCTION("""COMPUTED_VALUE"""),2350.0)</f>
        <v>2350</v>
      </c>
      <c r="S160" s="236">
        <f>IFERROR(__xludf.DUMMYFUNCTION("""COMPUTED_VALUE"""),0.0)</f>
        <v>0</v>
      </c>
      <c r="T160" s="236">
        <f>IFERROR(__xludf.DUMMYFUNCTION("""COMPUTED_VALUE"""),359.0)</f>
        <v>359</v>
      </c>
      <c r="U160" s="236">
        <f>IFERROR(__xludf.DUMMYFUNCTION("""COMPUTED_VALUE"""),81.0)</f>
        <v>81</v>
      </c>
      <c r="V160" s="236">
        <f>IFERROR(__xludf.DUMMYFUNCTION("""COMPUTED_VALUE"""),83.0)</f>
        <v>83</v>
      </c>
      <c r="W160" s="236">
        <f>IFERROR(__xludf.DUMMYFUNCTION("""COMPUTED_VALUE"""),6.0)</f>
        <v>6</v>
      </c>
      <c r="X160" s="236">
        <f>IFERROR(__xludf.DUMMYFUNCTION("""COMPUTED_VALUE"""),6.0)</f>
        <v>6</v>
      </c>
      <c r="Y160" s="236">
        <f>IFERROR(__xludf.DUMMYFUNCTION("""COMPUTED_VALUE"""),1.0)</f>
        <v>1</v>
      </c>
      <c r="Z160" s="236">
        <f>IFERROR(__xludf.DUMMYFUNCTION("""COMPUTED_VALUE"""),1123.0)</f>
        <v>1123</v>
      </c>
    </row>
    <row r="161">
      <c r="A161" s="235">
        <f>IFERROR(__xludf.DUMMYFUNCTION("""COMPUTED_VALUE"""),44105.0)</f>
        <v>44105</v>
      </c>
      <c r="B161" s="236">
        <f>IFERROR(__xludf.DUMMYFUNCTION("""COMPUTED_VALUE"""),185.0)</f>
        <v>185</v>
      </c>
      <c r="C161" s="236">
        <f>IFERROR(__xludf.DUMMYFUNCTION("""COMPUTED_VALUE"""),205.0)</f>
        <v>205</v>
      </c>
      <c r="D161" s="236">
        <f>IFERROR(__xludf.DUMMYFUNCTION("""COMPUTED_VALUE"""),35146.0)</f>
        <v>35146</v>
      </c>
      <c r="E161" s="236">
        <f>IFERROR(__xludf.DUMMYFUNCTION("""COMPUTED_VALUE"""),12503.0)</f>
        <v>12503</v>
      </c>
      <c r="F161" s="172">
        <f>IFERROR(__xludf.DUMMYFUNCTION("""COMPUTED_VALUE"""),763297.0)</f>
        <v>763297</v>
      </c>
      <c r="G161" s="172">
        <f>IFERROR(__xludf.DUMMYFUNCTION("""COMPUTED_VALUE"""),12688.0)</f>
        <v>12688</v>
      </c>
      <c r="H161" s="172">
        <f>IFERROR(__xludf.DUMMYFUNCTION("""COMPUTED_VALUE"""),798443.0)</f>
        <v>798443</v>
      </c>
      <c r="I161" s="236">
        <f>IFERROR(__xludf.DUMMYFUNCTION("""COMPUTED_VALUE"""),166.0)</f>
        <v>166</v>
      </c>
      <c r="J161" s="236">
        <f>IFERROR(__xludf.DUMMYFUNCTION("""COMPUTED_VALUE"""),181.0)</f>
        <v>181</v>
      </c>
      <c r="K161" s="236">
        <f>IFERROR(__xludf.DUMMYFUNCTION("""COMPUTED_VALUE"""),25170.0)</f>
        <v>25170</v>
      </c>
      <c r="L161" s="236">
        <f>IFERROR(__xludf.DUMMYFUNCTION("""COMPUTED_VALUE"""),2412.0)</f>
        <v>2412</v>
      </c>
      <c r="M161" s="236">
        <f>IFERROR(__xludf.DUMMYFUNCTION("""COMPUTED_VALUE"""),320321.0)</f>
        <v>320321</v>
      </c>
      <c r="N161" s="236">
        <f>IFERROR(__xludf.DUMMYFUNCTION("""COMPUTED_VALUE"""),345491.0)</f>
        <v>345491</v>
      </c>
      <c r="O161" s="236">
        <f>IFERROR(__xludf.DUMMYFUNCTION("""COMPUTED_VALUE"""),17.0)</f>
        <v>17</v>
      </c>
      <c r="P161" s="236">
        <f>IFERROR(__xludf.DUMMYFUNCTION("""COMPUTED_VALUE"""),2807.0)</f>
        <v>2807</v>
      </c>
      <c r="Q161" s="236">
        <f>IFERROR(__xludf.DUMMYFUNCTION("""COMPUTED_VALUE"""),13.0)</f>
        <v>13</v>
      </c>
      <c r="R161" s="236">
        <f>IFERROR(__xludf.DUMMYFUNCTION("""COMPUTED_VALUE"""),2363.0)</f>
        <v>2363</v>
      </c>
      <c r="S161" s="236">
        <f>IFERROR(__xludf.DUMMYFUNCTION("""COMPUTED_VALUE"""),1.0)</f>
        <v>1</v>
      </c>
      <c r="T161" s="236">
        <f>IFERROR(__xludf.DUMMYFUNCTION("""COMPUTED_VALUE"""),360.0)</f>
        <v>360</v>
      </c>
      <c r="U161" s="236">
        <f>IFERROR(__xludf.DUMMYFUNCTION("""COMPUTED_VALUE"""),84.0)</f>
        <v>84</v>
      </c>
      <c r="V161" s="236">
        <f>IFERROR(__xludf.DUMMYFUNCTION("""COMPUTED_VALUE"""),82.0)</f>
        <v>82</v>
      </c>
      <c r="W161" s="236">
        <f>IFERROR(__xludf.DUMMYFUNCTION("""COMPUTED_VALUE"""),6.0)</f>
        <v>6</v>
      </c>
      <c r="X161" s="236">
        <f>IFERROR(__xludf.DUMMYFUNCTION("""COMPUTED_VALUE"""),4.0)</f>
        <v>4</v>
      </c>
      <c r="Y161" s="236">
        <f>IFERROR(__xludf.DUMMYFUNCTION("""COMPUTED_VALUE"""),2.0)</f>
        <v>2</v>
      </c>
      <c r="Z161" s="236">
        <f>IFERROR(__xludf.DUMMYFUNCTION("""COMPUTED_VALUE"""),1125.0)</f>
        <v>1125</v>
      </c>
    </row>
    <row r="162">
      <c r="A162" s="235">
        <f>IFERROR(__xludf.DUMMYFUNCTION("""COMPUTED_VALUE"""),44106.0)</f>
        <v>44106</v>
      </c>
      <c r="B162" s="236">
        <f>IFERROR(__xludf.DUMMYFUNCTION("""COMPUTED_VALUE"""),210.0)</f>
        <v>210</v>
      </c>
      <c r="C162" s="236">
        <f>IFERROR(__xludf.DUMMYFUNCTION("""COMPUTED_VALUE"""),205.0)</f>
        <v>205</v>
      </c>
      <c r="D162" s="236">
        <f>IFERROR(__xludf.DUMMYFUNCTION("""COMPUTED_VALUE"""),35356.0)</f>
        <v>35356</v>
      </c>
      <c r="E162" s="236">
        <f>IFERROR(__xludf.DUMMYFUNCTION("""COMPUTED_VALUE"""),12153.0)</f>
        <v>12153</v>
      </c>
      <c r="F162" s="172">
        <f>IFERROR(__xludf.DUMMYFUNCTION("""COMPUTED_VALUE"""),775450.0)</f>
        <v>775450</v>
      </c>
      <c r="G162" s="172">
        <f>IFERROR(__xludf.DUMMYFUNCTION("""COMPUTED_VALUE"""),12363.0)</f>
        <v>12363</v>
      </c>
      <c r="H162" s="172">
        <f>IFERROR(__xludf.DUMMYFUNCTION("""COMPUTED_VALUE"""),810806.0)</f>
        <v>810806</v>
      </c>
      <c r="I162" s="236">
        <f>IFERROR(__xludf.DUMMYFUNCTION("""COMPUTED_VALUE"""),182.0)</f>
        <v>182</v>
      </c>
      <c r="J162" s="236">
        <f>IFERROR(__xludf.DUMMYFUNCTION("""COMPUTED_VALUE"""),178.0)</f>
        <v>178</v>
      </c>
      <c r="K162" s="236">
        <f>IFERROR(__xludf.DUMMYFUNCTION("""COMPUTED_VALUE"""),25352.0)</f>
        <v>25352</v>
      </c>
      <c r="L162" s="236">
        <f>IFERROR(__xludf.DUMMYFUNCTION("""COMPUTED_VALUE"""),2499.0)</f>
        <v>2499</v>
      </c>
      <c r="M162" s="236">
        <f>IFERROR(__xludf.DUMMYFUNCTION("""COMPUTED_VALUE"""),322820.0)</f>
        <v>322820</v>
      </c>
      <c r="N162" s="236">
        <f>IFERROR(__xludf.DUMMYFUNCTION("""COMPUTED_VALUE"""),348172.0)</f>
        <v>348172</v>
      </c>
      <c r="O162" s="236">
        <f>IFERROR(__xludf.DUMMYFUNCTION("""COMPUTED_VALUE"""),14.0)</f>
        <v>14</v>
      </c>
      <c r="P162" s="236">
        <f>IFERROR(__xludf.DUMMYFUNCTION("""COMPUTED_VALUE"""),2821.0)</f>
        <v>2821</v>
      </c>
      <c r="Q162" s="236">
        <f>IFERROR(__xludf.DUMMYFUNCTION("""COMPUTED_VALUE"""),13.0)</f>
        <v>13</v>
      </c>
      <c r="R162" s="236">
        <f>IFERROR(__xludf.DUMMYFUNCTION("""COMPUTED_VALUE"""),2376.0)</f>
        <v>2376</v>
      </c>
      <c r="S162" s="236">
        <f>IFERROR(__xludf.DUMMYFUNCTION("""COMPUTED_VALUE"""),1.0)</f>
        <v>1</v>
      </c>
      <c r="T162" s="236">
        <f>IFERROR(__xludf.DUMMYFUNCTION("""COMPUTED_VALUE"""),361.0)</f>
        <v>361</v>
      </c>
      <c r="U162" s="236">
        <f>IFERROR(__xludf.DUMMYFUNCTION("""COMPUTED_VALUE"""),84.0)</f>
        <v>84</v>
      </c>
      <c r="V162" s="236">
        <f>IFERROR(__xludf.DUMMYFUNCTION("""COMPUTED_VALUE"""),83.0)</f>
        <v>83</v>
      </c>
      <c r="W162" s="236">
        <f>IFERROR(__xludf.DUMMYFUNCTION("""COMPUTED_VALUE"""),8.0)</f>
        <v>8</v>
      </c>
      <c r="X162" s="236">
        <f>IFERROR(__xludf.DUMMYFUNCTION("""COMPUTED_VALUE"""),5.0)</f>
        <v>5</v>
      </c>
      <c r="Y162" s="236">
        <f>IFERROR(__xludf.DUMMYFUNCTION("""COMPUTED_VALUE"""),2.0)</f>
        <v>2</v>
      </c>
      <c r="Z162" s="236">
        <f>IFERROR(__xludf.DUMMYFUNCTION("""COMPUTED_VALUE"""),1127.0)</f>
        <v>1127</v>
      </c>
    </row>
    <row r="163">
      <c r="A163" s="235">
        <f>IFERROR(__xludf.DUMMYFUNCTION("""COMPUTED_VALUE"""),44107.0)</f>
        <v>44107</v>
      </c>
      <c r="B163" s="236">
        <f>IFERROR(__xludf.DUMMYFUNCTION("""COMPUTED_VALUE"""),157.0)</f>
        <v>157</v>
      </c>
      <c r="C163" s="236">
        <f>IFERROR(__xludf.DUMMYFUNCTION("""COMPUTED_VALUE"""),184.0)</f>
        <v>184</v>
      </c>
      <c r="D163" s="236">
        <f>IFERROR(__xludf.DUMMYFUNCTION("""COMPUTED_VALUE"""),35513.0)</f>
        <v>35513</v>
      </c>
      <c r="E163" s="236">
        <f>IFERROR(__xludf.DUMMYFUNCTION("""COMPUTED_VALUE"""),9312.0)</f>
        <v>9312</v>
      </c>
      <c r="F163" s="172">
        <f>IFERROR(__xludf.DUMMYFUNCTION("""COMPUTED_VALUE"""),784762.0)</f>
        <v>784762</v>
      </c>
      <c r="G163" s="172">
        <f>IFERROR(__xludf.DUMMYFUNCTION("""COMPUTED_VALUE"""),9469.0)</f>
        <v>9469</v>
      </c>
      <c r="H163" s="172">
        <f>IFERROR(__xludf.DUMMYFUNCTION("""COMPUTED_VALUE"""),820275.0)</f>
        <v>820275</v>
      </c>
      <c r="I163" s="236">
        <f>IFERROR(__xludf.DUMMYFUNCTION("""COMPUTED_VALUE"""),131.0)</f>
        <v>131</v>
      </c>
      <c r="J163" s="236">
        <f>IFERROR(__xludf.DUMMYFUNCTION("""COMPUTED_VALUE"""),160.0)</f>
        <v>160</v>
      </c>
      <c r="K163" s="236">
        <f>IFERROR(__xludf.DUMMYFUNCTION("""COMPUTED_VALUE"""),25483.0)</f>
        <v>25483</v>
      </c>
      <c r="L163" s="236">
        <f>IFERROR(__xludf.DUMMYFUNCTION("""COMPUTED_VALUE"""),2023.0)</f>
        <v>2023</v>
      </c>
      <c r="M163" s="236">
        <f>IFERROR(__xludf.DUMMYFUNCTION("""COMPUTED_VALUE"""),324843.0)</f>
        <v>324843</v>
      </c>
      <c r="N163" s="236">
        <f>IFERROR(__xludf.DUMMYFUNCTION("""COMPUTED_VALUE"""),350326.0)</f>
        <v>350326</v>
      </c>
      <c r="O163" s="236">
        <f>IFERROR(__xludf.DUMMYFUNCTION("""COMPUTED_VALUE"""),9.0)</f>
        <v>9</v>
      </c>
      <c r="P163" s="236">
        <f>IFERROR(__xludf.DUMMYFUNCTION("""COMPUTED_VALUE"""),2830.0)</f>
        <v>2830</v>
      </c>
      <c r="Q163" s="236">
        <f>IFERROR(__xludf.DUMMYFUNCTION("""COMPUTED_VALUE"""),9.0)</f>
        <v>9</v>
      </c>
      <c r="R163" s="236">
        <f>IFERROR(__xludf.DUMMYFUNCTION("""COMPUTED_VALUE"""),2385.0)</f>
        <v>2385</v>
      </c>
      <c r="S163" s="236">
        <f>IFERROR(__xludf.DUMMYFUNCTION("""COMPUTED_VALUE"""),2.0)</f>
        <v>2</v>
      </c>
      <c r="T163" s="236">
        <f>IFERROR(__xludf.DUMMYFUNCTION("""COMPUTED_VALUE"""),363.0)</f>
        <v>363</v>
      </c>
      <c r="U163" s="236">
        <f>IFERROR(__xludf.DUMMYFUNCTION("""COMPUTED_VALUE"""),82.0)</f>
        <v>82</v>
      </c>
      <c r="V163" s="236">
        <f>IFERROR(__xludf.DUMMYFUNCTION("""COMPUTED_VALUE"""),83.0)</f>
        <v>83</v>
      </c>
      <c r="W163" s="236">
        <f>IFERROR(__xludf.DUMMYFUNCTION("""COMPUTED_VALUE"""),9.0)</f>
        <v>9</v>
      </c>
      <c r="X163" s="236">
        <f>IFERROR(__xludf.DUMMYFUNCTION("""COMPUTED_VALUE"""),4.0)</f>
        <v>4</v>
      </c>
      <c r="Y163" s="236">
        <f>IFERROR(__xludf.DUMMYFUNCTION("""COMPUTED_VALUE"""),2.0)</f>
        <v>2</v>
      </c>
      <c r="Z163" s="236">
        <f>IFERROR(__xludf.DUMMYFUNCTION("""COMPUTED_VALUE"""),1129.0)</f>
        <v>1129</v>
      </c>
    </row>
    <row r="164">
      <c r="A164" s="235">
        <f>IFERROR(__xludf.DUMMYFUNCTION("""COMPUTED_VALUE"""),44108.0)</f>
        <v>44108</v>
      </c>
      <c r="B164" s="236">
        <f>IFERROR(__xludf.DUMMYFUNCTION("""COMPUTED_VALUE"""),81.0)</f>
        <v>81</v>
      </c>
      <c r="C164" s="236">
        <f>IFERROR(__xludf.DUMMYFUNCTION("""COMPUTED_VALUE"""),149.0)</f>
        <v>149</v>
      </c>
      <c r="D164" s="236">
        <f>IFERROR(__xludf.DUMMYFUNCTION("""COMPUTED_VALUE"""),35594.0)</f>
        <v>35594</v>
      </c>
      <c r="E164" s="236">
        <f>IFERROR(__xludf.DUMMYFUNCTION("""COMPUTED_VALUE"""),2369.0)</f>
        <v>2369</v>
      </c>
      <c r="F164" s="172">
        <f>IFERROR(__xludf.DUMMYFUNCTION("""COMPUTED_VALUE"""),787131.0)</f>
        <v>787131</v>
      </c>
      <c r="G164" s="172">
        <f>IFERROR(__xludf.DUMMYFUNCTION("""COMPUTED_VALUE"""),2450.0)</f>
        <v>2450</v>
      </c>
      <c r="H164" s="172">
        <f>IFERROR(__xludf.DUMMYFUNCTION("""COMPUTED_VALUE"""),822725.0)</f>
        <v>822725</v>
      </c>
      <c r="I164" s="236">
        <f>IFERROR(__xludf.DUMMYFUNCTION("""COMPUTED_VALUE"""),78.0)</f>
        <v>78</v>
      </c>
      <c r="J164" s="236">
        <f>IFERROR(__xludf.DUMMYFUNCTION("""COMPUTED_VALUE"""),130.0)</f>
        <v>130</v>
      </c>
      <c r="K164" s="236">
        <f>IFERROR(__xludf.DUMMYFUNCTION("""COMPUTED_VALUE"""),25561.0)</f>
        <v>25561</v>
      </c>
      <c r="L164" s="236">
        <f>IFERROR(__xludf.DUMMYFUNCTION("""COMPUTED_VALUE"""),954.0)</f>
        <v>954</v>
      </c>
      <c r="M164" s="236">
        <f>IFERROR(__xludf.DUMMYFUNCTION("""COMPUTED_VALUE"""),325797.0)</f>
        <v>325797</v>
      </c>
      <c r="N164" s="236">
        <f>IFERROR(__xludf.DUMMYFUNCTION("""COMPUTED_VALUE"""),351358.0)</f>
        <v>351358</v>
      </c>
      <c r="O164" s="236">
        <f>IFERROR(__xludf.DUMMYFUNCTION("""COMPUTED_VALUE"""),11.0)</f>
        <v>11</v>
      </c>
      <c r="P164" s="236">
        <f>IFERROR(__xludf.DUMMYFUNCTION("""COMPUTED_VALUE"""),2841.0)</f>
        <v>2841</v>
      </c>
      <c r="Q164" s="236">
        <f>IFERROR(__xludf.DUMMYFUNCTION("""COMPUTED_VALUE"""),9.0)</f>
        <v>9</v>
      </c>
      <c r="R164" s="236">
        <f>IFERROR(__xludf.DUMMYFUNCTION("""COMPUTED_VALUE"""),2394.0)</f>
        <v>2394</v>
      </c>
      <c r="S164" s="236">
        <f>IFERROR(__xludf.DUMMYFUNCTION("""COMPUTED_VALUE"""),1.0)</f>
        <v>1</v>
      </c>
      <c r="T164" s="236">
        <f>IFERROR(__xludf.DUMMYFUNCTION("""COMPUTED_VALUE"""),364.0)</f>
        <v>364</v>
      </c>
      <c r="U164" s="236">
        <f>IFERROR(__xludf.DUMMYFUNCTION("""COMPUTED_VALUE"""),83.0)</f>
        <v>83</v>
      </c>
      <c r="V164" s="236">
        <f>IFERROR(__xludf.DUMMYFUNCTION("""COMPUTED_VALUE"""),83.0)</f>
        <v>83</v>
      </c>
      <c r="W164" s="236">
        <f>IFERROR(__xludf.DUMMYFUNCTION("""COMPUTED_VALUE"""),8.0)</f>
        <v>8</v>
      </c>
      <c r="X164" s="236">
        <f>IFERROR(__xludf.DUMMYFUNCTION("""COMPUTED_VALUE"""),5.0)</f>
        <v>5</v>
      </c>
      <c r="Y164" s="236">
        <f>IFERROR(__xludf.DUMMYFUNCTION("""COMPUTED_VALUE"""),2.0)</f>
        <v>2</v>
      </c>
      <c r="Z164" s="236">
        <f>IFERROR(__xludf.DUMMYFUNCTION("""COMPUTED_VALUE"""),1131.0)</f>
        <v>1131</v>
      </c>
    </row>
    <row r="165">
      <c r="A165" s="235">
        <f>IFERROR(__xludf.DUMMYFUNCTION("""COMPUTED_VALUE"""),44109.0)</f>
        <v>44109</v>
      </c>
      <c r="B165" s="236">
        <f>IFERROR(__xludf.DUMMYFUNCTION("""COMPUTED_VALUE"""),174.0)</f>
        <v>174</v>
      </c>
      <c r="C165" s="236">
        <f>IFERROR(__xludf.DUMMYFUNCTION("""COMPUTED_VALUE"""),137.0)</f>
        <v>137</v>
      </c>
      <c r="D165" s="236">
        <f>IFERROR(__xludf.DUMMYFUNCTION("""COMPUTED_VALUE"""),35768.0)</f>
        <v>35768</v>
      </c>
      <c r="E165" s="236">
        <f>IFERROR(__xludf.DUMMYFUNCTION("""COMPUTED_VALUE"""),8982.0)</f>
        <v>8982</v>
      </c>
      <c r="F165" s="172">
        <f>IFERROR(__xludf.DUMMYFUNCTION("""COMPUTED_VALUE"""),796113.0)</f>
        <v>796113</v>
      </c>
      <c r="G165" s="172">
        <f>IFERROR(__xludf.DUMMYFUNCTION("""COMPUTED_VALUE"""),9156.0)</f>
        <v>9156</v>
      </c>
      <c r="H165" s="172">
        <f>IFERROR(__xludf.DUMMYFUNCTION("""COMPUTED_VALUE"""),831881.0)</f>
        <v>831881</v>
      </c>
      <c r="I165" s="236">
        <f>IFERROR(__xludf.DUMMYFUNCTION("""COMPUTED_VALUE"""),160.0)</f>
        <v>160</v>
      </c>
      <c r="J165" s="236">
        <f>IFERROR(__xludf.DUMMYFUNCTION("""COMPUTED_VALUE"""),123.0)</f>
        <v>123</v>
      </c>
      <c r="K165" s="236">
        <f>IFERROR(__xludf.DUMMYFUNCTION("""COMPUTED_VALUE"""),25721.0)</f>
        <v>25721</v>
      </c>
      <c r="L165" s="236">
        <f>IFERROR(__xludf.DUMMYFUNCTION("""COMPUTED_VALUE"""),3033.0)</f>
        <v>3033</v>
      </c>
      <c r="M165" s="236">
        <f>IFERROR(__xludf.DUMMYFUNCTION("""COMPUTED_VALUE"""),328830.0)</f>
        <v>328830</v>
      </c>
      <c r="N165" s="236">
        <f>IFERROR(__xludf.DUMMYFUNCTION("""COMPUTED_VALUE"""),354551.0)</f>
        <v>354551</v>
      </c>
      <c r="O165" s="236">
        <f>IFERROR(__xludf.DUMMYFUNCTION("""COMPUTED_VALUE"""),30.0)</f>
        <v>30</v>
      </c>
      <c r="P165" s="236">
        <f>IFERROR(__xludf.DUMMYFUNCTION("""COMPUTED_VALUE"""),2871.0)</f>
        <v>2871</v>
      </c>
      <c r="Q165" s="236">
        <f>IFERROR(__xludf.DUMMYFUNCTION("""COMPUTED_VALUE"""),11.0)</f>
        <v>11</v>
      </c>
      <c r="R165" s="236">
        <f>IFERROR(__xludf.DUMMYFUNCTION("""COMPUTED_VALUE"""),2405.0)</f>
        <v>2405</v>
      </c>
      <c r="S165" s="236">
        <f>IFERROR(__xludf.DUMMYFUNCTION("""COMPUTED_VALUE"""),2.0)</f>
        <v>2</v>
      </c>
      <c r="T165" s="236">
        <f>IFERROR(__xludf.DUMMYFUNCTION("""COMPUTED_VALUE"""),366.0)</f>
        <v>366</v>
      </c>
      <c r="U165" s="236">
        <f>IFERROR(__xludf.DUMMYFUNCTION("""COMPUTED_VALUE"""),100.0)</f>
        <v>100</v>
      </c>
      <c r="V165" s="236">
        <f>IFERROR(__xludf.DUMMYFUNCTION("""COMPUTED_VALUE"""),88.0)</f>
        <v>88</v>
      </c>
      <c r="W165" s="236">
        <f>IFERROR(__xludf.DUMMYFUNCTION("""COMPUTED_VALUE"""),9.0)</f>
        <v>9</v>
      </c>
      <c r="X165" s="236">
        <f>IFERROR(__xludf.DUMMYFUNCTION("""COMPUTED_VALUE"""),6.0)</f>
        <v>6</v>
      </c>
      <c r="Y165" s="236">
        <f>IFERROR(__xludf.DUMMYFUNCTION("""COMPUTED_VALUE"""),4.0)</f>
        <v>4</v>
      </c>
      <c r="Z165" s="236">
        <f>IFERROR(__xludf.DUMMYFUNCTION("""COMPUTED_VALUE"""),1135.0)</f>
        <v>1135</v>
      </c>
    </row>
    <row r="166">
      <c r="A166" s="235">
        <f>IFERROR(__xludf.DUMMYFUNCTION("""COMPUTED_VALUE"""),44110.0)</f>
        <v>44110</v>
      </c>
      <c r="B166" s="236">
        <f>IFERROR(__xludf.DUMMYFUNCTION("""COMPUTED_VALUE"""),177.0)</f>
        <v>177</v>
      </c>
      <c r="C166" s="236">
        <f>IFERROR(__xludf.DUMMYFUNCTION("""COMPUTED_VALUE"""),144.0)</f>
        <v>144</v>
      </c>
      <c r="D166" s="236">
        <f>IFERROR(__xludf.DUMMYFUNCTION("""COMPUTED_VALUE"""),35945.0)</f>
        <v>35945</v>
      </c>
      <c r="E166" s="236">
        <f>IFERROR(__xludf.DUMMYFUNCTION("""COMPUTED_VALUE"""),11185.0)</f>
        <v>11185</v>
      </c>
      <c r="F166" s="172">
        <f>IFERROR(__xludf.DUMMYFUNCTION("""COMPUTED_VALUE"""),807298.0)</f>
        <v>807298</v>
      </c>
      <c r="G166" s="172">
        <f>IFERROR(__xludf.DUMMYFUNCTION("""COMPUTED_VALUE"""),11362.0)</f>
        <v>11362</v>
      </c>
      <c r="H166" s="172">
        <f>IFERROR(__xludf.DUMMYFUNCTION("""COMPUTED_VALUE"""),843243.0)</f>
        <v>843243</v>
      </c>
      <c r="I166" s="236">
        <f>IFERROR(__xludf.DUMMYFUNCTION("""COMPUTED_VALUE"""),186.0)</f>
        <v>186</v>
      </c>
      <c r="J166" s="236">
        <f>IFERROR(__xludf.DUMMYFUNCTION("""COMPUTED_VALUE"""),141.0)</f>
        <v>141</v>
      </c>
      <c r="K166" s="236">
        <f>IFERROR(__xludf.DUMMYFUNCTION("""COMPUTED_VALUE"""),25907.0)</f>
        <v>25907</v>
      </c>
      <c r="L166" s="236">
        <f>IFERROR(__xludf.DUMMYFUNCTION("""COMPUTED_VALUE"""),2904.0)</f>
        <v>2904</v>
      </c>
      <c r="M166" s="236">
        <f>IFERROR(__xludf.DUMMYFUNCTION("""COMPUTED_VALUE"""),331734.0)</f>
        <v>331734</v>
      </c>
      <c r="N166" s="236">
        <f>IFERROR(__xludf.DUMMYFUNCTION("""COMPUTED_VALUE"""),357641.0)</f>
        <v>357641</v>
      </c>
      <c r="O166" s="236">
        <f>IFERROR(__xludf.DUMMYFUNCTION("""COMPUTED_VALUE"""),11.0)</f>
        <v>11</v>
      </c>
      <c r="P166" s="236">
        <f>IFERROR(__xludf.DUMMYFUNCTION("""COMPUTED_VALUE"""),2882.0)</f>
        <v>2882</v>
      </c>
      <c r="Q166" s="236">
        <f>IFERROR(__xludf.DUMMYFUNCTION("""COMPUTED_VALUE"""),5.0)</f>
        <v>5</v>
      </c>
      <c r="R166" s="236">
        <f>IFERROR(__xludf.DUMMYFUNCTION("""COMPUTED_VALUE"""),2410.0)</f>
        <v>2410</v>
      </c>
      <c r="S166" s="236">
        <f>IFERROR(__xludf.DUMMYFUNCTION("""COMPUTED_VALUE"""),0.0)</f>
        <v>0</v>
      </c>
      <c r="T166" s="236">
        <f>IFERROR(__xludf.DUMMYFUNCTION("""COMPUTED_VALUE"""),366.0)</f>
        <v>366</v>
      </c>
      <c r="U166" s="236">
        <f>IFERROR(__xludf.DUMMYFUNCTION("""COMPUTED_VALUE"""),106.0)</f>
        <v>106</v>
      </c>
      <c r="V166" s="236">
        <f>IFERROR(__xludf.DUMMYFUNCTION("""COMPUTED_VALUE"""),96.0)</f>
        <v>96</v>
      </c>
      <c r="W166" s="236">
        <f>IFERROR(__xludf.DUMMYFUNCTION("""COMPUTED_VALUE"""),11.0)</f>
        <v>11</v>
      </c>
      <c r="X166" s="236">
        <f>IFERROR(__xludf.DUMMYFUNCTION("""COMPUTED_VALUE"""),7.0)</f>
        <v>7</v>
      </c>
      <c r="Y166" s="236">
        <f>IFERROR(__xludf.DUMMYFUNCTION("""COMPUTED_VALUE"""),0.0)</f>
        <v>0</v>
      </c>
      <c r="Z166" s="236">
        <f>IFERROR(__xludf.DUMMYFUNCTION("""COMPUTED_VALUE"""),1135.0)</f>
        <v>1135</v>
      </c>
    </row>
    <row r="167">
      <c r="A167" s="235">
        <f>IFERROR(__xludf.DUMMYFUNCTION("""COMPUTED_VALUE"""),44111.0)</f>
        <v>44111</v>
      </c>
      <c r="B167" s="236">
        <f>IFERROR(__xludf.DUMMYFUNCTION("""COMPUTED_VALUE"""),231.0)</f>
        <v>231</v>
      </c>
      <c r="C167" s="236">
        <f>IFERROR(__xludf.DUMMYFUNCTION("""COMPUTED_VALUE"""),194.0)</f>
        <v>194</v>
      </c>
      <c r="D167" s="236">
        <f>IFERROR(__xludf.DUMMYFUNCTION("""COMPUTED_VALUE"""),36176.0)</f>
        <v>36176</v>
      </c>
      <c r="E167" s="236">
        <f>IFERROR(__xludf.DUMMYFUNCTION("""COMPUTED_VALUE"""),12440.0)</f>
        <v>12440</v>
      </c>
      <c r="F167" s="172">
        <f>IFERROR(__xludf.DUMMYFUNCTION("""COMPUTED_VALUE"""),819738.0)</f>
        <v>819738</v>
      </c>
      <c r="G167" s="172">
        <f>IFERROR(__xludf.DUMMYFUNCTION("""COMPUTED_VALUE"""),12671.0)</f>
        <v>12671</v>
      </c>
      <c r="H167" s="172">
        <f>IFERROR(__xludf.DUMMYFUNCTION("""COMPUTED_VALUE"""),855914.0)</f>
        <v>855914</v>
      </c>
      <c r="I167" s="236">
        <f>IFERROR(__xludf.DUMMYFUNCTION("""COMPUTED_VALUE"""),244.0)</f>
        <v>244</v>
      </c>
      <c r="J167" s="236">
        <f>IFERROR(__xludf.DUMMYFUNCTION("""COMPUTED_VALUE"""),197.0)</f>
        <v>197</v>
      </c>
      <c r="K167" s="236">
        <f>IFERROR(__xludf.DUMMYFUNCTION("""COMPUTED_VALUE"""),26151.0)</f>
        <v>26151</v>
      </c>
      <c r="L167" s="236">
        <f>IFERROR(__xludf.DUMMYFUNCTION("""COMPUTED_VALUE"""),3541.0)</f>
        <v>3541</v>
      </c>
      <c r="M167" s="236">
        <f>IFERROR(__xludf.DUMMYFUNCTION("""COMPUTED_VALUE"""),335275.0)</f>
        <v>335275</v>
      </c>
      <c r="N167" s="236">
        <f>IFERROR(__xludf.DUMMYFUNCTION("""COMPUTED_VALUE"""),361426.0)</f>
        <v>361426</v>
      </c>
      <c r="O167" s="236">
        <f>IFERROR(__xludf.DUMMYFUNCTION("""COMPUTED_VALUE"""),13.0)</f>
        <v>13</v>
      </c>
      <c r="P167" s="236">
        <f>IFERROR(__xludf.DUMMYFUNCTION("""COMPUTED_VALUE"""),2895.0)</f>
        <v>2895</v>
      </c>
      <c r="Q167" s="236">
        <f>IFERROR(__xludf.DUMMYFUNCTION("""COMPUTED_VALUE"""),14.0)</f>
        <v>14</v>
      </c>
      <c r="R167" s="236">
        <f>IFERROR(__xludf.DUMMYFUNCTION("""COMPUTED_VALUE"""),2424.0)</f>
        <v>2424</v>
      </c>
      <c r="S167" s="236">
        <f>IFERROR(__xludf.DUMMYFUNCTION("""COMPUTED_VALUE"""),2.0)</f>
        <v>2</v>
      </c>
      <c r="T167" s="236">
        <f>IFERROR(__xludf.DUMMYFUNCTION("""COMPUTED_VALUE"""),368.0)</f>
        <v>368</v>
      </c>
      <c r="U167" s="236">
        <f>IFERROR(__xludf.DUMMYFUNCTION("""COMPUTED_VALUE"""),103.0)</f>
        <v>103</v>
      </c>
      <c r="V167" s="236">
        <f>IFERROR(__xludf.DUMMYFUNCTION("""COMPUTED_VALUE"""),103.0)</f>
        <v>103</v>
      </c>
      <c r="W167" s="236">
        <f>IFERROR(__xludf.DUMMYFUNCTION("""COMPUTED_VALUE"""),9.0)</f>
        <v>9</v>
      </c>
      <c r="X167" s="236">
        <f>IFERROR(__xludf.DUMMYFUNCTION("""COMPUTED_VALUE"""),7.0)</f>
        <v>7</v>
      </c>
      <c r="Y167" s="236">
        <f>IFERROR(__xludf.DUMMYFUNCTION("""COMPUTED_VALUE"""),2.0)</f>
        <v>2</v>
      </c>
      <c r="Z167" s="236">
        <f>IFERROR(__xludf.DUMMYFUNCTION("""COMPUTED_VALUE"""),1137.0)</f>
        <v>1137</v>
      </c>
    </row>
    <row r="168">
      <c r="A168" s="235">
        <f>IFERROR(__xludf.DUMMYFUNCTION("""COMPUTED_VALUE"""),44112.0)</f>
        <v>44112</v>
      </c>
      <c r="B168" s="236">
        <f>IFERROR(__xludf.DUMMYFUNCTION("""COMPUTED_VALUE"""),262.0)</f>
        <v>262</v>
      </c>
      <c r="C168" s="236">
        <f>IFERROR(__xludf.DUMMYFUNCTION("""COMPUTED_VALUE"""),223.0)</f>
        <v>223</v>
      </c>
      <c r="D168" s="236">
        <f>IFERROR(__xludf.DUMMYFUNCTION("""COMPUTED_VALUE"""),36438.0)</f>
        <v>36438</v>
      </c>
      <c r="E168" s="236">
        <f>IFERROR(__xludf.DUMMYFUNCTION("""COMPUTED_VALUE"""),15233.0)</f>
        <v>15233</v>
      </c>
      <c r="F168" s="172">
        <f>IFERROR(__xludf.DUMMYFUNCTION("""COMPUTED_VALUE"""),834971.0)</f>
        <v>834971</v>
      </c>
      <c r="G168" s="172">
        <f>IFERROR(__xludf.DUMMYFUNCTION("""COMPUTED_VALUE"""),15495.0)</f>
        <v>15495</v>
      </c>
      <c r="H168" s="172">
        <f>IFERROR(__xludf.DUMMYFUNCTION("""COMPUTED_VALUE"""),871409.0)</f>
        <v>871409</v>
      </c>
      <c r="I168" s="236">
        <f>IFERROR(__xludf.DUMMYFUNCTION("""COMPUTED_VALUE"""),274.0)</f>
        <v>274</v>
      </c>
      <c r="J168" s="236">
        <f>IFERROR(__xludf.DUMMYFUNCTION("""COMPUTED_VALUE"""),235.0)</f>
        <v>235</v>
      </c>
      <c r="K168" s="236">
        <f>IFERROR(__xludf.DUMMYFUNCTION("""COMPUTED_VALUE"""),26425.0)</f>
        <v>26425</v>
      </c>
      <c r="L168" s="236">
        <f>IFERROR(__xludf.DUMMYFUNCTION("""COMPUTED_VALUE"""),4212.0)</f>
        <v>4212</v>
      </c>
      <c r="M168" s="236">
        <f>IFERROR(__xludf.DUMMYFUNCTION("""COMPUTED_VALUE"""),339487.0)</f>
        <v>339487</v>
      </c>
      <c r="N168" s="236">
        <f>IFERROR(__xludf.DUMMYFUNCTION("""COMPUTED_VALUE"""),365912.0)</f>
        <v>365912</v>
      </c>
      <c r="O168" s="236">
        <f>IFERROR(__xludf.DUMMYFUNCTION("""COMPUTED_VALUE"""),17.0)</f>
        <v>17</v>
      </c>
      <c r="P168" s="236">
        <f>IFERROR(__xludf.DUMMYFUNCTION("""COMPUTED_VALUE"""),2912.0)</f>
        <v>2912</v>
      </c>
      <c r="Q168" s="236">
        <f>IFERROR(__xludf.DUMMYFUNCTION("""COMPUTED_VALUE"""),13.0)</f>
        <v>13</v>
      </c>
      <c r="R168" s="236">
        <f>IFERROR(__xludf.DUMMYFUNCTION("""COMPUTED_VALUE"""),2437.0)</f>
        <v>2437</v>
      </c>
      <c r="S168" s="236">
        <f>IFERROR(__xludf.DUMMYFUNCTION("""COMPUTED_VALUE"""),2.0)</f>
        <v>2</v>
      </c>
      <c r="T168" s="236">
        <f>IFERROR(__xludf.DUMMYFUNCTION("""COMPUTED_VALUE"""),370.0)</f>
        <v>370</v>
      </c>
      <c r="U168" s="236">
        <f>IFERROR(__xludf.DUMMYFUNCTION("""COMPUTED_VALUE"""),105.0)</f>
        <v>105</v>
      </c>
      <c r="V168" s="236">
        <f>IFERROR(__xludf.DUMMYFUNCTION("""COMPUTED_VALUE"""),105.0)</f>
        <v>105</v>
      </c>
      <c r="W168" s="236">
        <f>IFERROR(__xludf.DUMMYFUNCTION("""COMPUTED_VALUE"""),7.0)</f>
        <v>7</v>
      </c>
      <c r="X168" s="236">
        <f>IFERROR(__xludf.DUMMYFUNCTION("""COMPUTED_VALUE"""),5.0)</f>
        <v>5</v>
      </c>
      <c r="Y168" s="236">
        <f>IFERROR(__xludf.DUMMYFUNCTION("""COMPUTED_VALUE"""),4.0)</f>
        <v>4</v>
      </c>
      <c r="Z168" s="236">
        <f>IFERROR(__xludf.DUMMYFUNCTION("""COMPUTED_VALUE"""),1141.0)</f>
        <v>1141</v>
      </c>
    </row>
    <row r="169">
      <c r="A169" s="235">
        <f>IFERROR(__xludf.DUMMYFUNCTION("""COMPUTED_VALUE"""),44113.0)</f>
        <v>44113</v>
      </c>
      <c r="B169" s="236">
        <f>IFERROR(__xludf.DUMMYFUNCTION("""COMPUTED_VALUE"""),217.0)</f>
        <v>217</v>
      </c>
      <c r="C169" s="236">
        <f>IFERROR(__xludf.DUMMYFUNCTION("""COMPUTED_VALUE"""),237.0)</f>
        <v>237</v>
      </c>
      <c r="D169" s="236">
        <f>IFERROR(__xludf.DUMMYFUNCTION("""COMPUTED_VALUE"""),36655.0)</f>
        <v>36655</v>
      </c>
      <c r="E169" s="236">
        <f>IFERROR(__xludf.DUMMYFUNCTION("""COMPUTED_VALUE"""),13745.0)</f>
        <v>13745</v>
      </c>
      <c r="F169" s="172">
        <f>IFERROR(__xludf.DUMMYFUNCTION("""COMPUTED_VALUE"""),848716.0)</f>
        <v>848716</v>
      </c>
      <c r="G169" s="172">
        <f>IFERROR(__xludf.DUMMYFUNCTION("""COMPUTED_VALUE"""),13962.0)</f>
        <v>13962</v>
      </c>
      <c r="H169" s="172">
        <f>IFERROR(__xludf.DUMMYFUNCTION("""COMPUTED_VALUE"""),885371.0)</f>
        <v>885371</v>
      </c>
      <c r="I169" s="236">
        <f>IFERROR(__xludf.DUMMYFUNCTION("""COMPUTED_VALUE"""),199.0)</f>
        <v>199</v>
      </c>
      <c r="J169" s="236">
        <f>IFERROR(__xludf.DUMMYFUNCTION("""COMPUTED_VALUE"""),239.0)</f>
        <v>239</v>
      </c>
      <c r="K169" s="236">
        <f>IFERROR(__xludf.DUMMYFUNCTION("""COMPUTED_VALUE"""),26624.0)</f>
        <v>26624</v>
      </c>
      <c r="L169" s="236">
        <f>IFERROR(__xludf.DUMMYFUNCTION("""COMPUTED_VALUE"""),4333.0)</f>
        <v>4333</v>
      </c>
      <c r="M169" s="236">
        <f>IFERROR(__xludf.DUMMYFUNCTION("""COMPUTED_VALUE"""),343820.0)</f>
        <v>343820</v>
      </c>
      <c r="N169" s="236">
        <f>IFERROR(__xludf.DUMMYFUNCTION("""COMPUTED_VALUE"""),370444.0)</f>
        <v>370444</v>
      </c>
      <c r="O169" s="236">
        <f>IFERROR(__xludf.DUMMYFUNCTION("""COMPUTED_VALUE"""),21.0)</f>
        <v>21</v>
      </c>
      <c r="P169" s="236">
        <f>IFERROR(__xludf.DUMMYFUNCTION("""COMPUTED_VALUE"""),2933.0)</f>
        <v>2933</v>
      </c>
      <c r="Q169" s="236">
        <f>IFERROR(__xludf.DUMMYFUNCTION("""COMPUTED_VALUE"""),12.0)</f>
        <v>12</v>
      </c>
      <c r="R169" s="236">
        <f>IFERROR(__xludf.DUMMYFUNCTION("""COMPUTED_VALUE"""),2449.0)</f>
        <v>2449</v>
      </c>
      <c r="S169" s="236">
        <f>IFERROR(__xludf.DUMMYFUNCTION("""COMPUTED_VALUE"""),0.0)</f>
        <v>0</v>
      </c>
      <c r="T169" s="236">
        <f>IFERROR(__xludf.DUMMYFUNCTION("""COMPUTED_VALUE"""),370.0)</f>
        <v>370</v>
      </c>
      <c r="U169" s="236">
        <f>IFERROR(__xludf.DUMMYFUNCTION("""COMPUTED_VALUE"""),114.0)</f>
        <v>114</v>
      </c>
      <c r="V169" s="236">
        <f>IFERROR(__xludf.DUMMYFUNCTION("""COMPUTED_VALUE"""),107.0)</f>
        <v>107</v>
      </c>
      <c r="W169" s="236">
        <f>IFERROR(__xludf.DUMMYFUNCTION("""COMPUTED_VALUE"""),10.0)</f>
        <v>10</v>
      </c>
      <c r="X169" s="236">
        <f>IFERROR(__xludf.DUMMYFUNCTION("""COMPUTED_VALUE"""),7.0)</f>
        <v>7</v>
      </c>
      <c r="Y169" s="236">
        <f>IFERROR(__xludf.DUMMYFUNCTION("""COMPUTED_VALUE"""),3.0)</f>
        <v>3</v>
      </c>
      <c r="Z169" s="236">
        <f>IFERROR(__xludf.DUMMYFUNCTION("""COMPUTED_VALUE"""),1144.0)</f>
        <v>1144</v>
      </c>
    </row>
    <row r="170">
      <c r="A170" s="235">
        <f>IFERROR(__xludf.DUMMYFUNCTION("""COMPUTED_VALUE"""),44114.0)</f>
        <v>44114</v>
      </c>
      <c r="B170" s="236">
        <f>IFERROR(__xludf.DUMMYFUNCTION("""COMPUTED_VALUE"""),229.0)</f>
        <v>229</v>
      </c>
      <c r="C170" s="236">
        <f>IFERROR(__xludf.DUMMYFUNCTION("""COMPUTED_VALUE"""),236.0)</f>
        <v>236</v>
      </c>
      <c r="D170" s="236">
        <f>IFERROR(__xludf.DUMMYFUNCTION("""COMPUTED_VALUE"""),36884.0)</f>
        <v>36884</v>
      </c>
      <c r="E170" s="236">
        <f>IFERROR(__xludf.DUMMYFUNCTION("""COMPUTED_VALUE"""),13832.0)</f>
        <v>13832</v>
      </c>
      <c r="F170" s="172">
        <f>IFERROR(__xludf.DUMMYFUNCTION("""COMPUTED_VALUE"""),862548.0)</f>
        <v>862548</v>
      </c>
      <c r="G170" s="172">
        <f>IFERROR(__xludf.DUMMYFUNCTION("""COMPUTED_VALUE"""),14061.0)</f>
        <v>14061</v>
      </c>
      <c r="H170" s="172">
        <f>IFERROR(__xludf.DUMMYFUNCTION("""COMPUTED_VALUE"""),899432.0)</f>
        <v>899432</v>
      </c>
      <c r="I170" s="236">
        <f>IFERROR(__xludf.DUMMYFUNCTION("""COMPUTED_VALUE"""),194.0)</f>
        <v>194</v>
      </c>
      <c r="J170" s="236">
        <f>IFERROR(__xludf.DUMMYFUNCTION("""COMPUTED_VALUE"""),222.0)</f>
        <v>222</v>
      </c>
      <c r="K170" s="236">
        <f>IFERROR(__xludf.DUMMYFUNCTION("""COMPUTED_VALUE"""),26818.0)</f>
        <v>26818</v>
      </c>
      <c r="L170" s="236">
        <f>IFERROR(__xludf.DUMMYFUNCTION("""COMPUTED_VALUE"""),3810.0)</f>
        <v>3810</v>
      </c>
      <c r="M170" s="236">
        <f>IFERROR(__xludf.DUMMYFUNCTION("""COMPUTED_VALUE"""),347630.0)</f>
        <v>347630</v>
      </c>
      <c r="N170" s="236">
        <f>IFERROR(__xludf.DUMMYFUNCTION("""COMPUTED_VALUE"""),374448.0)</f>
        <v>374448</v>
      </c>
      <c r="O170" s="236">
        <f>IFERROR(__xludf.DUMMYFUNCTION("""COMPUTED_VALUE"""),19.0)</f>
        <v>19</v>
      </c>
      <c r="P170" s="236">
        <f>IFERROR(__xludf.DUMMYFUNCTION("""COMPUTED_VALUE"""),2952.0)</f>
        <v>2952</v>
      </c>
      <c r="Q170" s="236">
        <f>IFERROR(__xludf.DUMMYFUNCTION("""COMPUTED_VALUE"""),10.0)</f>
        <v>10</v>
      </c>
      <c r="R170" s="236">
        <f>IFERROR(__xludf.DUMMYFUNCTION("""COMPUTED_VALUE"""),2459.0)</f>
        <v>2459</v>
      </c>
      <c r="S170" s="236">
        <f>IFERROR(__xludf.DUMMYFUNCTION("""COMPUTED_VALUE"""),1.0)</f>
        <v>1</v>
      </c>
      <c r="T170" s="236">
        <f>IFERROR(__xludf.DUMMYFUNCTION("""COMPUTED_VALUE"""),371.0)</f>
        <v>371</v>
      </c>
      <c r="U170" s="236">
        <f>IFERROR(__xludf.DUMMYFUNCTION("""COMPUTED_VALUE"""),122.0)</f>
        <v>122</v>
      </c>
      <c r="V170" s="236">
        <f>IFERROR(__xludf.DUMMYFUNCTION("""COMPUTED_VALUE"""),114.0)</f>
        <v>114</v>
      </c>
      <c r="W170" s="236">
        <f>IFERROR(__xludf.DUMMYFUNCTION("""COMPUTED_VALUE"""),13.0)</f>
        <v>13</v>
      </c>
      <c r="X170" s="236">
        <f>IFERROR(__xludf.DUMMYFUNCTION("""COMPUTED_VALUE"""),7.0)</f>
        <v>7</v>
      </c>
      <c r="Y170" s="236">
        <f>IFERROR(__xludf.DUMMYFUNCTION("""COMPUTED_VALUE"""),2.0)</f>
        <v>2</v>
      </c>
      <c r="Z170" s="236">
        <f>IFERROR(__xludf.DUMMYFUNCTION("""COMPUTED_VALUE"""),1146.0)</f>
        <v>1146</v>
      </c>
    </row>
    <row r="171">
      <c r="A171" s="235">
        <f>IFERROR(__xludf.DUMMYFUNCTION("""COMPUTED_VALUE"""),44115.0)</f>
        <v>44115</v>
      </c>
      <c r="B171" s="236">
        <f>IFERROR(__xludf.DUMMYFUNCTION("""COMPUTED_VALUE"""),97.0)</f>
        <v>97</v>
      </c>
      <c r="C171" s="236">
        <f>IFERROR(__xludf.DUMMYFUNCTION("""COMPUTED_VALUE"""),181.0)</f>
        <v>181</v>
      </c>
      <c r="D171" s="236">
        <f>IFERROR(__xludf.DUMMYFUNCTION("""COMPUTED_VALUE"""),36981.0)</f>
        <v>36981</v>
      </c>
      <c r="E171" s="236">
        <f>IFERROR(__xludf.DUMMYFUNCTION("""COMPUTED_VALUE"""),3263.0)</f>
        <v>3263</v>
      </c>
      <c r="F171" s="172">
        <f>IFERROR(__xludf.DUMMYFUNCTION("""COMPUTED_VALUE"""),865811.0)</f>
        <v>865811</v>
      </c>
      <c r="G171" s="172">
        <f>IFERROR(__xludf.DUMMYFUNCTION("""COMPUTED_VALUE"""),3360.0)</f>
        <v>3360</v>
      </c>
      <c r="H171" s="172">
        <f>IFERROR(__xludf.DUMMYFUNCTION("""COMPUTED_VALUE"""),902792.0)</f>
        <v>902792</v>
      </c>
      <c r="I171" s="236">
        <f>IFERROR(__xludf.DUMMYFUNCTION("""COMPUTED_VALUE"""),88.0)</f>
        <v>88</v>
      </c>
      <c r="J171" s="236">
        <f>IFERROR(__xludf.DUMMYFUNCTION("""COMPUTED_VALUE"""),160.0)</f>
        <v>160</v>
      </c>
      <c r="K171" s="236">
        <f>IFERROR(__xludf.DUMMYFUNCTION("""COMPUTED_VALUE"""),26906.0)</f>
        <v>26906</v>
      </c>
      <c r="L171" s="236">
        <f>IFERROR(__xludf.DUMMYFUNCTION("""COMPUTED_VALUE"""),1166.0)</f>
        <v>1166</v>
      </c>
      <c r="M171" s="236">
        <f>IFERROR(__xludf.DUMMYFUNCTION("""COMPUTED_VALUE"""),348796.0)</f>
        <v>348796</v>
      </c>
      <c r="N171" s="236">
        <f>IFERROR(__xludf.DUMMYFUNCTION("""COMPUTED_VALUE"""),375702.0)</f>
        <v>375702</v>
      </c>
      <c r="O171" s="236">
        <f>IFERROR(__xludf.DUMMYFUNCTION("""COMPUTED_VALUE"""),12.0)</f>
        <v>12</v>
      </c>
      <c r="P171" s="236">
        <f>IFERROR(__xludf.DUMMYFUNCTION("""COMPUTED_VALUE"""),2964.0)</f>
        <v>2964</v>
      </c>
      <c r="Q171" s="236">
        <f>IFERROR(__xludf.DUMMYFUNCTION("""COMPUTED_VALUE"""),9.0)</f>
        <v>9</v>
      </c>
      <c r="R171" s="236">
        <f>IFERROR(__xludf.DUMMYFUNCTION("""COMPUTED_VALUE"""),2468.0)</f>
        <v>2468</v>
      </c>
      <c r="S171" s="236">
        <f>IFERROR(__xludf.DUMMYFUNCTION("""COMPUTED_VALUE"""),1.0)</f>
        <v>1</v>
      </c>
      <c r="T171" s="236">
        <f>IFERROR(__xludf.DUMMYFUNCTION("""COMPUTED_VALUE"""),372.0)</f>
        <v>372</v>
      </c>
      <c r="U171" s="236">
        <f>IFERROR(__xludf.DUMMYFUNCTION("""COMPUTED_VALUE"""),124.0)</f>
        <v>124</v>
      </c>
      <c r="V171" s="236">
        <f>IFERROR(__xludf.DUMMYFUNCTION("""COMPUTED_VALUE"""),120.0)</f>
        <v>120</v>
      </c>
      <c r="W171" s="236">
        <f>IFERROR(__xludf.DUMMYFUNCTION("""COMPUTED_VALUE"""),14.0)</f>
        <v>14</v>
      </c>
      <c r="X171" s="236">
        <f>IFERROR(__xludf.DUMMYFUNCTION("""COMPUTED_VALUE"""),5.0)</f>
        <v>5</v>
      </c>
      <c r="Y171" s="236">
        <f>IFERROR(__xludf.DUMMYFUNCTION("""COMPUTED_VALUE"""),6.0)</f>
        <v>6</v>
      </c>
      <c r="Z171" s="236">
        <f>IFERROR(__xludf.DUMMYFUNCTION("""COMPUTED_VALUE"""),1152.0)</f>
        <v>1152</v>
      </c>
    </row>
    <row r="172">
      <c r="A172" s="235">
        <f>IFERROR(__xludf.DUMMYFUNCTION("""COMPUTED_VALUE"""),44116.0)</f>
        <v>44116</v>
      </c>
      <c r="B172" s="236">
        <f>IFERROR(__xludf.DUMMYFUNCTION("""COMPUTED_VALUE"""),169.0)</f>
        <v>169</v>
      </c>
      <c r="C172" s="236">
        <f>IFERROR(__xludf.DUMMYFUNCTION("""COMPUTED_VALUE"""),165.0)</f>
        <v>165</v>
      </c>
      <c r="D172" s="236">
        <f>IFERROR(__xludf.DUMMYFUNCTION("""COMPUTED_VALUE"""),37150.0)</f>
        <v>37150</v>
      </c>
      <c r="E172" s="236">
        <f>IFERROR(__xludf.DUMMYFUNCTION("""COMPUTED_VALUE"""),6439.0)</f>
        <v>6439</v>
      </c>
      <c r="F172" s="172">
        <f>IFERROR(__xludf.DUMMYFUNCTION("""COMPUTED_VALUE"""),872250.0)</f>
        <v>872250</v>
      </c>
      <c r="G172" s="172">
        <f>IFERROR(__xludf.DUMMYFUNCTION("""COMPUTED_VALUE"""),6608.0)</f>
        <v>6608</v>
      </c>
      <c r="H172" s="172">
        <f>IFERROR(__xludf.DUMMYFUNCTION("""COMPUTED_VALUE"""),909400.0)</f>
        <v>909400</v>
      </c>
      <c r="I172" s="236">
        <f>IFERROR(__xludf.DUMMYFUNCTION("""COMPUTED_VALUE"""),159.0)</f>
        <v>159</v>
      </c>
      <c r="J172" s="236">
        <f>IFERROR(__xludf.DUMMYFUNCTION("""COMPUTED_VALUE"""),147.0)</f>
        <v>147</v>
      </c>
      <c r="K172" s="236">
        <f>IFERROR(__xludf.DUMMYFUNCTION("""COMPUTED_VALUE"""),27065.0)</f>
        <v>27065</v>
      </c>
      <c r="L172" s="236">
        <f>IFERROR(__xludf.DUMMYFUNCTION("""COMPUTED_VALUE"""),1747.0)</f>
        <v>1747</v>
      </c>
      <c r="M172" s="236">
        <f>IFERROR(__xludf.DUMMYFUNCTION("""COMPUTED_VALUE"""),350543.0)</f>
        <v>350543</v>
      </c>
      <c r="N172" s="236">
        <f>IFERROR(__xludf.DUMMYFUNCTION("""COMPUTED_VALUE"""),377608.0)</f>
        <v>377608</v>
      </c>
      <c r="O172" s="236">
        <f>IFERROR(__xludf.DUMMYFUNCTION("""COMPUTED_VALUE"""),19.0)</f>
        <v>19</v>
      </c>
      <c r="P172" s="236">
        <f>IFERROR(__xludf.DUMMYFUNCTION("""COMPUTED_VALUE"""),2983.0)</f>
        <v>2983</v>
      </c>
      <c r="Q172" s="236">
        <f>IFERROR(__xludf.DUMMYFUNCTION("""COMPUTED_VALUE"""),15.0)</f>
        <v>15</v>
      </c>
      <c r="R172" s="236">
        <f>IFERROR(__xludf.DUMMYFUNCTION("""COMPUTED_VALUE"""),2483.0)</f>
        <v>2483</v>
      </c>
      <c r="S172" s="236">
        <f>IFERROR(__xludf.DUMMYFUNCTION("""COMPUTED_VALUE"""),2.0)</f>
        <v>2</v>
      </c>
      <c r="T172" s="236">
        <f>IFERROR(__xludf.DUMMYFUNCTION("""COMPUTED_VALUE"""),374.0)</f>
        <v>374</v>
      </c>
      <c r="U172" s="236">
        <f>IFERROR(__xludf.DUMMYFUNCTION("""COMPUTED_VALUE"""),126.0)</f>
        <v>126</v>
      </c>
      <c r="V172" s="236">
        <f>IFERROR(__xludf.DUMMYFUNCTION("""COMPUTED_VALUE"""),124.0)</f>
        <v>124</v>
      </c>
      <c r="W172" s="236">
        <f>IFERROR(__xludf.DUMMYFUNCTION("""COMPUTED_VALUE"""),14.0)</f>
        <v>14</v>
      </c>
      <c r="X172" s="236">
        <f>IFERROR(__xludf.DUMMYFUNCTION("""COMPUTED_VALUE"""),5.0)</f>
        <v>5</v>
      </c>
      <c r="Y172" s="236">
        <f>IFERROR(__xludf.DUMMYFUNCTION("""COMPUTED_VALUE"""),4.0)</f>
        <v>4</v>
      </c>
      <c r="Z172" s="236">
        <f>IFERROR(__xludf.DUMMYFUNCTION("""COMPUTED_VALUE"""),1156.0)</f>
        <v>1156</v>
      </c>
    </row>
    <row r="173">
      <c r="A173" s="235">
        <f>IFERROR(__xludf.DUMMYFUNCTION("""COMPUTED_VALUE"""),44117.0)</f>
        <v>44117</v>
      </c>
      <c r="B173" s="236">
        <f>IFERROR(__xludf.DUMMYFUNCTION("""COMPUTED_VALUE"""),213.0)</f>
        <v>213</v>
      </c>
      <c r="C173" s="236">
        <f>IFERROR(__xludf.DUMMYFUNCTION("""COMPUTED_VALUE"""),160.0)</f>
        <v>160</v>
      </c>
      <c r="D173" s="236">
        <f>IFERROR(__xludf.DUMMYFUNCTION("""COMPUTED_VALUE"""),37363.0)</f>
        <v>37363</v>
      </c>
      <c r="E173" s="236">
        <f>IFERROR(__xludf.DUMMYFUNCTION("""COMPUTED_VALUE"""),8521.0)</f>
        <v>8521</v>
      </c>
      <c r="F173" s="172">
        <f>IFERROR(__xludf.DUMMYFUNCTION("""COMPUTED_VALUE"""),880771.0)</f>
        <v>880771</v>
      </c>
      <c r="G173" s="172">
        <f>IFERROR(__xludf.DUMMYFUNCTION("""COMPUTED_VALUE"""),8734.0)</f>
        <v>8734</v>
      </c>
      <c r="H173" s="172">
        <f>IFERROR(__xludf.DUMMYFUNCTION("""COMPUTED_VALUE"""),918134.0)</f>
        <v>918134</v>
      </c>
      <c r="I173" s="236">
        <f>IFERROR(__xludf.DUMMYFUNCTION("""COMPUTED_VALUE"""),208.0)</f>
        <v>208</v>
      </c>
      <c r="J173" s="236">
        <f>IFERROR(__xludf.DUMMYFUNCTION("""COMPUTED_VALUE"""),152.0)</f>
        <v>152</v>
      </c>
      <c r="K173" s="236">
        <f>IFERROR(__xludf.DUMMYFUNCTION("""COMPUTED_VALUE"""),27273.0)</f>
        <v>27273</v>
      </c>
      <c r="L173" s="236">
        <f>IFERROR(__xludf.DUMMYFUNCTION("""COMPUTED_VALUE"""),2310.0)</f>
        <v>2310</v>
      </c>
      <c r="M173" s="236">
        <f>IFERROR(__xludf.DUMMYFUNCTION("""COMPUTED_VALUE"""),352853.0)</f>
        <v>352853</v>
      </c>
      <c r="N173" s="236">
        <f>IFERROR(__xludf.DUMMYFUNCTION("""COMPUTED_VALUE"""),380126.0)</f>
        <v>380126</v>
      </c>
      <c r="O173" s="236">
        <f>IFERROR(__xludf.DUMMYFUNCTION("""COMPUTED_VALUE"""),15.0)</f>
        <v>15</v>
      </c>
      <c r="P173" s="236">
        <f>IFERROR(__xludf.DUMMYFUNCTION("""COMPUTED_VALUE"""),2998.0)</f>
        <v>2998</v>
      </c>
      <c r="Q173" s="236">
        <f>IFERROR(__xludf.DUMMYFUNCTION("""COMPUTED_VALUE"""),15.0)</f>
        <v>15</v>
      </c>
      <c r="R173" s="236">
        <f>IFERROR(__xludf.DUMMYFUNCTION("""COMPUTED_VALUE"""),2498.0)</f>
        <v>2498</v>
      </c>
      <c r="S173" s="236">
        <f>IFERROR(__xludf.DUMMYFUNCTION("""COMPUTED_VALUE"""),4.0)</f>
        <v>4</v>
      </c>
      <c r="T173" s="236">
        <f>IFERROR(__xludf.DUMMYFUNCTION("""COMPUTED_VALUE"""),378.0)</f>
        <v>378</v>
      </c>
      <c r="U173" s="236">
        <f>IFERROR(__xludf.DUMMYFUNCTION("""COMPUTED_VALUE"""),122.0)</f>
        <v>122</v>
      </c>
      <c r="V173" s="236">
        <f>IFERROR(__xludf.DUMMYFUNCTION("""COMPUTED_VALUE"""),124.0)</f>
        <v>124</v>
      </c>
      <c r="W173" s="236">
        <f>IFERROR(__xludf.DUMMYFUNCTION("""COMPUTED_VALUE"""),13.0)</f>
        <v>13</v>
      </c>
      <c r="X173" s="236">
        <f>IFERROR(__xludf.DUMMYFUNCTION("""COMPUTED_VALUE"""),5.0)</f>
        <v>5</v>
      </c>
      <c r="Y173" s="236">
        <f>IFERROR(__xludf.DUMMYFUNCTION("""COMPUTED_VALUE"""),7.0)</f>
        <v>7</v>
      </c>
      <c r="Z173" s="236">
        <f>IFERROR(__xludf.DUMMYFUNCTION("""COMPUTED_VALUE"""),1163.0)</f>
        <v>1163</v>
      </c>
    </row>
    <row r="174">
      <c r="A174" s="235">
        <f>IFERROR(__xludf.DUMMYFUNCTION("""COMPUTED_VALUE"""),44118.0)</f>
        <v>44118</v>
      </c>
      <c r="B174" s="236">
        <f>IFERROR(__xludf.DUMMYFUNCTION("""COMPUTED_VALUE"""),322.0)</f>
        <v>322</v>
      </c>
      <c r="C174" s="236">
        <f>IFERROR(__xludf.DUMMYFUNCTION("""COMPUTED_VALUE"""),235.0)</f>
        <v>235</v>
      </c>
      <c r="D174" s="236">
        <f>IFERROR(__xludf.DUMMYFUNCTION("""COMPUTED_VALUE"""),37685.0)</f>
        <v>37685</v>
      </c>
      <c r="E174" s="236">
        <f>IFERROR(__xludf.DUMMYFUNCTION("""COMPUTED_VALUE"""),15038.0)</f>
        <v>15038</v>
      </c>
      <c r="F174" s="172">
        <f>IFERROR(__xludf.DUMMYFUNCTION("""COMPUTED_VALUE"""),895809.0)</f>
        <v>895809</v>
      </c>
      <c r="G174" s="172">
        <f>IFERROR(__xludf.DUMMYFUNCTION("""COMPUTED_VALUE"""),15360.0)</f>
        <v>15360</v>
      </c>
      <c r="H174" s="172">
        <f>IFERROR(__xludf.DUMMYFUNCTION("""COMPUTED_VALUE"""),933494.0)</f>
        <v>933494</v>
      </c>
      <c r="I174" s="236">
        <f>IFERROR(__xludf.DUMMYFUNCTION("""COMPUTED_VALUE"""),304.0)</f>
        <v>304</v>
      </c>
      <c r="J174" s="236">
        <f>IFERROR(__xludf.DUMMYFUNCTION("""COMPUTED_VALUE"""),224.0)</f>
        <v>224</v>
      </c>
      <c r="K174" s="236">
        <f>IFERROR(__xludf.DUMMYFUNCTION("""COMPUTED_VALUE"""),27577.0)</f>
        <v>27577</v>
      </c>
      <c r="L174" s="236">
        <f>IFERROR(__xludf.DUMMYFUNCTION("""COMPUTED_VALUE"""),4045.0)</f>
        <v>4045</v>
      </c>
      <c r="M174" s="236">
        <f>IFERROR(__xludf.DUMMYFUNCTION("""COMPUTED_VALUE"""),356898.0)</f>
        <v>356898</v>
      </c>
      <c r="N174" s="236">
        <f>IFERROR(__xludf.DUMMYFUNCTION("""COMPUTED_VALUE"""),384475.0)</f>
        <v>384475</v>
      </c>
      <c r="O174" s="236">
        <f>IFERROR(__xludf.DUMMYFUNCTION("""COMPUTED_VALUE"""),17.0)</f>
        <v>17</v>
      </c>
      <c r="P174" s="236">
        <f>IFERROR(__xludf.DUMMYFUNCTION("""COMPUTED_VALUE"""),3015.0)</f>
        <v>3015</v>
      </c>
      <c r="Q174" s="236">
        <f>IFERROR(__xludf.DUMMYFUNCTION("""COMPUTED_VALUE"""),7.0)</f>
        <v>7</v>
      </c>
      <c r="R174" s="236">
        <f>IFERROR(__xludf.DUMMYFUNCTION("""COMPUTED_VALUE"""),2505.0)</f>
        <v>2505</v>
      </c>
      <c r="S174" s="236">
        <f>IFERROR(__xludf.DUMMYFUNCTION("""COMPUTED_VALUE"""),0.0)</f>
        <v>0</v>
      </c>
      <c r="T174" s="236">
        <f>IFERROR(__xludf.DUMMYFUNCTION("""COMPUTED_VALUE"""),378.0)</f>
        <v>378</v>
      </c>
      <c r="U174" s="236">
        <f>IFERROR(__xludf.DUMMYFUNCTION("""COMPUTED_VALUE"""),132.0)</f>
        <v>132</v>
      </c>
      <c r="V174" s="236">
        <f>IFERROR(__xludf.DUMMYFUNCTION("""COMPUTED_VALUE"""),127.0)</f>
        <v>127</v>
      </c>
      <c r="W174" s="236">
        <f>IFERROR(__xludf.DUMMYFUNCTION("""COMPUTED_VALUE"""),15.0)</f>
        <v>15</v>
      </c>
      <c r="X174" s="236">
        <f>IFERROR(__xludf.DUMMYFUNCTION("""COMPUTED_VALUE"""),5.0)</f>
        <v>5</v>
      </c>
      <c r="Y174" s="236">
        <f>IFERROR(__xludf.DUMMYFUNCTION("""COMPUTED_VALUE"""),2.0)</f>
        <v>2</v>
      </c>
      <c r="Z174" s="236">
        <f>IFERROR(__xludf.DUMMYFUNCTION("""COMPUTED_VALUE"""),1165.0)</f>
        <v>1165</v>
      </c>
    </row>
    <row r="175">
      <c r="A175" s="235">
        <f>IFERROR(__xludf.DUMMYFUNCTION("""COMPUTED_VALUE"""),44119.0)</f>
        <v>44119</v>
      </c>
      <c r="B175" s="236">
        <f>IFERROR(__xludf.DUMMYFUNCTION("""COMPUTED_VALUE"""),262.0)</f>
        <v>262</v>
      </c>
      <c r="C175" s="236">
        <f>IFERROR(__xludf.DUMMYFUNCTION("""COMPUTED_VALUE"""),266.0)</f>
        <v>266</v>
      </c>
      <c r="D175" s="236">
        <f>IFERROR(__xludf.DUMMYFUNCTION("""COMPUTED_VALUE"""),37947.0)</f>
        <v>37947</v>
      </c>
      <c r="E175" s="236">
        <f>IFERROR(__xludf.DUMMYFUNCTION("""COMPUTED_VALUE"""),14640.0)</f>
        <v>14640</v>
      </c>
      <c r="F175" s="172">
        <f>IFERROR(__xludf.DUMMYFUNCTION("""COMPUTED_VALUE"""),910449.0)</f>
        <v>910449</v>
      </c>
      <c r="G175" s="172">
        <f>IFERROR(__xludf.DUMMYFUNCTION("""COMPUTED_VALUE"""),14902.0)</f>
        <v>14902</v>
      </c>
      <c r="H175" s="172">
        <f>IFERROR(__xludf.DUMMYFUNCTION("""COMPUTED_VALUE"""),948396.0)</f>
        <v>948396</v>
      </c>
      <c r="I175" s="236">
        <f>IFERROR(__xludf.DUMMYFUNCTION("""COMPUTED_VALUE"""),254.0)</f>
        <v>254</v>
      </c>
      <c r="J175" s="236">
        <f>IFERROR(__xludf.DUMMYFUNCTION("""COMPUTED_VALUE"""),255.0)</f>
        <v>255</v>
      </c>
      <c r="K175" s="236">
        <f>IFERROR(__xludf.DUMMYFUNCTION("""COMPUTED_VALUE"""),27831.0)</f>
        <v>27831</v>
      </c>
      <c r="L175" s="236">
        <f>IFERROR(__xludf.DUMMYFUNCTION("""COMPUTED_VALUE"""),3590.0)</f>
        <v>3590</v>
      </c>
      <c r="M175" s="236">
        <f>IFERROR(__xludf.DUMMYFUNCTION("""COMPUTED_VALUE"""),360488.0)</f>
        <v>360488</v>
      </c>
      <c r="N175" s="236">
        <f>IFERROR(__xludf.DUMMYFUNCTION("""COMPUTED_VALUE"""),388319.0)</f>
        <v>388319</v>
      </c>
      <c r="O175" s="236">
        <f>IFERROR(__xludf.DUMMYFUNCTION("""COMPUTED_VALUE"""),11.0)</f>
        <v>11</v>
      </c>
      <c r="P175" s="236">
        <f>IFERROR(__xludf.DUMMYFUNCTION("""COMPUTED_VALUE"""),3026.0)</f>
        <v>3026</v>
      </c>
      <c r="Q175" s="236">
        <f>IFERROR(__xludf.DUMMYFUNCTION("""COMPUTED_VALUE"""),16.0)</f>
        <v>16</v>
      </c>
      <c r="R175" s="236">
        <f>IFERROR(__xludf.DUMMYFUNCTION("""COMPUTED_VALUE"""),2521.0)</f>
        <v>2521</v>
      </c>
      <c r="S175" s="236">
        <f>IFERROR(__xludf.DUMMYFUNCTION("""COMPUTED_VALUE"""),1.0)</f>
        <v>1</v>
      </c>
      <c r="T175" s="236">
        <f>IFERROR(__xludf.DUMMYFUNCTION("""COMPUTED_VALUE"""),379.0)</f>
        <v>379</v>
      </c>
      <c r="U175" s="236">
        <f>IFERROR(__xludf.DUMMYFUNCTION("""COMPUTED_VALUE"""),126.0)</f>
        <v>126</v>
      </c>
      <c r="V175" s="236">
        <f>IFERROR(__xludf.DUMMYFUNCTION("""COMPUTED_VALUE"""),127.0)</f>
        <v>127</v>
      </c>
      <c r="W175" s="236">
        <f>IFERROR(__xludf.DUMMYFUNCTION("""COMPUTED_VALUE"""),13.0)</f>
        <v>13</v>
      </c>
      <c r="X175" s="236">
        <f>IFERROR(__xludf.DUMMYFUNCTION("""COMPUTED_VALUE"""),5.0)</f>
        <v>5</v>
      </c>
      <c r="Y175" s="236">
        <f>IFERROR(__xludf.DUMMYFUNCTION("""COMPUTED_VALUE"""),2.0)</f>
        <v>2</v>
      </c>
      <c r="Z175" s="236">
        <f>IFERROR(__xludf.DUMMYFUNCTION("""COMPUTED_VALUE"""),1167.0)</f>
        <v>1167</v>
      </c>
    </row>
    <row r="176">
      <c r="A176" s="235">
        <f>IFERROR(__xludf.DUMMYFUNCTION("""COMPUTED_VALUE"""),44120.0)</f>
        <v>44120</v>
      </c>
      <c r="B176" s="236">
        <f>IFERROR(__xludf.DUMMYFUNCTION("""COMPUTED_VALUE"""),279.0)</f>
        <v>279</v>
      </c>
      <c r="C176" s="236">
        <f>IFERROR(__xludf.DUMMYFUNCTION("""COMPUTED_VALUE"""),288.0)</f>
        <v>288</v>
      </c>
      <c r="D176" s="236">
        <f>IFERROR(__xludf.DUMMYFUNCTION("""COMPUTED_VALUE"""),38226.0)</f>
        <v>38226</v>
      </c>
      <c r="E176" s="236">
        <f>IFERROR(__xludf.DUMMYFUNCTION("""COMPUTED_VALUE"""),15011.0)</f>
        <v>15011</v>
      </c>
      <c r="F176" s="172">
        <f>IFERROR(__xludf.DUMMYFUNCTION("""COMPUTED_VALUE"""),925460.0)</f>
        <v>925460</v>
      </c>
      <c r="G176" s="172">
        <f>IFERROR(__xludf.DUMMYFUNCTION("""COMPUTED_VALUE"""),15290.0)</f>
        <v>15290</v>
      </c>
      <c r="H176" s="172">
        <f>IFERROR(__xludf.DUMMYFUNCTION("""COMPUTED_VALUE"""),963686.0)</f>
        <v>963686</v>
      </c>
      <c r="I176" s="236">
        <f>IFERROR(__xludf.DUMMYFUNCTION("""COMPUTED_VALUE"""),275.0)</f>
        <v>275</v>
      </c>
      <c r="J176" s="236">
        <f>IFERROR(__xludf.DUMMYFUNCTION("""COMPUTED_VALUE"""),278.0)</f>
        <v>278</v>
      </c>
      <c r="K176" s="236">
        <f>IFERROR(__xludf.DUMMYFUNCTION("""COMPUTED_VALUE"""),28106.0)</f>
        <v>28106</v>
      </c>
      <c r="L176" s="236">
        <f>IFERROR(__xludf.DUMMYFUNCTION("""COMPUTED_VALUE"""),3396.0)</f>
        <v>3396</v>
      </c>
      <c r="M176" s="236">
        <f>IFERROR(__xludf.DUMMYFUNCTION("""COMPUTED_VALUE"""),363884.0)</f>
        <v>363884</v>
      </c>
      <c r="N176" s="236">
        <f>IFERROR(__xludf.DUMMYFUNCTION("""COMPUTED_VALUE"""),391990.0)</f>
        <v>391990</v>
      </c>
      <c r="O176" s="236">
        <f>IFERROR(__xludf.DUMMYFUNCTION("""COMPUTED_VALUE"""),13.0)</f>
        <v>13</v>
      </c>
      <c r="P176" s="236">
        <f>IFERROR(__xludf.DUMMYFUNCTION("""COMPUTED_VALUE"""),3039.0)</f>
        <v>3039</v>
      </c>
      <c r="Q176" s="236">
        <f>IFERROR(__xludf.DUMMYFUNCTION("""COMPUTED_VALUE"""),20.0)</f>
        <v>20</v>
      </c>
      <c r="R176" s="236">
        <f>IFERROR(__xludf.DUMMYFUNCTION("""COMPUTED_VALUE"""),2541.0)</f>
        <v>2541</v>
      </c>
      <c r="S176" s="236">
        <f>IFERROR(__xludf.DUMMYFUNCTION("""COMPUTED_VALUE"""),1.0)</f>
        <v>1</v>
      </c>
      <c r="T176" s="236">
        <f>IFERROR(__xludf.DUMMYFUNCTION("""COMPUTED_VALUE"""),380.0)</f>
        <v>380</v>
      </c>
      <c r="U176" s="236">
        <f>IFERROR(__xludf.DUMMYFUNCTION("""COMPUTED_VALUE"""),118.0)</f>
        <v>118</v>
      </c>
      <c r="V176" s="236">
        <f>IFERROR(__xludf.DUMMYFUNCTION("""COMPUTED_VALUE"""),125.0)</f>
        <v>125</v>
      </c>
      <c r="W176" s="236">
        <f>IFERROR(__xludf.DUMMYFUNCTION("""COMPUTED_VALUE"""),13.0)</f>
        <v>13</v>
      </c>
      <c r="X176" s="236">
        <f>IFERROR(__xludf.DUMMYFUNCTION("""COMPUTED_VALUE"""),4.0)</f>
        <v>4</v>
      </c>
      <c r="Y176" s="236">
        <f>IFERROR(__xludf.DUMMYFUNCTION("""COMPUTED_VALUE"""),2.0)</f>
        <v>2</v>
      </c>
      <c r="Z176" s="236">
        <f>IFERROR(__xludf.DUMMYFUNCTION("""COMPUTED_VALUE"""),1169.0)</f>
        <v>1169</v>
      </c>
    </row>
    <row r="177">
      <c r="A177" s="235">
        <f>IFERROR(__xludf.DUMMYFUNCTION("""COMPUTED_VALUE"""),44121.0)</f>
        <v>44121</v>
      </c>
      <c r="B177" s="236">
        <f>IFERROR(__xludf.DUMMYFUNCTION("""COMPUTED_VALUE"""),354.0)</f>
        <v>354</v>
      </c>
      <c r="C177" s="236">
        <f>IFERROR(__xludf.DUMMYFUNCTION("""COMPUTED_VALUE"""),298.0)</f>
        <v>298</v>
      </c>
      <c r="D177" s="236">
        <f>IFERROR(__xludf.DUMMYFUNCTION("""COMPUTED_VALUE"""),38580.0)</f>
        <v>38580</v>
      </c>
      <c r="E177" s="236">
        <f>IFERROR(__xludf.DUMMYFUNCTION("""COMPUTED_VALUE"""),14068.0)</f>
        <v>14068</v>
      </c>
      <c r="F177" s="172">
        <f>IFERROR(__xludf.DUMMYFUNCTION("""COMPUTED_VALUE"""),939528.0)</f>
        <v>939528</v>
      </c>
      <c r="G177" s="172">
        <f>IFERROR(__xludf.DUMMYFUNCTION("""COMPUTED_VALUE"""),14422.0)</f>
        <v>14422</v>
      </c>
      <c r="H177" s="172">
        <f>IFERROR(__xludf.DUMMYFUNCTION("""COMPUTED_VALUE"""),978108.0)</f>
        <v>978108</v>
      </c>
      <c r="I177" s="236">
        <f>IFERROR(__xludf.DUMMYFUNCTION("""COMPUTED_VALUE"""),310.0)</f>
        <v>310</v>
      </c>
      <c r="J177" s="236">
        <f>IFERROR(__xludf.DUMMYFUNCTION("""COMPUTED_VALUE"""),280.0)</f>
        <v>280</v>
      </c>
      <c r="K177" s="236">
        <f>IFERROR(__xludf.DUMMYFUNCTION("""COMPUTED_VALUE"""),28416.0)</f>
        <v>28416</v>
      </c>
      <c r="L177" s="236">
        <f>IFERROR(__xludf.DUMMYFUNCTION("""COMPUTED_VALUE"""),3274.0)</f>
        <v>3274</v>
      </c>
      <c r="M177" s="236">
        <f>IFERROR(__xludf.DUMMYFUNCTION("""COMPUTED_VALUE"""),367158.0)</f>
        <v>367158</v>
      </c>
      <c r="N177" s="236">
        <f>IFERROR(__xludf.DUMMYFUNCTION("""COMPUTED_VALUE"""),395574.0)</f>
        <v>395574</v>
      </c>
      <c r="O177" s="236">
        <f>IFERROR(__xludf.DUMMYFUNCTION("""COMPUTED_VALUE"""),19.0)</f>
        <v>19</v>
      </c>
      <c r="P177" s="236">
        <f>IFERROR(__xludf.DUMMYFUNCTION("""COMPUTED_VALUE"""),3058.0)</f>
        <v>3058</v>
      </c>
      <c r="Q177" s="236">
        <f>IFERROR(__xludf.DUMMYFUNCTION("""COMPUTED_VALUE"""),11.0)</f>
        <v>11</v>
      </c>
      <c r="R177" s="236">
        <f>IFERROR(__xludf.DUMMYFUNCTION("""COMPUTED_VALUE"""),2552.0)</f>
        <v>2552</v>
      </c>
      <c r="S177" s="236">
        <f>IFERROR(__xludf.DUMMYFUNCTION("""COMPUTED_VALUE"""),1.0)</f>
        <v>1</v>
      </c>
      <c r="T177" s="236">
        <f>IFERROR(__xludf.DUMMYFUNCTION("""COMPUTED_VALUE"""),381.0)</f>
        <v>381</v>
      </c>
      <c r="U177" s="236">
        <f>IFERROR(__xludf.DUMMYFUNCTION("""COMPUTED_VALUE"""),125.0)</f>
        <v>125</v>
      </c>
      <c r="V177" s="236">
        <f>IFERROR(__xludf.DUMMYFUNCTION("""COMPUTED_VALUE"""),123.0)</f>
        <v>123</v>
      </c>
      <c r="W177" s="236">
        <f>IFERROR(__xludf.DUMMYFUNCTION("""COMPUTED_VALUE"""),17.0)</f>
        <v>17</v>
      </c>
      <c r="X177" s="236">
        <f>IFERROR(__xludf.DUMMYFUNCTION("""COMPUTED_VALUE"""),4.0)</f>
        <v>4</v>
      </c>
      <c r="Y177" s="236">
        <f>IFERROR(__xludf.DUMMYFUNCTION("""COMPUTED_VALUE"""),2.0)</f>
        <v>2</v>
      </c>
      <c r="Z177" s="236">
        <f>IFERROR(__xludf.DUMMYFUNCTION("""COMPUTED_VALUE"""),1171.0)</f>
        <v>1171</v>
      </c>
    </row>
    <row r="178">
      <c r="A178" s="235">
        <f>IFERROR(__xludf.DUMMYFUNCTION("""COMPUTED_VALUE"""),44122.0)</f>
        <v>44122</v>
      </c>
      <c r="B178" s="236">
        <f>IFERROR(__xludf.DUMMYFUNCTION("""COMPUTED_VALUE"""),155.0)</f>
        <v>155</v>
      </c>
      <c r="C178" s="236">
        <f>IFERROR(__xludf.DUMMYFUNCTION("""COMPUTED_VALUE"""),263.0)</f>
        <v>263</v>
      </c>
      <c r="D178" s="236">
        <f>IFERROR(__xludf.DUMMYFUNCTION("""COMPUTED_VALUE"""),38735.0)</f>
        <v>38735</v>
      </c>
      <c r="E178" s="236">
        <f>IFERROR(__xludf.DUMMYFUNCTION("""COMPUTED_VALUE"""),4039.0)</f>
        <v>4039</v>
      </c>
      <c r="F178" s="172">
        <f>IFERROR(__xludf.DUMMYFUNCTION("""COMPUTED_VALUE"""),943567.0)</f>
        <v>943567</v>
      </c>
      <c r="G178" s="172">
        <f>IFERROR(__xludf.DUMMYFUNCTION("""COMPUTED_VALUE"""),4194.0)</f>
        <v>4194</v>
      </c>
      <c r="H178" s="172">
        <f>IFERROR(__xludf.DUMMYFUNCTION("""COMPUTED_VALUE"""),982302.0)</f>
        <v>982302</v>
      </c>
      <c r="I178" s="236">
        <f>IFERROR(__xludf.DUMMYFUNCTION("""COMPUTED_VALUE"""),129.0)</f>
        <v>129</v>
      </c>
      <c r="J178" s="236">
        <f>IFERROR(__xludf.DUMMYFUNCTION("""COMPUTED_VALUE"""),238.0)</f>
        <v>238</v>
      </c>
      <c r="K178" s="236">
        <f>IFERROR(__xludf.DUMMYFUNCTION("""COMPUTED_VALUE"""),28545.0)</f>
        <v>28545</v>
      </c>
      <c r="L178" s="236">
        <f>IFERROR(__xludf.DUMMYFUNCTION("""COMPUTED_VALUE"""),1329.0)</f>
        <v>1329</v>
      </c>
      <c r="M178" s="236">
        <f>IFERROR(__xludf.DUMMYFUNCTION("""COMPUTED_VALUE"""),368487.0)</f>
        <v>368487</v>
      </c>
      <c r="N178" s="236">
        <f>IFERROR(__xludf.DUMMYFUNCTION("""COMPUTED_VALUE"""),397032.0)</f>
        <v>397032</v>
      </c>
      <c r="O178" s="236">
        <f>IFERROR(__xludf.DUMMYFUNCTION("""COMPUTED_VALUE"""),18.0)</f>
        <v>18</v>
      </c>
      <c r="P178" s="236">
        <f>IFERROR(__xludf.DUMMYFUNCTION("""COMPUTED_VALUE"""),3076.0)</f>
        <v>3076</v>
      </c>
      <c r="Q178" s="236">
        <f>IFERROR(__xludf.DUMMYFUNCTION("""COMPUTED_VALUE"""),11.0)</f>
        <v>11</v>
      </c>
      <c r="R178" s="236">
        <f>IFERROR(__xludf.DUMMYFUNCTION("""COMPUTED_VALUE"""),2563.0)</f>
        <v>2563</v>
      </c>
      <c r="S178" s="236">
        <f>IFERROR(__xludf.DUMMYFUNCTION("""COMPUTED_VALUE"""),0.0)</f>
        <v>0</v>
      </c>
      <c r="T178" s="236">
        <f>IFERROR(__xludf.DUMMYFUNCTION("""COMPUTED_VALUE"""),381.0)</f>
        <v>381</v>
      </c>
      <c r="U178" s="236">
        <f>IFERROR(__xludf.DUMMYFUNCTION("""COMPUTED_VALUE"""),132.0)</f>
        <v>132</v>
      </c>
      <c r="V178" s="236">
        <f>IFERROR(__xludf.DUMMYFUNCTION("""COMPUTED_VALUE"""),125.0)</f>
        <v>125</v>
      </c>
      <c r="W178" s="236">
        <f>IFERROR(__xludf.DUMMYFUNCTION("""COMPUTED_VALUE"""),17.0)</f>
        <v>17</v>
      </c>
      <c r="X178" s="236">
        <f>IFERROR(__xludf.DUMMYFUNCTION("""COMPUTED_VALUE"""),6.0)</f>
        <v>6</v>
      </c>
      <c r="Y178" s="236">
        <f>IFERROR(__xludf.DUMMYFUNCTION("""COMPUTED_VALUE"""),2.0)</f>
        <v>2</v>
      </c>
      <c r="Z178" s="236">
        <f>IFERROR(__xludf.DUMMYFUNCTION("""COMPUTED_VALUE"""),1173.0)</f>
        <v>1173</v>
      </c>
    </row>
    <row r="179">
      <c r="A179" s="235">
        <f>IFERROR(__xludf.DUMMYFUNCTION("""COMPUTED_VALUE"""),44123.0)</f>
        <v>44123</v>
      </c>
      <c r="B179" s="236">
        <f>IFERROR(__xludf.DUMMYFUNCTION("""COMPUTED_VALUE"""),388.0)</f>
        <v>388</v>
      </c>
      <c r="C179" s="236">
        <f>IFERROR(__xludf.DUMMYFUNCTION("""COMPUTED_VALUE"""),299.0)</f>
        <v>299</v>
      </c>
      <c r="D179" s="236">
        <f>IFERROR(__xludf.DUMMYFUNCTION("""COMPUTED_VALUE"""),39123.0)</f>
        <v>39123</v>
      </c>
      <c r="E179" s="236">
        <f>IFERROR(__xludf.DUMMYFUNCTION("""COMPUTED_VALUE"""),8489.0)</f>
        <v>8489</v>
      </c>
      <c r="F179" s="172">
        <f>IFERROR(__xludf.DUMMYFUNCTION("""COMPUTED_VALUE"""),952056.0)</f>
        <v>952056</v>
      </c>
      <c r="G179" s="172">
        <f>IFERROR(__xludf.DUMMYFUNCTION("""COMPUTED_VALUE"""),8877.0)</f>
        <v>8877</v>
      </c>
      <c r="H179" s="172">
        <f>IFERROR(__xludf.DUMMYFUNCTION("""COMPUTED_VALUE"""),991179.0)</f>
        <v>991179</v>
      </c>
      <c r="I179" s="236">
        <f>IFERROR(__xludf.DUMMYFUNCTION("""COMPUTED_VALUE"""),325.0)</f>
        <v>325</v>
      </c>
      <c r="J179" s="236">
        <f>IFERROR(__xludf.DUMMYFUNCTION("""COMPUTED_VALUE"""),255.0)</f>
        <v>255</v>
      </c>
      <c r="K179" s="236">
        <f>IFERROR(__xludf.DUMMYFUNCTION("""COMPUTED_VALUE"""),28870.0)</f>
        <v>28870</v>
      </c>
      <c r="L179" s="236">
        <f>IFERROR(__xludf.DUMMYFUNCTION("""COMPUTED_VALUE"""),2573.0)</f>
        <v>2573</v>
      </c>
      <c r="M179" s="236">
        <f>IFERROR(__xludf.DUMMYFUNCTION("""COMPUTED_VALUE"""),371060.0)</f>
        <v>371060</v>
      </c>
      <c r="N179" s="236">
        <f>IFERROR(__xludf.DUMMYFUNCTION("""COMPUTED_VALUE"""),399930.0)</f>
        <v>399930</v>
      </c>
      <c r="O179" s="236">
        <f>IFERROR(__xludf.DUMMYFUNCTION("""COMPUTED_VALUE"""),21.0)</f>
        <v>21</v>
      </c>
      <c r="P179" s="236">
        <f>IFERROR(__xludf.DUMMYFUNCTION("""COMPUTED_VALUE"""),3097.0)</f>
        <v>3097</v>
      </c>
      <c r="Q179" s="236">
        <f>IFERROR(__xludf.DUMMYFUNCTION("""COMPUTED_VALUE"""),23.0)</f>
        <v>23</v>
      </c>
      <c r="R179" s="236">
        <f>IFERROR(__xludf.DUMMYFUNCTION("""COMPUTED_VALUE"""),2586.0)</f>
        <v>2586</v>
      </c>
      <c r="S179" s="236">
        <f>IFERROR(__xludf.DUMMYFUNCTION("""COMPUTED_VALUE"""),2.0)</f>
        <v>2</v>
      </c>
      <c r="T179" s="236">
        <f>IFERROR(__xludf.DUMMYFUNCTION("""COMPUTED_VALUE"""),383.0)</f>
        <v>383</v>
      </c>
      <c r="U179" s="236">
        <f>IFERROR(__xludf.DUMMYFUNCTION("""COMPUTED_VALUE"""),128.0)</f>
        <v>128</v>
      </c>
      <c r="V179" s="236">
        <f>IFERROR(__xludf.DUMMYFUNCTION("""COMPUTED_VALUE"""),128.0)</f>
        <v>128</v>
      </c>
      <c r="W179" s="236">
        <f>IFERROR(__xludf.DUMMYFUNCTION("""COMPUTED_VALUE"""),15.0)</f>
        <v>15</v>
      </c>
      <c r="X179" s="236">
        <f>IFERROR(__xludf.DUMMYFUNCTION("""COMPUTED_VALUE"""),6.0)</f>
        <v>6</v>
      </c>
      <c r="Y179" s="236">
        <f>IFERROR(__xludf.DUMMYFUNCTION("""COMPUTED_VALUE"""),1.0)</f>
        <v>1</v>
      </c>
      <c r="Z179" s="236">
        <f>IFERROR(__xludf.DUMMYFUNCTION("""COMPUTED_VALUE"""),1174.0)</f>
        <v>1174</v>
      </c>
    </row>
    <row r="180">
      <c r="A180" s="235">
        <f>IFERROR(__xludf.DUMMYFUNCTION("""COMPUTED_VALUE"""),44124.0)</f>
        <v>44124</v>
      </c>
      <c r="B180" s="236">
        <f>IFERROR(__xludf.DUMMYFUNCTION("""COMPUTED_VALUE"""),439.0)</f>
        <v>439</v>
      </c>
      <c r="C180" s="236">
        <f>IFERROR(__xludf.DUMMYFUNCTION("""COMPUTED_VALUE"""),327.0)</f>
        <v>327</v>
      </c>
      <c r="D180" s="236">
        <f>IFERROR(__xludf.DUMMYFUNCTION("""COMPUTED_VALUE"""),39562.0)</f>
        <v>39562</v>
      </c>
      <c r="E180" s="236">
        <f>IFERROR(__xludf.DUMMYFUNCTION("""COMPUTED_VALUE"""),13241.0)</f>
        <v>13241</v>
      </c>
      <c r="F180" s="172">
        <f>IFERROR(__xludf.DUMMYFUNCTION("""COMPUTED_VALUE"""),965297.0)</f>
        <v>965297</v>
      </c>
      <c r="G180" s="172">
        <f>IFERROR(__xludf.DUMMYFUNCTION("""COMPUTED_VALUE"""),13680.0)</f>
        <v>13680</v>
      </c>
      <c r="H180" s="172">
        <f>IFERROR(__xludf.DUMMYFUNCTION("""COMPUTED_VALUE"""),1004859.0)</f>
        <v>1004859</v>
      </c>
      <c r="I180" s="236">
        <f>IFERROR(__xludf.DUMMYFUNCTION("""COMPUTED_VALUE"""),387.0)</f>
        <v>387</v>
      </c>
      <c r="J180" s="236">
        <f>IFERROR(__xludf.DUMMYFUNCTION("""COMPUTED_VALUE"""),280.0)</f>
        <v>280</v>
      </c>
      <c r="K180" s="236">
        <f>IFERROR(__xludf.DUMMYFUNCTION("""COMPUTED_VALUE"""),29257.0)</f>
        <v>29257</v>
      </c>
      <c r="L180" s="236">
        <f>IFERROR(__xludf.DUMMYFUNCTION("""COMPUTED_VALUE"""),3018.0)</f>
        <v>3018</v>
      </c>
      <c r="M180" s="236">
        <f>IFERROR(__xludf.DUMMYFUNCTION("""COMPUTED_VALUE"""),374078.0)</f>
        <v>374078</v>
      </c>
      <c r="N180" s="236">
        <f>IFERROR(__xludf.DUMMYFUNCTION("""COMPUTED_VALUE"""),403335.0)</f>
        <v>403335</v>
      </c>
      <c r="O180" s="236">
        <f>IFERROR(__xludf.DUMMYFUNCTION("""COMPUTED_VALUE"""),22.0)</f>
        <v>22</v>
      </c>
      <c r="P180" s="236">
        <f>IFERROR(__xludf.DUMMYFUNCTION("""COMPUTED_VALUE"""),3119.0)</f>
        <v>3119</v>
      </c>
      <c r="Q180" s="236">
        <f>IFERROR(__xludf.DUMMYFUNCTION("""COMPUTED_VALUE"""),17.0)</f>
        <v>17</v>
      </c>
      <c r="R180" s="236">
        <f>IFERROR(__xludf.DUMMYFUNCTION("""COMPUTED_VALUE"""),2603.0)</f>
        <v>2603</v>
      </c>
      <c r="S180" s="236">
        <f>IFERROR(__xludf.DUMMYFUNCTION("""COMPUTED_VALUE"""),0.0)</f>
        <v>0</v>
      </c>
      <c r="T180" s="236">
        <f>IFERROR(__xludf.DUMMYFUNCTION("""COMPUTED_VALUE"""),383.0)</f>
        <v>383</v>
      </c>
      <c r="U180" s="236">
        <f>IFERROR(__xludf.DUMMYFUNCTION("""COMPUTED_VALUE"""),133.0)</f>
        <v>133</v>
      </c>
      <c r="V180" s="236">
        <f>IFERROR(__xludf.DUMMYFUNCTION("""COMPUTED_VALUE"""),131.0)</f>
        <v>131</v>
      </c>
      <c r="W180" s="236">
        <f>IFERROR(__xludf.DUMMYFUNCTION("""COMPUTED_VALUE"""),14.0)</f>
        <v>14</v>
      </c>
      <c r="X180" s="236">
        <f>IFERROR(__xludf.DUMMYFUNCTION("""COMPUTED_VALUE"""),8.0)</f>
        <v>8</v>
      </c>
      <c r="Y180" s="236">
        <f>IFERROR(__xludf.DUMMYFUNCTION("""COMPUTED_VALUE"""),3.0)</f>
        <v>3</v>
      </c>
      <c r="Z180" s="236">
        <f>IFERROR(__xludf.DUMMYFUNCTION("""COMPUTED_VALUE"""),1177.0)</f>
        <v>1177</v>
      </c>
    </row>
    <row r="181">
      <c r="A181" s="235">
        <f>IFERROR(__xludf.DUMMYFUNCTION("""COMPUTED_VALUE"""),44125.0)</f>
        <v>44125</v>
      </c>
      <c r="B181" s="236">
        <f>IFERROR(__xludf.DUMMYFUNCTION("""COMPUTED_VALUE"""),544.0)</f>
        <v>544</v>
      </c>
      <c r="C181" s="236">
        <f>IFERROR(__xludf.DUMMYFUNCTION("""COMPUTED_VALUE"""),457.0)</f>
        <v>457</v>
      </c>
      <c r="D181" s="236">
        <f>IFERROR(__xludf.DUMMYFUNCTION("""COMPUTED_VALUE"""),40106.0)</f>
        <v>40106</v>
      </c>
      <c r="E181" s="236">
        <f>IFERROR(__xludf.DUMMYFUNCTION("""COMPUTED_VALUE"""),17462.0)</f>
        <v>17462</v>
      </c>
      <c r="F181" s="172">
        <f>IFERROR(__xludf.DUMMYFUNCTION("""COMPUTED_VALUE"""),982759.0)</f>
        <v>982759</v>
      </c>
      <c r="G181" s="172">
        <f>IFERROR(__xludf.DUMMYFUNCTION("""COMPUTED_VALUE"""),18006.0)</f>
        <v>18006</v>
      </c>
      <c r="H181" s="172">
        <f>IFERROR(__xludf.DUMMYFUNCTION("""COMPUTED_VALUE"""),1022865.0)</f>
        <v>1022865</v>
      </c>
      <c r="I181" s="236">
        <f>IFERROR(__xludf.DUMMYFUNCTION("""COMPUTED_VALUE"""),470.0)</f>
        <v>470</v>
      </c>
      <c r="J181" s="236">
        <f>IFERROR(__xludf.DUMMYFUNCTION("""COMPUTED_VALUE"""),394.0)</f>
        <v>394</v>
      </c>
      <c r="K181" s="236">
        <f>IFERROR(__xludf.DUMMYFUNCTION("""COMPUTED_VALUE"""),29727.0)</f>
        <v>29727</v>
      </c>
      <c r="L181" s="236">
        <f>IFERROR(__xludf.DUMMYFUNCTION("""COMPUTED_VALUE"""),3533.0)</f>
        <v>3533</v>
      </c>
      <c r="M181" s="236">
        <f>IFERROR(__xludf.DUMMYFUNCTION("""COMPUTED_VALUE"""),377611.0)</f>
        <v>377611</v>
      </c>
      <c r="N181" s="236">
        <f>IFERROR(__xludf.DUMMYFUNCTION("""COMPUTED_VALUE"""),407338.0)</f>
        <v>407338</v>
      </c>
      <c r="O181" s="236">
        <f>IFERROR(__xludf.DUMMYFUNCTION("""COMPUTED_VALUE"""),21.0)</f>
        <v>21</v>
      </c>
      <c r="P181" s="236">
        <f>IFERROR(__xludf.DUMMYFUNCTION("""COMPUTED_VALUE"""),3140.0)</f>
        <v>3140</v>
      </c>
      <c r="Q181" s="236">
        <f>IFERROR(__xludf.DUMMYFUNCTION("""COMPUTED_VALUE"""),9.0)</f>
        <v>9</v>
      </c>
      <c r="R181" s="236">
        <f>IFERROR(__xludf.DUMMYFUNCTION("""COMPUTED_VALUE"""),2612.0)</f>
        <v>2612</v>
      </c>
      <c r="S181" s="236">
        <f>IFERROR(__xludf.DUMMYFUNCTION("""COMPUTED_VALUE"""),2.0)</f>
        <v>2</v>
      </c>
      <c r="T181" s="236">
        <f>IFERROR(__xludf.DUMMYFUNCTION("""COMPUTED_VALUE"""),385.0)</f>
        <v>385</v>
      </c>
      <c r="U181" s="236">
        <f>IFERROR(__xludf.DUMMYFUNCTION("""COMPUTED_VALUE"""),143.0)</f>
        <v>143</v>
      </c>
      <c r="V181" s="236">
        <f>IFERROR(__xludf.DUMMYFUNCTION("""COMPUTED_VALUE"""),135.0)</f>
        <v>135</v>
      </c>
      <c r="W181" s="236">
        <f>IFERROR(__xludf.DUMMYFUNCTION("""COMPUTED_VALUE"""),15.0)</f>
        <v>15</v>
      </c>
      <c r="X181" s="236">
        <f>IFERROR(__xludf.DUMMYFUNCTION("""COMPUTED_VALUE"""),9.0)</f>
        <v>9</v>
      </c>
      <c r="Y181" s="236">
        <f>IFERROR(__xludf.DUMMYFUNCTION("""COMPUTED_VALUE"""),3.0)</f>
        <v>3</v>
      </c>
      <c r="Z181" s="236">
        <f>IFERROR(__xludf.DUMMYFUNCTION("""COMPUTED_VALUE"""),1180.0)</f>
        <v>1180</v>
      </c>
    </row>
    <row r="182">
      <c r="A182" s="235">
        <f>IFERROR(__xludf.DUMMYFUNCTION("""COMPUTED_VALUE"""),44126.0)</f>
        <v>44126</v>
      </c>
      <c r="B182" s="236">
        <f>IFERROR(__xludf.DUMMYFUNCTION("""COMPUTED_VALUE"""),538.0)</f>
        <v>538</v>
      </c>
      <c r="C182" s="236">
        <f>IFERROR(__xludf.DUMMYFUNCTION("""COMPUTED_VALUE"""),507.0)</f>
        <v>507</v>
      </c>
      <c r="D182" s="236">
        <f>IFERROR(__xludf.DUMMYFUNCTION("""COMPUTED_VALUE"""),40644.0)</f>
        <v>40644</v>
      </c>
      <c r="E182" s="236">
        <f>IFERROR(__xludf.DUMMYFUNCTION("""COMPUTED_VALUE"""),15863.0)</f>
        <v>15863</v>
      </c>
      <c r="F182" s="172">
        <f>IFERROR(__xludf.DUMMYFUNCTION("""COMPUTED_VALUE"""),998622.0)</f>
        <v>998622</v>
      </c>
      <c r="G182" s="172">
        <f>IFERROR(__xludf.DUMMYFUNCTION("""COMPUTED_VALUE"""),16401.0)</f>
        <v>16401</v>
      </c>
      <c r="H182" s="172">
        <f>IFERROR(__xludf.DUMMYFUNCTION("""COMPUTED_VALUE"""),1039266.0)</f>
        <v>1039266</v>
      </c>
      <c r="I182" s="236">
        <f>IFERROR(__xludf.DUMMYFUNCTION("""COMPUTED_VALUE"""),487.0)</f>
        <v>487</v>
      </c>
      <c r="J182" s="236">
        <f>IFERROR(__xludf.DUMMYFUNCTION("""COMPUTED_VALUE"""),448.0)</f>
        <v>448</v>
      </c>
      <c r="K182" s="236">
        <f>IFERROR(__xludf.DUMMYFUNCTION("""COMPUTED_VALUE"""),30214.0)</f>
        <v>30214</v>
      </c>
      <c r="L182" s="236">
        <f>IFERROR(__xludf.DUMMYFUNCTION("""COMPUTED_VALUE"""),3209.0)</f>
        <v>3209</v>
      </c>
      <c r="M182" s="236">
        <f>IFERROR(__xludf.DUMMYFUNCTION("""COMPUTED_VALUE"""),380820.0)</f>
        <v>380820</v>
      </c>
      <c r="N182" s="236">
        <f>IFERROR(__xludf.DUMMYFUNCTION("""COMPUTED_VALUE"""),411034.0)</f>
        <v>411034</v>
      </c>
      <c r="O182" s="236">
        <f>IFERROR(__xludf.DUMMYFUNCTION("""COMPUTED_VALUE"""),24.0)</f>
        <v>24</v>
      </c>
      <c r="P182" s="236">
        <f>IFERROR(__xludf.DUMMYFUNCTION("""COMPUTED_VALUE"""),3164.0)</f>
        <v>3164</v>
      </c>
      <c r="Q182" s="236">
        <f>IFERROR(__xludf.DUMMYFUNCTION("""COMPUTED_VALUE"""),21.0)</f>
        <v>21</v>
      </c>
      <c r="R182" s="236">
        <f>IFERROR(__xludf.DUMMYFUNCTION("""COMPUTED_VALUE"""),2633.0)</f>
        <v>2633</v>
      </c>
      <c r="S182" s="236">
        <f>IFERROR(__xludf.DUMMYFUNCTION("""COMPUTED_VALUE"""),3.0)</f>
        <v>3</v>
      </c>
      <c r="T182" s="236">
        <f>IFERROR(__xludf.DUMMYFUNCTION("""COMPUTED_VALUE"""),388.0)</f>
        <v>388</v>
      </c>
      <c r="U182" s="236">
        <f>IFERROR(__xludf.DUMMYFUNCTION("""COMPUTED_VALUE"""),143.0)</f>
        <v>143</v>
      </c>
      <c r="V182" s="236">
        <f>IFERROR(__xludf.DUMMYFUNCTION("""COMPUTED_VALUE"""),140.0)</f>
        <v>140</v>
      </c>
      <c r="W182" s="236">
        <f>IFERROR(__xludf.DUMMYFUNCTION("""COMPUTED_VALUE"""),14.0)</f>
        <v>14</v>
      </c>
      <c r="X182" s="236">
        <f>IFERROR(__xludf.DUMMYFUNCTION("""COMPUTED_VALUE"""),9.0)</f>
        <v>9</v>
      </c>
      <c r="Y182" s="236">
        <f>IFERROR(__xludf.DUMMYFUNCTION("""COMPUTED_VALUE"""),3.0)</f>
        <v>3</v>
      </c>
      <c r="Z182" s="236">
        <f>IFERROR(__xludf.DUMMYFUNCTION("""COMPUTED_VALUE"""),1183.0)</f>
        <v>1183</v>
      </c>
    </row>
    <row r="183">
      <c r="A183" s="235">
        <f>IFERROR(__xludf.DUMMYFUNCTION("""COMPUTED_VALUE"""),44127.0)</f>
        <v>44127</v>
      </c>
      <c r="B183" s="236">
        <f>IFERROR(__xludf.DUMMYFUNCTION("""COMPUTED_VALUE"""),514.0)</f>
        <v>514</v>
      </c>
      <c r="C183" s="236">
        <f>IFERROR(__xludf.DUMMYFUNCTION("""COMPUTED_VALUE"""),532.0)</f>
        <v>532</v>
      </c>
      <c r="D183" s="236">
        <f>IFERROR(__xludf.DUMMYFUNCTION("""COMPUTED_VALUE"""),41158.0)</f>
        <v>41158</v>
      </c>
      <c r="E183" s="236">
        <f>IFERROR(__xludf.DUMMYFUNCTION("""COMPUTED_VALUE"""),16631.0)</f>
        <v>16631</v>
      </c>
      <c r="F183" s="172">
        <f>IFERROR(__xludf.DUMMYFUNCTION("""COMPUTED_VALUE"""),1015253.0)</f>
        <v>1015253</v>
      </c>
      <c r="G183" s="172">
        <f>IFERROR(__xludf.DUMMYFUNCTION("""COMPUTED_VALUE"""),17145.0)</f>
        <v>17145</v>
      </c>
      <c r="H183" s="172">
        <f>IFERROR(__xludf.DUMMYFUNCTION("""COMPUTED_VALUE"""),1056411.0)</f>
        <v>1056411</v>
      </c>
      <c r="I183" s="236">
        <f>IFERROR(__xludf.DUMMYFUNCTION("""COMPUTED_VALUE"""),453.0)</f>
        <v>453</v>
      </c>
      <c r="J183" s="236">
        <f>IFERROR(__xludf.DUMMYFUNCTION("""COMPUTED_VALUE"""),470.0)</f>
        <v>470</v>
      </c>
      <c r="K183" s="236">
        <f>IFERROR(__xludf.DUMMYFUNCTION("""COMPUTED_VALUE"""),30667.0)</f>
        <v>30667</v>
      </c>
      <c r="L183" s="236">
        <f>IFERROR(__xludf.DUMMYFUNCTION("""COMPUTED_VALUE"""),2897.0)</f>
        <v>2897</v>
      </c>
      <c r="M183" s="236">
        <f>IFERROR(__xludf.DUMMYFUNCTION("""COMPUTED_VALUE"""),383717.0)</f>
        <v>383717</v>
      </c>
      <c r="N183" s="236">
        <f>IFERROR(__xludf.DUMMYFUNCTION("""COMPUTED_VALUE"""),414384.0)</f>
        <v>414384</v>
      </c>
      <c r="O183" s="236">
        <f>IFERROR(__xludf.DUMMYFUNCTION("""COMPUTED_VALUE"""),22.0)</f>
        <v>22</v>
      </c>
      <c r="P183" s="236">
        <f>IFERROR(__xludf.DUMMYFUNCTION("""COMPUTED_VALUE"""),3186.0)</f>
        <v>3186</v>
      </c>
      <c r="Q183" s="236">
        <f>IFERROR(__xludf.DUMMYFUNCTION("""COMPUTED_VALUE"""),26.0)</f>
        <v>26</v>
      </c>
      <c r="R183" s="236">
        <f>IFERROR(__xludf.DUMMYFUNCTION("""COMPUTED_VALUE"""),2659.0)</f>
        <v>2659</v>
      </c>
      <c r="S183" s="236">
        <f>IFERROR(__xludf.DUMMYFUNCTION("""COMPUTED_VALUE"""),1.0)</f>
        <v>1</v>
      </c>
      <c r="T183" s="236">
        <f>IFERROR(__xludf.DUMMYFUNCTION("""COMPUTED_VALUE"""),389.0)</f>
        <v>389</v>
      </c>
      <c r="U183" s="236">
        <f>IFERROR(__xludf.DUMMYFUNCTION("""COMPUTED_VALUE"""),138.0)</f>
        <v>138</v>
      </c>
      <c r="V183" s="236">
        <f>IFERROR(__xludf.DUMMYFUNCTION("""COMPUTED_VALUE"""),141.0)</f>
        <v>141</v>
      </c>
      <c r="W183" s="236">
        <f>IFERROR(__xludf.DUMMYFUNCTION("""COMPUTED_VALUE"""),15.0)</f>
        <v>15</v>
      </c>
      <c r="X183" s="236">
        <f>IFERROR(__xludf.DUMMYFUNCTION("""COMPUTED_VALUE"""),9.0)</f>
        <v>9</v>
      </c>
      <c r="Y183" s="236">
        <f>IFERROR(__xludf.DUMMYFUNCTION("""COMPUTED_VALUE"""),3.0)</f>
        <v>3</v>
      </c>
      <c r="Z183" s="236">
        <f>IFERROR(__xludf.DUMMYFUNCTION("""COMPUTED_VALUE"""),1186.0)</f>
        <v>1186</v>
      </c>
    </row>
    <row r="184">
      <c r="A184" s="235">
        <f>IFERROR(__xludf.DUMMYFUNCTION("""COMPUTED_VALUE"""),44128.0)</f>
        <v>44128</v>
      </c>
      <c r="B184" s="236">
        <f>IFERROR(__xludf.DUMMYFUNCTION("""COMPUTED_VALUE"""),359.0)</f>
        <v>359</v>
      </c>
      <c r="C184" s="236">
        <f>IFERROR(__xludf.DUMMYFUNCTION("""COMPUTED_VALUE"""),470.0)</f>
        <v>470</v>
      </c>
      <c r="D184" s="236">
        <f>IFERROR(__xludf.DUMMYFUNCTION("""COMPUTED_VALUE"""),41517.0)</f>
        <v>41517</v>
      </c>
      <c r="E184" s="236">
        <f>IFERROR(__xludf.DUMMYFUNCTION("""COMPUTED_VALUE"""),10248.0)</f>
        <v>10248</v>
      </c>
      <c r="F184" s="172">
        <f>IFERROR(__xludf.DUMMYFUNCTION("""COMPUTED_VALUE"""),1025501.0)</f>
        <v>1025501</v>
      </c>
      <c r="G184" s="172">
        <f>IFERROR(__xludf.DUMMYFUNCTION("""COMPUTED_VALUE"""),10607.0)</f>
        <v>10607</v>
      </c>
      <c r="H184" s="172">
        <f>IFERROR(__xludf.DUMMYFUNCTION("""COMPUTED_VALUE"""),1067018.0)</f>
        <v>1067018</v>
      </c>
      <c r="I184" s="236">
        <f>IFERROR(__xludf.DUMMYFUNCTION("""COMPUTED_VALUE"""),330.0)</f>
        <v>330</v>
      </c>
      <c r="J184" s="236">
        <f>IFERROR(__xludf.DUMMYFUNCTION("""COMPUTED_VALUE"""),423.0)</f>
        <v>423</v>
      </c>
      <c r="K184" s="236">
        <f>IFERROR(__xludf.DUMMYFUNCTION("""COMPUTED_VALUE"""),30997.0)</f>
        <v>30997</v>
      </c>
      <c r="L184" s="236">
        <f>IFERROR(__xludf.DUMMYFUNCTION("""COMPUTED_VALUE"""),2272.0)</f>
        <v>2272</v>
      </c>
      <c r="M184" s="236">
        <f>IFERROR(__xludf.DUMMYFUNCTION("""COMPUTED_VALUE"""),385989.0)</f>
        <v>385989</v>
      </c>
      <c r="N184" s="236">
        <f>IFERROR(__xludf.DUMMYFUNCTION("""COMPUTED_VALUE"""),416986.0)</f>
        <v>416986</v>
      </c>
      <c r="O184" s="236">
        <f>IFERROR(__xludf.DUMMYFUNCTION("""COMPUTED_VALUE"""),17.0)</f>
        <v>17</v>
      </c>
      <c r="P184" s="236">
        <f>IFERROR(__xludf.DUMMYFUNCTION("""COMPUTED_VALUE"""),3203.0)</f>
        <v>3203</v>
      </c>
      <c r="Q184" s="236">
        <f>IFERROR(__xludf.DUMMYFUNCTION("""COMPUTED_VALUE"""),11.0)</f>
        <v>11</v>
      </c>
      <c r="R184" s="236">
        <f>IFERROR(__xludf.DUMMYFUNCTION("""COMPUTED_VALUE"""),2670.0)</f>
        <v>2670</v>
      </c>
      <c r="S184" s="236">
        <f>IFERROR(__xludf.DUMMYFUNCTION("""COMPUTED_VALUE"""),0.0)</f>
        <v>0</v>
      </c>
      <c r="T184" s="236">
        <f>IFERROR(__xludf.DUMMYFUNCTION("""COMPUTED_VALUE"""),389.0)</f>
        <v>389</v>
      </c>
      <c r="U184" s="236">
        <f>IFERROR(__xludf.DUMMYFUNCTION("""COMPUTED_VALUE"""),144.0)</f>
        <v>144</v>
      </c>
      <c r="V184" s="236">
        <f>IFERROR(__xludf.DUMMYFUNCTION("""COMPUTED_VALUE"""),142.0)</f>
        <v>142</v>
      </c>
      <c r="W184" s="236">
        <f>IFERROR(__xludf.DUMMYFUNCTION("""COMPUTED_VALUE"""),14.0)</f>
        <v>14</v>
      </c>
      <c r="X184" s="236">
        <f>IFERROR(__xludf.DUMMYFUNCTION("""COMPUTED_VALUE"""),8.0)</f>
        <v>8</v>
      </c>
      <c r="Y184" s="236">
        <f>IFERROR(__xludf.DUMMYFUNCTION("""COMPUTED_VALUE"""),1.0)</f>
        <v>1</v>
      </c>
      <c r="Z184" s="236">
        <f>IFERROR(__xludf.DUMMYFUNCTION("""COMPUTED_VALUE"""),1187.0)</f>
        <v>1187</v>
      </c>
    </row>
    <row r="185">
      <c r="A185" s="235">
        <f>IFERROR(__xludf.DUMMYFUNCTION("""COMPUTED_VALUE"""),44129.0)</f>
        <v>44129</v>
      </c>
      <c r="B185" s="236">
        <f>IFERROR(__xludf.DUMMYFUNCTION("""COMPUTED_VALUE"""),233.0)</f>
        <v>233</v>
      </c>
      <c r="C185" s="236">
        <f>IFERROR(__xludf.DUMMYFUNCTION("""COMPUTED_VALUE"""),369.0)</f>
        <v>369</v>
      </c>
      <c r="D185" s="236">
        <f>IFERROR(__xludf.DUMMYFUNCTION("""COMPUTED_VALUE"""),41750.0)</f>
        <v>41750</v>
      </c>
      <c r="E185" s="236">
        <f>IFERROR(__xludf.DUMMYFUNCTION("""COMPUTED_VALUE"""),4762.0)</f>
        <v>4762</v>
      </c>
      <c r="F185" s="172">
        <f>IFERROR(__xludf.DUMMYFUNCTION("""COMPUTED_VALUE"""),1030263.0)</f>
        <v>1030263</v>
      </c>
      <c r="G185" s="172">
        <f>IFERROR(__xludf.DUMMYFUNCTION("""COMPUTED_VALUE"""),4995.0)</f>
        <v>4995</v>
      </c>
      <c r="H185" s="172">
        <f>IFERROR(__xludf.DUMMYFUNCTION("""COMPUTED_VALUE"""),1072013.0)</f>
        <v>1072013</v>
      </c>
      <c r="I185" s="236">
        <f>IFERROR(__xludf.DUMMYFUNCTION("""COMPUTED_VALUE"""),205.0)</f>
        <v>205</v>
      </c>
      <c r="J185" s="236">
        <f>IFERROR(__xludf.DUMMYFUNCTION("""COMPUTED_VALUE"""),329.0)</f>
        <v>329</v>
      </c>
      <c r="K185" s="236">
        <f>IFERROR(__xludf.DUMMYFUNCTION("""COMPUTED_VALUE"""),31202.0)</f>
        <v>31202</v>
      </c>
      <c r="L185" s="236">
        <f>IFERROR(__xludf.DUMMYFUNCTION("""COMPUTED_VALUE"""),1476.0)</f>
        <v>1476</v>
      </c>
      <c r="M185" s="236">
        <f>IFERROR(__xludf.DUMMYFUNCTION("""COMPUTED_VALUE"""),387465.0)</f>
        <v>387465</v>
      </c>
      <c r="N185" s="236">
        <f>IFERROR(__xludf.DUMMYFUNCTION("""COMPUTED_VALUE"""),418667.0)</f>
        <v>418667</v>
      </c>
      <c r="O185" s="236">
        <f>IFERROR(__xludf.DUMMYFUNCTION("""COMPUTED_VALUE"""),16.0)</f>
        <v>16</v>
      </c>
      <c r="P185" s="236">
        <f>IFERROR(__xludf.DUMMYFUNCTION("""COMPUTED_VALUE"""),3219.0)</f>
        <v>3219</v>
      </c>
      <c r="Q185" s="236">
        <f>IFERROR(__xludf.DUMMYFUNCTION("""COMPUTED_VALUE"""),15.0)</f>
        <v>15</v>
      </c>
      <c r="R185" s="236">
        <f>IFERROR(__xludf.DUMMYFUNCTION("""COMPUTED_VALUE"""),2685.0)</f>
        <v>2685</v>
      </c>
      <c r="S185" s="236">
        <f>IFERROR(__xludf.DUMMYFUNCTION("""COMPUTED_VALUE"""),1.0)</f>
        <v>1</v>
      </c>
      <c r="T185" s="236">
        <f>IFERROR(__xludf.DUMMYFUNCTION("""COMPUTED_VALUE"""),390.0)</f>
        <v>390</v>
      </c>
      <c r="U185" s="236">
        <f>IFERROR(__xludf.DUMMYFUNCTION("""COMPUTED_VALUE"""),144.0)</f>
        <v>144</v>
      </c>
      <c r="V185" s="236">
        <f>IFERROR(__xludf.DUMMYFUNCTION("""COMPUTED_VALUE"""),142.0)</f>
        <v>142</v>
      </c>
      <c r="W185" s="236">
        <f>IFERROR(__xludf.DUMMYFUNCTION("""COMPUTED_VALUE"""),15.0)</f>
        <v>15</v>
      </c>
      <c r="X185" s="236">
        <f>IFERROR(__xludf.DUMMYFUNCTION("""COMPUTED_VALUE"""),8.0)</f>
        <v>8</v>
      </c>
      <c r="Y185" s="236">
        <f>IFERROR(__xludf.DUMMYFUNCTION("""COMPUTED_VALUE"""),2.0)</f>
        <v>2</v>
      </c>
      <c r="Z185" s="236">
        <f>IFERROR(__xludf.DUMMYFUNCTION("""COMPUTED_VALUE"""),1189.0)</f>
        <v>1189</v>
      </c>
    </row>
    <row r="186">
      <c r="A186" s="235">
        <f>IFERROR(__xludf.DUMMYFUNCTION("""COMPUTED_VALUE"""),44130.0)</f>
        <v>44130</v>
      </c>
      <c r="B186" s="236">
        <f>IFERROR(__xludf.DUMMYFUNCTION("""COMPUTED_VALUE"""),454.0)</f>
        <v>454</v>
      </c>
      <c r="C186" s="236">
        <f>IFERROR(__xludf.DUMMYFUNCTION("""COMPUTED_VALUE"""),349.0)</f>
        <v>349</v>
      </c>
      <c r="D186" s="236">
        <f>IFERROR(__xludf.DUMMYFUNCTION("""COMPUTED_VALUE"""),42204.0)</f>
        <v>42204</v>
      </c>
      <c r="E186" s="236">
        <f>IFERROR(__xludf.DUMMYFUNCTION("""COMPUTED_VALUE"""),9174.0)</f>
        <v>9174</v>
      </c>
      <c r="F186" s="172">
        <f>IFERROR(__xludf.DUMMYFUNCTION("""COMPUTED_VALUE"""),1039437.0)</f>
        <v>1039437</v>
      </c>
      <c r="G186" s="172">
        <f>IFERROR(__xludf.DUMMYFUNCTION("""COMPUTED_VALUE"""),9628.0)</f>
        <v>9628</v>
      </c>
      <c r="H186" s="172">
        <f>IFERROR(__xludf.DUMMYFUNCTION("""COMPUTED_VALUE"""),1081641.0)</f>
        <v>1081641</v>
      </c>
      <c r="I186" s="236">
        <f>IFERROR(__xludf.DUMMYFUNCTION("""COMPUTED_VALUE"""),396.0)</f>
        <v>396</v>
      </c>
      <c r="J186" s="236">
        <f>IFERROR(__xludf.DUMMYFUNCTION("""COMPUTED_VALUE"""),310.0)</f>
        <v>310</v>
      </c>
      <c r="K186" s="236">
        <f>IFERROR(__xludf.DUMMYFUNCTION("""COMPUTED_VALUE"""),31598.0)</f>
        <v>31598</v>
      </c>
      <c r="L186" s="236">
        <f>IFERROR(__xludf.DUMMYFUNCTION("""COMPUTED_VALUE"""),2981.0)</f>
        <v>2981</v>
      </c>
      <c r="M186" s="236">
        <f>IFERROR(__xludf.DUMMYFUNCTION("""COMPUTED_VALUE"""),390446.0)</f>
        <v>390446</v>
      </c>
      <c r="N186" s="236">
        <f>IFERROR(__xludf.DUMMYFUNCTION("""COMPUTED_VALUE"""),422044.0)</f>
        <v>422044</v>
      </c>
      <c r="O186" s="236">
        <f>IFERROR(__xludf.DUMMYFUNCTION("""COMPUTED_VALUE"""),25.0)</f>
        <v>25</v>
      </c>
      <c r="P186" s="236">
        <f>IFERROR(__xludf.DUMMYFUNCTION("""COMPUTED_VALUE"""),3244.0)</f>
        <v>3244</v>
      </c>
      <c r="Q186" s="236">
        <f>IFERROR(__xludf.DUMMYFUNCTION("""COMPUTED_VALUE"""),20.0)</f>
        <v>20</v>
      </c>
      <c r="R186" s="236">
        <f>IFERROR(__xludf.DUMMYFUNCTION("""COMPUTED_VALUE"""),2705.0)</f>
        <v>2705</v>
      </c>
      <c r="S186" s="236">
        <f>IFERROR(__xludf.DUMMYFUNCTION("""COMPUTED_VALUE"""),2.0)</f>
        <v>2</v>
      </c>
      <c r="T186" s="236">
        <f>IFERROR(__xludf.DUMMYFUNCTION("""COMPUTED_VALUE"""),392.0)</f>
        <v>392</v>
      </c>
      <c r="U186" s="236">
        <f>IFERROR(__xludf.DUMMYFUNCTION("""COMPUTED_VALUE"""),147.0)</f>
        <v>147</v>
      </c>
      <c r="V186" s="236">
        <f>IFERROR(__xludf.DUMMYFUNCTION("""COMPUTED_VALUE"""),145.0)</f>
        <v>145</v>
      </c>
      <c r="W186" s="236">
        <f>IFERROR(__xludf.DUMMYFUNCTION("""COMPUTED_VALUE"""),18.0)</f>
        <v>18</v>
      </c>
      <c r="X186" s="236">
        <f>IFERROR(__xludf.DUMMYFUNCTION("""COMPUTED_VALUE"""),8.0)</f>
        <v>8</v>
      </c>
      <c r="Y186" s="236">
        <f>IFERROR(__xludf.DUMMYFUNCTION("""COMPUTED_VALUE"""),3.0)</f>
        <v>3</v>
      </c>
      <c r="Z186" s="236">
        <f>IFERROR(__xludf.DUMMYFUNCTION("""COMPUTED_VALUE"""),1192.0)</f>
        <v>1192</v>
      </c>
    </row>
    <row r="187">
      <c r="A187" s="235">
        <f>IFERROR(__xludf.DUMMYFUNCTION("""COMPUTED_VALUE"""),44131.0)</f>
        <v>44131</v>
      </c>
      <c r="B187" s="236">
        <f>IFERROR(__xludf.DUMMYFUNCTION("""COMPUTED_VALUE"""),517.0)</f>
        <v>517</v>
      </c>
      <c r="C187" s="236">
        <f>IFERROR(__xludf.DUMMYFUNCTION("""COMPUTED_VALUE"""),401.0)</f>
        <v>401</v>
      </c>
      <c r="D187" s="236">
        <f>IFERROR(__xludf.DUMMYFUNCTION("""COMPUTED_VALUE"""),42721.0)</f>
        <v>42721</v>
      </c>
      <c r="E187" s="236">
        <f>IFERROR(__xludf.DUMMYFUNCTION("""COMPUTED_VALUE"""),13992.0)</f>
        <v>13992</v>
      </c>
      <c r="F187" s="172">
        <f>IFERROR(__xludf.DUMMYFUNCTION("""COMPUTED_VALUE"""),1053429.0)</f>
        <v>1053429</v>
      </c>
      <c r="G187" s="172">
        <f>IFERROR(__xludf.DUMMYFUNCTION("""COMPUTED_VALUE"""),14509.0)</f>
        <v>14509</v>
      </c>
      <c r="H187" s="172">
        <f>IFERROR(__xludf.DUMMYFUNCTION("""COMPUTED_VALUE"""),1096150.0)</f>
        <v>1096150</v>
      </c>
      <c r="I187" s="236">
        <f>IFERROR(__xludf.DUMMYFUNCTION("""COMPUTED_VALUE"""),452.0)</f>
        <v>452</v>
      </c>
      <c r="J187" s="236">
        <f>IFERROR(__xludf.DUMMYFUNCTION("""COMPUTED_VALUE"""),351.0)</f>
        <v>351</v>
      </c>
      <c r="K187" s="236">
        <f>IFERROR(__xludf.DUMMYFUNCTION("""COMPUTED_VALUE"""),32050.0)</f>
        <v>32050</v>
      </c>
      <c r="L187" s="236">
        <f>IFERROR(__xludf.DUMMYFUNCTION("""COMPUTED_VALUE"""),2402.0)</f>
        <v>2402</v>
      </c>
      <c r="M187" s="236">
        <f>IFERROR(__xludf.DUMMYFUNCTION("""COMPUTED_VALUE"""),392848.0)</f>
        <v>392848</v>
      </c>
      <c r="N187" s="236">
        <f>IFERROR(__xludf.DUMMYFUNCTION("""COMPUTED_VALUE"""),424898.0)</f>
        <v>424898</v>
      </c>
      <c r="O187" s="236">
        <f>IFERROR(__xludf.DUMMYFUNCTION("""COMPUTED_VALUE"""),28.0)</f>
        <v>28</v>
      </c>
      <c r="P187" s="236">
        <f>IFERROR(__xludf.DUMMYFUNCTION("""COMPUTED_VALUE"""),3272.0)</f>
        <v>3272</v>
      </c>
      <c r="Q187" s="236">
        <f>IFERROR(__xludf.DUMMYFUNCTION("""COMPUTED_VALUE"""),11.0)</f>
        <v>11</v>
      </c>
      <c r="R187" s="236">
        <f>IFERROR(__xludf.DUMMYFUNCTION("""COMPUTED_VALUE"""),2716.0)</f>
        <v>2716</v>
      </c>
      <c r="S187" s="236">
        <f>IFERROR(__xludf.DUMMYFUNCTION("""COMPUTED_VALUE"""),2.0)</f>
        <v>2</v>
      </c>
      <c r="T187" s="236">
        <f>IFERROR(__xludf.DUMMYFUNCTION("""COMPUTED_VALUE"""),394.0)</f>
        <v>394</v>
      </c>
      <c r="U187" s="236">
        <f>IFERROR(__xludf.DUMMYFUNCTION("""COMPUTED_VALUE"""),162.0)</f>
        <v>162</v>
      </c>
      <c r="V187" s="236">
        <f>IFERROR(__xludf.DUMMYFUNCTION("""COMPUTED_VALUE"""),151.0)</f>
        <v>151</v>
      </c>
      <c r="W187" s="236">
        <f>IFERROR(__xludf.DUMMYFUNCTION("""COMPUTED_VALUE"""),17.0)</f>
        <v>17</v>
      </c>
      <c r="X187" s="236">
        <f>IFERROR(__xludf.DUMMYFUNCTION("""COMPUTED_VALUE"""),9.0)</f>
        <v>9</v>
      </c>
      <c r="Y187" s="236">
        <f>IFERROR(__xludf.DUMMYFUNCTION("""COMPUTED_VALUE"""),4.0)</f>
        <v>4</v>
      </c>
      <c r="Z187" s="236">
        <f>IFERROR(__xludf.DUMMYFUNCTION("""COMPUTED_VALUE"""),1196.0)</f>
        <v>1196</v>
      </c>
    </row>
    <row r="188">
      <c r="A188" s="235">
        <f>IFERROR(__xludf.DUMMYFUNCTION("""COMPUTED_VALUE"""),44132.0)</f>
        <v>44132</v>
      </c>
      <c r="B188" s="236">
        <f>IFERROR(__xludf.DUMMYFUNCTION("""COMPUTED_VALUE"""),468.0)</f>
        <v>468</v>
      </c>
      <c r="C188" s="236">
        <f>IFERROR(__xludf.DUMMYFUNCTION("""COMPUTED_VALUE"""),480.0)</f>
        <v>480</v>
      </c>
      <c r="D188" s="236">
        <f>IFERROR(__xludf.DUMMYFUNCTION("""COMPUTED_VALUE"""),43189.0)</f>
        <v>43189</v>
      </c>
      <c r="E188" s="236">
        <f>IFERROR(__xludf.DUMMYFUNCTION("""COMPUTED_VALUE"""),15229.0)</f>
        <v>15229</v>
      </c>
      <c r="F188" s="172">
        <f>IFERROR(__xludf.DUMMYFUNCTION("""COMPUTED_VALUE"""),1068658.0)</f>
        <v>1068658</v>
      </c>
      <c r="G188" s="172">
        <f>IFERROR(__xludf.DUMMYFUNCTION("""COMPUTED_VALUE"""),15697.0)</f>
        <v>15697</v>
      </c>
      <c r="H188" s="172">
        <f>IFERROR(__xludf.DUMMYFUNCTION("""COMPUTED_VALUE"""),1111847.0)</f>
        <v>1111847</v>
      </c>
      <c r="I188" s="236">
        <f>IFERROR(__xludf.DUMMYFUNCTION("""COMPUTED_VALUE"""),404.0)</f>
        <v>404</v>
      </c>
      <c r="J188" s="236">
        <f>IFERROR(__xludf.DUMMYFUNCTION("""COMPUTED_VALUE"""),417.0)</f>
        <v>417</v>
      </c>
      <c r="K188" s="236">
        <f>IFERROR(__xludf.DUMMYFUNCTION("""COMPUTED_VALUE"""),32454.0)</f>
        <v>32454</v>
      </c>
      <c r="L188" s="236">
        <f>IFERROR(__xludf.DUMMYFUNCTION("""COMPUTED_VALUE"""),2715.0)</f>
        <v>2715</v>
      </c>
      <c r="M188" s="236">
        <f>IFERROR(__xludf.DUMMYFUNCTION("""COMPUTED_VALUE"""),395563.0)</f>
        <v>395563</v>
      </c>
      <c r="N188" s="236">
        <f>IFERROR(__xludf.DUMMYFUNCTION("""COMPUTED_VALUE"""),428017.0)</f>
        <v>428017</v>
      </c>
      <c r="O188" s="236">
        <f>IFERROR(__xludf.DUMMYFUNCTION("""COMPUTED_VALUE"""),22.0)</f>
        <v>22</v>
      </c>
      <c r="P188" s="236">
        <f>IFERROR(__xludf.DUMMYFUNCTION("""COMPUTED_VALUE"""),3294.0)</f>
        <v>3294</v>
      </c>
      <c r="Q188" s="236">
        <f>IFERROR(__xludf.DUMMYFUNCTION("""COMPUTED_VALUE"""),23.0)</f>
        <v>23</v>
      </c>
      <c r="R188" s="236">
        <f>IFERROR(__xludf.DUMMYFUNCTION("""COMPUTED_VALUE"""),2739.0)</f>
        <v>2739</v>
      </c>
      <c r="S188" s="236">
        <f>IFERROR(__xludf.DUMMYFUNCTION("""COMPUTED_VALUE"""),1.0)</f>
        <v>1</v>
      </c>
      <c r="T188" s="236">
        <f>IFERROR(__xludf.DUMMYFUNCTION("""COMPUTED_VALUE"""),395.0)</f>
        <v>395</v>
      </c>
      <c r="U188" s="236">
        <f>IFERROR(__xludf.DUMMYFUNCTION("""COMPUTED_VALUE"""),160.0)</f>
        <v>160</v>
      </c>
      <c r="V188" s="236">
        <f>IFERROR(__xludf.DUMMYFUNCTION("""COMPUTED_VALUE"""),156.0)</f>
        <v>156</v>
      </c>
      <c r="W188" s="236">
        <f>IFERROR(__xludf.DUMMYFUNCTION("""COMPUTED_VALUE"""),16.0)</f>
        <v>16</v>
      </c>
      <c r="X188" s="236">
        <f>IFERROR(__xludf.DUMMYFUNCTION("""COMPUTED_VALUE"""),9.0)</f>
        <v>9</v>
      </c>
      <c r="Y188" s="236">
        <f>IFERROR(__xludf.DUMMYFUNCTION("""COMPUTED_VALUE"""),3.0)</f>
        <v>3</v>
      </c>
      <c r="Z188" s="236">
        <f>IFERROR(__xludf.DUMMYFUNCTION("""COMPUTED_VALUE"""),1199.0)</f>
        <v>1199</v>
      </c>
    </row>
    <row r="189">
      <c r="A189" s="235">
        <f>IFERROR(__xludf.DUMMYFUNCTION("""COMPUTED_VALUE"""),44133.0)</f>
        <v>44133</v>
      </c>
      <c r="B189" s="236">
        <f>IFERROR(__xludf.DUMMYFUNCTION("""COMPUTED_VALUE"""),609.0)</f>
        <v>609</v>
      </c>
      <c r="C189" s="236">
        <f>IFERROR(__xludf.DUMMYFUNCTION("""COMPUTED_VALUE"""),531.0)</f>
        <v>531</v>
      </c>
      <c r="D189" s="236">
        <f>IFERROR(__xludf.DUMMYFUNCTION("""COMPUTED_VALUE"""),43798.0)</f>
        <v>43798</v>
      </c>
      <c r="E189" s="236">
        <f>IFERROR(__xludf.DUMMYFUNCTION("""COMPUTED_VALUE"""),16234.0)</f>
        <v>16234</v>
      </c>
      <c r="F189" s="172">
        <f>IFERROR(__xludf.DUMMYFUNCTION("""COMPUTED_VALUE"""),1084892.0)</f>
        <v>1084892</v>
      </c>
      <c r="G189" s="172">
        <f>IFERROR(__xludf.DUMMYFUNCTION("""COMPUTED_VALUE"""),16843.0)</f>
        <v>16843</v>
      </c>
      <c r="H189" s="172">
        <f>IFERROR(__xludf.DUMMYFUNCTION("""COMPUTED_VALUE"""),1128690.0)</f>
        <v>1128690</v>
      </c>
      <c r="I189" s="236">
        <f>IFERROR(__xludf.DUMMYFUNCTION("""COMPUTED_VALUE"""),529.0)</f>
        <v>529</v>
      </c>
      <c r="J189" s="236">
        <f>IFERROR(__xludf.DUMMYFUNCTION("""COMPUTED_VALUE"""),462.0)</f>
        <v>462</v>
      </c>
      <c r="K189" s="236">
        <f>IFERROR(__xludf.DUMMYFUNCTION("""COMPUTED_VALUE"""),32983.0)</f>
        <v>32983</v>
      </c>
      <c r="L189" s="236">
        <f>IFERROR(__xludf.DUMMYFUNCTION("""COMPUTED_VALUE"""),3147.0)</f>
        <v>3147</v>
      </c>
      <c r="M189" s="236">
        <f>IFERROR(__xludf.DUMMYFUNCTION("""COMPUTED_VALUE"""),398710.0)</f>
        <v>398710</v>
      </c>
      <c r="N189" s="236">
        <f>IFERROR(__xludf.DUMMYFUNCTION("""COMPUTED_VALUE"""),431693.0)</f>
        <v>431693</v>
      </c>
      <c r="O189" s="236">
        <f>IFERROR(__xludf.DUMMYFUNCTION("""COMPUTED_VALUE"""),20.0)</f>
        <v>20</v>
      </c>
      <c r="P189" s="236">
        <f>IFERROR(__xludf.DUMMYFUNCTION("""COMPUTED_VALUE"""),3314.0)</f>
        <v>3314</v>
      </c>
      <c r="Q189" s="236">
        <f>IFERROR(__xludf.DUMMYFUNCTION("""COMPUTED_VALUE"""),18.0)</f>
        <v>18</v>
      </c>
      <c r="R189" s="236">
        <f>IFERROR(__xludf.DUMMYFUNCTION("""COMPUTED_VALUE"""),2757.0)</f>
        <v>2757</v>
      </c>
      <c r="S189" s="236">
        <f>IFERROR(__xludf.DUMMYFUNCTION("""COMPUTED_VALUE"""),3.0)</f>
        <v>3</v>
      </c>
      <c r="T189" s="236">
        <f>IFERROR(__xludf.DUMMYFUNCTION("""COMPUTED_VALUE"""),398.0)</f>
        <v>398</v>
      </c>
      <c r="U189" s="236">
        <f>IFERROR(__xludf.DUMMYFUNCTION("""COMPUTED_VALUE"""),159.0)</f>
        <v>159</v>
      </c>
      <c r="V189" s="236">
        <f>IFERROR(__xludf.DUMMYFUNCTION("""COMPUTED_VALUE"""),160.0)</f>
        <v>160</v>
      </c>
      <c r="W189" s="236">
        <f>IFERROR(__xludf.DUMMYFUNCTION("""COMPUTED_VALUE"""),19.0)</f>
        <v>19</v>
      </c>
      <c r="X189" s="236">
        <f>IFERROR(__xludf.DUMMYFUNCTION("""COMPUTED_VALUE"""),11.0)</f>
        <v>11</v>
      </c>
      <c r="Y189" s="236">
        <f>IFERROR(__xludf.DUMMYFUNCTION("""COMPUTED_VALUE"""),4.0)</f>
        <v>4</v>
      </c>
      <c r="Z189" s="236">
        <f>IFERROR(__xludf.DUMMYFUNCTION("""COMPUTED_VALUE"""),1203.0)</f>
        <v>1203</v>
      </c>
    </row>
    <row r="190">
      <c r="A190" s="235">
        <f>IFERROR(__xludf.DUMMYFUNCTION("""COMPUTED_VALUE"""),44134.0)</f>
        <v>44134</v>
      </c>
      <c r="B190" s="236">
        <f>IFERROR(__xludf.DUMMYFUNCTION("""COMPUTED_VALUE"""),544.0)</f>
        <v>544</v>
      </c>
      <c r="C190" s="236">
        <f>IFERROR(__xludf.DUMMYFUNCTION("""COMPUTED_VALUE"""),540.0)</f>
        <v>540</v>
      </c>
      <c r="D190" s="236">
        <f>IFERROR(__xludf.DUMMYFUNCTION("""COMPUTED_VALUE"""),44342.0)</f>
        <v>44342</v>
      </c>
      <c r="E190" s="236">
        <f>IFERROR(__xludf.DUMMYFUNCTION("""COMPUTED_VALUE"""),14318.0)</f>
        <v>14318</v>
      </c>
      <c r="F190" s="172">
        <f>IFERROR(__xludf.DUMMYFUNCTION("""COMPUTED_VALUE"""),1099210.0)</f>
        <v>1099210</v>
      </c>
      <c r="G190" s="172">
        <f>IFERROR(__xludf.DUMMYFUNCTION("""COMPUTED_VALUE"""),14862.0)</f>
        <v>14862</v>
      </c>
      <c r="H190" s="172">
        <f>IFERROR(__xludf.DUMMYFUNCTION("""COMPUTED_VALUE"""),1143552.0)</f>
        <v>1143552</v>
      </c>
      <c r="I190" s="236">
        <f>IFERROR(__xludf.DUMMYFUNCTION("""COMPUTED_VALUE"""),464.0)</f>
        <v>464</v>
      </c>
      <c r="J190" s="236">
        <f>IFERROR(__xludf.DUMMYFUNCTION("""COMPUTED_VALUE"""),466.0)</f>
        <v>466</v>
      </c>
      <c r="K190" s="236">
        <f>IFERROR(__xludf.DUMMYFUNCTION("""COMPUTED_VALUE"""),33447.0)</f>
        <v>33447</v>
      </c>
      <c r="L190" s="236">
        <f>IFERROR(__xludf.DUMMYFUNCTION("""COMPUTED_VALUE"""),2964.0)</f>
        <v>2964</v>
      </c>
      <c r="M190" s="236">
        <f>IFERROR(__xludf.DUMMYFUNCTION("""COMPUTED_VALUE"""),401674.0)</f>
        <v>401674</v>
      </c>
      <c r="N190" s="236">
        <f>IFERROR(__xludf.DUMMYFUNCTION("""COMPUTED_VALUE"""),435121.0)</f>
        <v>435121</v>
      </c>
      <c r="O190" s="236">
        <f>IFERROR(__xludf.DUMMYFUNCTION("""COMPUTED_VALUE"""),21.0)</f>
        <v>21</v>
      </c>
      <c r="P190" s="236">
        <f>IFERROR(__xludf.DUMMYFUNCTION("""COMPUTED_VALUE"""),3335.0)</f>
        <v>3335</v>
      </c>
      <c r="Q190" s="236">
        <f>IFERROR(__xludf.DUMMYFUNCTION("""COMPUTED_VALUE"""),20.0)</f>
        <v>20</v>
      </c>
      <c r="R190" s="236">
        <f>IFERROR(__xludf.DUMMYFUNCTION("""COMPUTED_VALUE"""),2777.0)</f>
        <v>2777</v>
      </c>
      <c r="S190" s="236">
        <f>IFERROR(__xludf.DUMMYFUNCTION("""COMPUTED_VALUE"""),5.0)</f>
        <v>5</v>
      </c>
      <c r="T190" s="236">
        <f>IFERROR(__xludf.DUMMYFUNCTION("""COMPUTED_VALUE"""),403.0)</f>
        <v>403</v>
      </c>
      <c r="U190" s="236">
        <f>IFERROR(__xludf.DUMMYFUNCTION("""COMPUTED_VALUE"""),155.0)</f>
        <v>155</v>
      </c>
      <c r="V190" s="236">
        <f>IFERROR(__xludf.DUMMYFUNCTION("""COMPUTED_VALUE"""),158.0)</f>
        <v>158</v>
      </c>
      <c r="W190" s="236">
        <f>IFERROR(__xludf.DUMMYFUNCTION("""COMPUTED_VALUE"""),19.0)</f>
        <v>19</v>
      </c>
      <c r="X190" s="236">
        <f>IFERROR(__xludf.DUMMYFUNCTION("""COMPUTED_VALUE"""),9.0)</f>
        <v>9</v>
      </c>
      <c r="Y190" s="236">
        <f>IFERROR(__xludf.DUMMYFUNCTION("""COMPUTED_VALUE"""),4.0)</f>
        <v>4</v>
      </c>
      <c r="Z190" s="236">
        <f>IFERROR(__xludf.DUMMYFUNCTION("""COMPUTED_VALUE"""),1207.0)</f>
        <v>1207</v>
      </c>
    </row>
    <row r="191">
      <c r="A191" s="235">
        <f>IFERROR(__xludf.DUMMYFUNCTION("""COMPUTED_VALUE"""),44135.0)</f>
        <v>44135</v>
      </c>
      <c r="B191" s="236">
        <f>IFERROR(__xludf.DUMMYFUNCTION("""COMPUTED_VALUE"""),585.0)</f>
        <v>585</v>
      </c>
      <c r="C191" s="236">
        <f>IFERROR(__xludf.DUMMYFUNCTION("""COMPUTED_VALUE"""),579.0)</f>
        <v>579</v>
      </c>
      <c r="D191" s="236">
        <f>IFERROR(__xludf.DUMMYFUNCTION("""COMPUTED_VALUE"""),44927.0)</f>
        <v>44927</v>
      </c>
      <c r="E191" s="236">
        <f>IFERROR(__xludf.DUMMYFUNCTION("""COMPUTED_VALUE"""),11843.0)</f>
        <v>11843</v>
      </c>
      <c r="F191" s="172">
        <f>IFERROR(__xludf.DUMMYFUNCTION("""COMPUTED_VALUE"""),1111053.0)</f>
        <v>1111053</v>
      </c>
      <c r="G191" s="172">
        <f>IFERROR(__xludf.DUMMYFUNCTION("""COMPUTED_VALUE"""),12428.0)</f>
        <v>12428</v>
      </c>
      <c r="H191" s="172">
        <f>IFERROR(__xludf.DUMMYFUNCTION("""COMPUTED_VALUE"""),1155980.0)</f>
        <v>1155980</v>
      </c>
      <c r="I191" s="236">
        <f>IFERROR(__xludf.DUMMYFUNCTION("""COMPUTED_VALUE"""),488.0)</f>
        <v>488</v>
      </c>
      <c r="J191" s="236">
        <f>IFERROR(__xludf.DUMMYFUNCTION("""COMPUTED_VALUE"""),494.0)</f>
        <v>494</v>
      </c>
      <c r="K191" s="236">
        <f>IFERROR(__xludf.DUMMYFUNCTION("""COMPUTED_VALUE"""),33935.0)</f>
        <v>33935</v>
      </c>
      <c r="L191" s="236">
        <f>IFERROR(__xludf.DUMMYFUNCTION("""COMPUTED_VALUE"""),2421.0)</f>
        <v>2421</v>
      </c>
      <c r="M191" s="236">
        <f>IFERROR(__xludf.DUMMYFUNCTION("""COMPUTED_VALUE"""),404095.0)</f>
        <v>404095</v>
      </c>
      <c r="N191" s="236">
        <f>IFERROR(__xludf.DUMMYFUNCTION("""COMPUTED_VALUE"""),438030.0)</f>
        <v>438030</v>
      </c>
      <c r="O191" s="236">
        <f>IFERROR(__xludf.DUMMYFUNCTION("""COMPUTED_VALUE"""),31.0)</f>
        <v>31</v>
      </c>
      <c r="P191" s="236">
        <f>IFERROR(__xludf.DUMMYFUNCTION("""COMPUTED_VALUE"""),3366.0)</f>
        <v>3366</v>
      </c>
      <c r="Q191" s="236">
        <f>IFERROR(__xludf.DUMMYFUNCTION("""COMPUTED_VALUE"""),12.0)</f>
        <v>12</v>
      </c>
      <c r="R191" s="236">
        <f>IFERROR(__xludf.DUMMYFUNCTION("""COMPUTED_VALUE"""),2789.0)</f>
        <v>2789</v>
      </c>
      <c r="S191" s="236">
        <f>IFERROR(__xludf.DUMMYFUNCTION("""COMPUTED_VALUE"""),1.0)</f>
        <v>1</v>
      </c>
      <c r="T191" s="236">
        <f>IFERROR(__xludf.DUMMYFUNCTION("""COMPUTED_VALUE"""),404.0)</f>
        <v>404</v>
      </c>
      <c r="U191" s="236">
        <f>IFERROR(__xludf.DUMMYFUNCTION("""COMPUTED_VALUE"""),173.0)</f>
        <v>173</v>
      </c>
      <c r="V191" s="236">
        <f>IFERROR(__xludf.DUMMYFUNCTION("""COMPUTED_VALUE"""),162.0)</f>
        <v>162</v>
      </c>
      <c r="W191" s="236">
        <f>IFERROR(__xludf.DUMMYFUNCTION("""COMPUTED_VALUE"""),22.0)</f>
        <v>22</v>
      </c>
      <c r="X191" s="236">
        <f>IFERROR(__xludf.DUMMYFUNCTION("""COMPUTED_VALUE"""),9.0)</f>
        <v>9</v>
      </c>
      <c r="Y191" s="236">
        <f>IFERROR(__xludf.DUMMYFUNCTION("""COMPUTED_VALUE"""),3.0)</f>
        <v>3</v>
      </c>
      <c r="Z191" s="236">
        <f>IFERROR(__xludf.DUMMYFUNCTION("""COMPUTED_VALUE"""),1210.0)</f>
        <v>1210</v>
      </c>
    </row>
    <row r="192">
      <c r="A192" s="235">
        <f>IFERROR(__xludf.DUMMYFUNCTION("""COMPUTED_VALUE"""),44136.0)</f>
        <v>44136</v>
      </c>
      <c r="B192" s="236">
        <f>IFERROR(__xludf.DUMMYFUNCTION("""COMPUTED_VALUE"""),328.0)</f>
        <v>328</v>
      </c>
      <c r="C192" s="236">
        <f>IFERROR(__xludf.DUMMYFUNCTION("""COMPUTED_VALUE"""),486.0)</f>
        <v>486</v>
      </c>
      <c r="D192" s="236">
        <f>IFERROR(__xludf.DUMMYFUNCTION("""COMPUTED_VALUE"""),45255.0)</f>
        <v>45255</v>
      </c>
      <c r="E192" s="236">
        <f>IFERROR(__xludf.DUMMYFUNCTION("""COMPUTED_VALUE"""),5073.0)</f>
        <v>5073</v>
      </c>
      <c r="F192" s="172">
        <f>IFERROR(__xludf.DUMMYFUNCTION("""COMPUTED_VALUE"""),1116126.0)</f>
        <v>1116126</v>
      </c>
      <c r="G192" s="172">
        <f>IFERROR(__xludf.DUMMYFUNCTION("""COMPUTED_VALUE"""),5401.0)</f>
        <v>5401</v>
      </c>
      <c r="H192" s="172">
        <f>IFERROR(__xludf.DUMMYFUNCTION("""COMPUTED_VALUE"""),1161381.0)</f>
        <v>1161381</v>
      </c>
      <c r="I192" s="236">
        <f>IFERROR(__xludf.DUMMYFUNCTION("""COMPUTED_VALUE"""),271.0)</f>
        <v>271</v>
      </c>
      <c r="J192" s="236">
        <f>IFERROR(__xludf.DUMMYFUNCTION("""COMPUTED_VALUE"""),408.0)</f>
        <v>408</v>
      </c>
      <c r="K192" s="236">
        <f>IFERROR(__xludf.DUMMYFUNCTION("""COMPUTED_VALUE"""),34206.0)</f>
        <v>34206</v>
      </c>
      <c r="L192" s="236">
        <f>IFERROR(__xludf.DUMMYFUNCTION("""COMPUTED_VALUE"""),1261.0)</f>
        <v>1261</v>
      </c>
      <c r="M192" s="236">
        <f>IFERROR(__xludf.DUMMYFUNCTION("""COMPUTED_VALUE"""),405356.0)</f>
        <v>405356</v>
      </c>
      <c r="N192" s="236">
        <f>IFERROR(__xludf.DUMMYFUNCTION("""COMPUTED_VALUE"""),439562.0)</f>
        <v>439562</v>
      </c>
      <c r="O192" s="236">
        <f>IFERROR(__xludf.DUMMYFUNCTION("""COMPUTED_VALUE"""),19.0)</f>
        <v>19</v>
      </c>
      <c r="P192" s="236">
        <f>IFERROR(__xludf.DUMMYFUNCTION("""COMPUTED_VALUE"""),3385.0)</f>
        <v>3385</v>
      </c>
      <c r="Q192" s="236">
        <f>IFERROR(__xludf.DUMMYFUNCTION("""COMPUTED_VALUE"""),15.0)</f>
        <v>15</v>
      </c>
      <c r="R192" s="236">
        <f>IFERROR(__xludf.DUMMYFUNCTION("""COMPUTED_VALUE"""),2804.0)</f>
        <v>2804</v>
      </c>
      <c r="S192" s="236">
        <f>IFERROR(__xludf.DUMMYFUNCTION("""COMPUTED_VALUE"""),1.0)</f>
        <v>1</v>
      </c>
      <c r="T192" s="236">
        <f>IFERROR(__xludf.DUMMYFUNCTION("""COMPUTED_VALUE"""),405.0)</f>
        <v>405</v>
      </c>
      <c r="U192" s="236">
        <f>IFERROR(__xludf.DUMMYFUNCTION("""COMPUTED_VALUE"""),176.0)</f>
        <v>176</v>
      </c>
      <c r="V192" s="236">
        <f>IFERROR(__xludf.DUMMYFUNCTION("""COMPUTED_VALUE"""),168.0)</f>
        <v>168</v>
      </c>
      <c r="W192" s="236">
        <f>IFERROR(__xludf.DUMMYFUNCTION("""COMPUTED_VALUE"""),25.0)</f>
        <v>25</v>
      </c>
      <c r="X192" s="236">
        <f>IFERROR(__xludf.DUMMYFUNCTION("""COMPUTED_VALUE"""),12.0)</f>
        <v>12</v>
      </c>
      <c r="Y192" s="236">
        <f>IFERROR(__xludf.DUMMYFUNCTION("""COMPUTED_VALUE"""),4.0)</f>
        <v>4</v>
      </c>
      <c r="Z192" s="236">
        <f>IFERROR(__xludf.DUMMYFUNCTION("""COMPUTED_VALUE"""),1214.0)</f>
        <v>1214</v>
      </c>
    </row>
    <row r="193">
      <c r="A193" s="235">
        <f>IFERROR(__xludf.DUMMYFUNCTION("""COMPUTED_VALUE"""),44137.0)</f>
        <v>44137</v>
      </c>
      <c r="B193" s="236">
        <f>IFERROR(__xludf.DUMMYFUNCTION("""COMPUTED_VALUE"""),520.0)</f>
        <v>520</v>
      </c>
      <c r="C193" s="236">
        <f>IFERROR(__xludf.DUMMYFUNCTION("""COMPUTED_VALUE"""),478.0)</f>
        <v>478</v>
      </c>
      <c r="D193" s="236">
        <f>IFERROR(__xludf.DUMMYFUNCTION("""COMPUTED_VALUE"""),45775.0)</f>
        <v>45775</v>
      </c>
      <c r="E193" s="236">
        <f>IFERROR(__xludf.DUMMYFUNCTION("""COMPUTED_VALUE"""),9914.0)</f>
        <v>9914</v>
      </c>
      <c r="F193" s="172">
        <f>IFERROR(__xludf.DUMMYFUNCTION("""COMPUTED_VALUE"""),1126040.0)</f>
        <v>1126040</v>
      </c>
      <c r="G193" s="172">
        <f>IFERROR(__xludf.DUMMYFUNCTION("""COMPUTED_VALUE"""),10434.0)</f>
        <v>10434</v>
      </c>
      <c r="H193" s="172">
        <f>IFERROR(__xludf.DUMMYFUNCTION("""COMPUTED_VALUE"""),1171815.0)</f>
        <v>1171815</v>
      </c>
      <c r="I193" s="236">
        <f>IFERROR(__xludf.DUMMYFUNCTION("""COMPUTED_VALUE"""),453.0)</f>
        <v>453</v>
      </c>
      <c r="J193" s="236">
        <f>IFERROR(__xludf.DUMMYFUNCTION("""COMPUTED_VALUE"""),404.0)</f>
        <v>404</v>
      </c>
      <c r="K193" s="236">
        <f>IFERROR(__xludf.DUMMYFUNCTION("""COMPUTED_VALUE"""),34659.0)</f>
        <v>34659</v>
      </c>
      <c r="L193" s="236">
        <f>IFERROR(__xludf.DUMMYFUNCTION("""COMPUTED_VALUE"""),2944.0)</f>
        <v>2944</v>
      </c>
      <c r="M193" s="236">
        <f>IFERROR(__xludf.DUMMYFUNCTION("""COMPUTED_VALUE"""),408300.0)</f>
        <v>408300</v>
      </c>
      <c r="N193" s="236">
        <f>IFERROR(__xludf.DUMMYFUNCTION("""COMPUTED_VALUE"""),442959.0)</f>
        <v>442959</v>
      </c>
      <c r="O193" s="236">
        <f>IFERROR(__xludf.DUMMYFUNCTION("""COMPUTED_VALUE"""),34.0)</f>
        <v>34</v>
      </c>
      <c r="P193" s="236">
        <f>IFERROR(__xludf.DUMMYFUNCTION("""COMPUTED_VALUE"""),3419.0)</f>
        <v>3419</v>
      </c>
      <c r="Q193" s="236">
        <f>IFERROR(__xludf.DUMMYFUNCTION("""COMPUTED_VALUE"""),27.0)</f>
        <v>27</v>
      </c>
      <c r="R193" s="236">
        <f>IFERROR(__xludf.DUMMYFUNCTION("""COMPUTED_VALUE"""),2831.0)</f>
        <v>2831</v>
      </c>
      <c r="S193" s="236">
        <f>IFERROR(__xludf.DUMMYFUNCTION("""COMPUTED_VALUE"""),3.0)</f>
        <v>3</v>
      </c>
      <c r="T193" s="236">
        <f>IFERROR(__xludf.DUMMYFUNCTION("""COMPUTED_VALUE"""),408.0)</f>
        <v>408</v>
      </c>
      <c r="U193" s="236">
        <f>IFERROR(__xludf.DUMMYFUNCTION("""COMPUTED_VALUE"""),180.0)</f>
        <v>180</v>
      </c>
      <c r="V193" s="236">
        <f>IFERROR(__xludf.DUMMYFUNCTION("""COMPUTED_VALUE"""),176.0)</f>
        <v>176</v>
      </c>
      <c r="W193" s="236">
        <f>IFERROR(__xludf.DUMMYFUNCTION("""COMPUTED_VALUE"""),22.0)</f>
        <v>22</v>
      </c>
      <c r="X193" s="236">
        <f>IFERROR(__xludf.DUMMYFUNCTION("""COMPUTED_VALUE"""),11.0)</f>
        <v>11</v>
      </c>
      <c r="Y193" s="236">
        <f>IFERROR(__xludf.DUMMYFUNCTION("""COMPUTED_VALUE"""),5.0)</f>
        <v>5</v>
      </c>
      <c r="Z193" s="236">
        <f>IFERROR(__xludf.DUMMYFUNCTION("""COMPUTED_VALUE"""),1219.0)</f>
        <v>1219</v>
      </c>
    </row>
    <row r="194">
      <c r="A194" s="235">
        <f>IFERROR(__xludf.DUMMYFUNCTION("""COMPUTED_VALUE"""),44138.0)</f>
        <v>44138</v>
      </c>
      <c r="B194" s="236">
        <f>IFERROR(__xludf.DUMMYFUNCTION("""COMPUTED_VALUE"""),603.0)</f>
        <v>603</v>
      </c>
      <c r="C194" s="236">
        <f>IFERROR(__xludf.DUMMYFUNCTION("""COMPUTED_VALUE"""),484.0)</f>
        <v>484</v>
      </c>
      <c r="D194" s="236">
        <f>IFERROR(__xludf.DUMMYFUNCTION("""COMPUTED_VALUE"""),46378.0)</f>
        <v>46378</v>
      </c>
      <c r="E194" s="236">
        <f>IFERROR(__xludf.DUMMYFUNCTION("""COMPUTED_VALUE"""),13058.0)</f>
        <v>13058</v>
      </c>
      <c r="F194" s="172">
        <f>IFERROR(__xludf.DUMMYFUNCTION("""COMPUTED_VALUE"""),1139098.0)</f>
        <v>1139098</v>
      </c>
      <c r="G194" s="172">
        <f>IFERROR(__xludf.DUMMYFUNCTION("""COMPUTED_VALUE"""),13661.0)</f>
        <v>13661</v>
      </c>
      <c r="H194" s="172">
        <f>IFERROR(__xludf.DUMMYFUNCTION("""COMPUTED_VALUE"""),1185476.0)</f>
        <v>1185476</v>
      </c>
      <c r="I194" s="236">
        <f>IFERROR(__xludf.DUMMYFUNCTION("""COMPUTED_VALUE"""),528.0)</f>
        <v>528</v>
      </c>
      <c r="J194" s="236">
        <f>IFERROR(__xludf.DUMMYFUNCTION("""COMPUTED_VALUE"""),417.0)</f>
        <v>417</v>
      </c>
      <c r="K194" s="236">
        <f>IFERROR(__xludf.DUMMYFUNCTION("""COMPUTED_VALUE"""),35187.0)</f>
        <v>35187</v>
      </c>
      <c r="L194" s="236">
        <f>IFERROR(__xludf.DUMMYFUNCTION("""COMPUTED_VALUE"""),2541.0)</f>
        <v>2541</v>
      </c>
      <c r="M194" s="236">
        <f>IFERROR(__xludf.DUMMYFUNCTION("""COMPUTED_VALUE"""),410841.0)</f>
        <v>410841</v>
      </c>
      <c r="N194" s="236">
        <f>IFERROR(__xludf.DUMMYFUNCTION("""COMPUTED_VALUE"""),446028.0)</f>
        <v>446028</v>
      </c>
      <c r="O194" s="236">
        <f>IFERROR(__xludf.DUMMYFUNCTION("""COMPUTED_VALUE"""),30.0)</f>
        <v>30</v>
      </c>
      <c r="P194" s="236">
        <f>IFERROR(__xludf.DUMMYFUNCTION("""COMPUTED_VALUE"""),3449.0)</f>
        <v>3449</v>
      </c>
      <c r="Q194" s="236">
        <f>IFERROR(__xludf.DUMMYFUNCTION("""COMPUTED_VALUE"""),24.0)</f>
        <v>24</v>
      </c>
      <c r="R194" s="236">
        <f>IFERROR(__xludf.DUMMYFUNCTION("""COMPUTED_VALUE"""),2855.0)</f>
        <v>2855</v>
      </c>
      <c r="S194" s="236">
        <f>IFERROR(__xludf.DUMMYFUNCTION("""COMPUTED_VALUE"""),1.0)</f>
        <v>1</v>
      </c>
      <c r="T194" s="236">
        <f>IFERROR(__xludf.DUMMYFUNCTION("""COMPUTED_VALUE"""),409.0)</f>
        <v>409</v>
      </c>
      <c r="U194" s="236">
        <f>IFERROR(__xludf.DUMMYFUNCTION("""COMPUTED_VALUE"""),185.0)</f>
        <v>185</v>
      </c>
      <c r="V194" s="236">
        <f>IFERROR(__xludf.DUMMYFUNCTION("""COMPUTED_VALUE"""),180.0)</f>
        <v>180</v>
      </c>
      <c r="W194" s="236">
        <f>IFERROR(__xludf.DUMMYFUNCTION("""COMPUTED_VALUE"""),21.0)</f>
        <v>21</v>
      </c>
      <c r="X194" s="236">
        <f>IFERROR(__xludf.DUMMYFUNCTION("""COMPUTED_VALUE"""),11.0)</f>
        <v>11</v>
      </c>
      <c r="Y194" s="236">
        <f>IFERROR(__xludf.DUMMYFUNCTION("""COMPUTED_VALUE"""),1.0)</f>
        <v>1</v>
      </c>
      <c r="Z194" s="236">
        <f>IFERROR(__xludf.DUMMYFUNCTION("""COMPUTED_VALUE"""),1220.0)</f>
        <v>1220</v>
      </c>
    </row>
    <row r="195">
      <c r="A195" s="235">
        <f>IFERROR(__xludf.DUMMYFUNCTION("""COMPUTED_VALUE"""),44139.0)</f>
        <v>44139</v>
      </c>
      <c r="B195" s="236">
        <f>IFERROR(__xludf.DUMMYFUNCTION("""COMPUTED_VALUE"""),679.0)</f>
        <v>679</v>
      </c>
      <c r="C195" s="236">
        <f>IFERROR(__xludf.DUMMYFUNCTION("""COMPUTED_VALUE"""),601.0)</f>
        <v>601</v>
      </c>
      <c r="D195" s="236">
        <f>IFERROR(__xludf.DUMMYFUNCTION("""COMPUTED_VALUE"""),47057.0)</f>
        <v>47057</v>
      </c>
      <c r="E195" s="236">
        <f>IFERROR(__xludf.DUMMYFUNCTION("""COMPUTED_VALUE"""),16119.0)</f>
        <v>16119</v>
      </c>
      <c r="F195" s="172">
        <f>IFERROR(__xludf.DUMMYFUNCTION("""COMPUTED_VALUE"""),1155217.0)</f>
        <v>1155217</v>
      </c>
      <c r="G195" s="172">
        <f>IFERROR(__xludf.DUMMYFUNCTION("""COMPUTED_VALUE"""),16798.0)</f>
        <v>16798</v>
      </c>
      <c r="H195" s="172">
        <f>IFERROR(__xludf.DUMMYFUNCTION("""COMPUTED_VALUE"""),1202274.0)</f>
        <v>1202274</v>
      </c>
      <c r="I195" s="236">
        <f>IFERROR(__xludf.DUMMYFUNCTION("""COMPUTED_VALUE"""),632.0)</f>
        <v>632</v>
      </c>
      <c r="J195" s="236">
        <f>IFERROR(__xludf.DUMMYFUNCTION("""COMPUTED_VALUE"""),538.0)</f>
        <v>538</v>
      </c>
      <c r="K195" s="236">
        <f>IFERROR(__xludf.DUMMYFUNCTION("""COMPUTED_VALUE"""),35819.0)</f>
        <v>35819</v>
      </c>
      <c r="L195" s="236">
        <f>IFERROR(__xludf.DUMMYFUNCTION("""COMPUTED_VALUE"""),2950.0)</f>
        <v>2950</v>
      </c>
      <c r="M195" s="236">
        <f>IFERROR(__xludf.DUMMYFUNCTION("""COMPUTED_VALUE"""),413791.0)</f>
        <v>413791</v>
      </c>
      <c r="N195" s="236">
        <f>IFERROR(__xludf.DUMMYFUNCTION("""COMPUTED_VALUE"""),449610.0)</f>
        <v>449610</v>
      </c>
      <c r="O195" s="236">
        <f>IFERROR(__xludf.DUMMYFUNCTION("""COMPUTED_VALUE"""),32.0)</f>
        <v>32</v>
      </c>
      <c r="P195" s="236">
        <f>IFERROR(__xludf.DUMMYFUNCTION("""COMPUTED_VALUE"""),3481.0)</f>
        <v>3481</v>
      </c>
      <c r="Q195" s="236">
        <f>IFERROR(__xludf.DUMMYFUNCTION("""COMPUTED_VALUE"""),23.0)</f>
        <v>23</v>
      </c>
      <c r="R195" s="236">
        <f>IFERROR(__xludf.DUMMYFUNCTION("""COMPUTED_VALUE"""),2878.0)</f>
        <v>2878</v>
      </c>
      <c r="S195" s="236">
        <f>IFERROR(__xludf.DUMMYFUNCTION("""COMPUTED_VALUE"""),2.0)</f>
        <v>2</v>
      </c>
      <c r="T195" s="236">
        <f>IFERROR(__xludf.DUMMYFUNCTION("""COMPUTED_VALUE"""),411.0)</f>
        <v>411</v>
      </c>
      <c r="U195" s="236">
        <f>IFERROR(__xludf.DUMMYFUNCTION("""COMPUTED_VALUE"""),192.0)</f>
        <v>192</v>
      </c>
      <c r="V195" s="236">
        <f>IFERROR(__xludf.DUMMYFUNCTION("""COMPUTED_VALUE"""),186.0)</f>
        <v>186</v>
      </c>
      <c r="W195" s="236">
        <f>IFERROR(__xludf.DUMMYFUNCTION("""COMPUTED_VALUE"""),21.0)</f>
        <v>21</v>
      </c>
      <c r="X195" s="236">
        <f>IFERROR(__xludf.DUMMYFUNCTION("""COMPUTED_VALUE"""),11.0)</f>
        <v>11</v>
      </c>
      <c r="Y195" s="236">
        <f>IFERROR(__xludf.DUMMYFUNCTION("""COMPUTED_VALUE"""),3.0)</f>
        <v>3</v>
      </c>
      <c r="Z195" s="236">
        <f>IFERROR(__xludf.DUMMYFUNCTION("""COMPUTED_VALUE"""),1223.0)</f>
        <v>1223</v>
      </c>
    </row>
    <row r="196">
      <c r="A196" s="235">
        <f>IFERROR(__xludf.DUMMYFUNCTION("""COMPUTED_VALUE"""),44140.0)</f>
        <v>44140</v>
      </c>
      <c r="B196" s="236">
        <f>IFERROR(__xludf.DUMMYFUNCTION("""COMPUTED_VALUE"""),757.0)</f>
        <v>757</v>
      </c>
      <c r="C196" s="236">
        <f>IFERROR(__xludf.DUMMYFUNCTION("""COMPUTED_VALUE"""),680.0)</f>
        <v>680</v>
      </c>
      <c r="D196" s="236">
        <f>IFERROR(__xludf.DUMMYFUNCTION("""COMPUTED_VALUE"""),47814.0)</f>
        <v>47814</v>
      </c>
      <c r="E196" s="236">
        <f>IFERROR(__xludf.DUMMYFUNCTION("""COMPUTED_VALUE"""),18879.0)</f>
        <v>18879</v>
      </c>
      <c r="F196" s="172">
        <f>IFERROR(__xludf.DUMMYFUNCTION("""COMPUTED_VALUE"""),1174096.0)</f>
        <v>1174096</v>
      </c>
      <c r="G196" s="172">
        <f>IFERROR(__xludf.DUMMYFUNCTION("""COMPUTED_VALUE"""),19636.0)</f>
        <v>19636</v>
      </c>
      <c r="H196" s="172">
        <f>IFERROR(__xludf.DUMMYFUNCTION("""COMPUTED_VALUE"""),1221910.0)</f>
        <v>1221910</v>
      </c>
      <c r="I196" s="236">
        <f>IFERROR(__xludf.DUMMYFUNCTION("""COMPUTED_VALUE"""),669.0)</f>
        <v>669</v>
      </c>
      <c r="J196" s="236">
        <f>IFERROR(__xludf.DUMMYFUNCTION("""COMPUTED_VALUE"""),610.0)</f>
        <v>610</v>
      </c>
      <c r="K196" s="236">
        <f>IFERROR(__xludf.DUMMYFUNCTION("""COMPUTED_VALUE"""),36488.0)</f>
        <v>36488</v>
      </c>
      <c r="L196" s="236">
        <f>IFERROR(__xludf.DUMMYFUNCTION("""COMPUTED_VALUE"""),5184.0)</f>
        <v>5184</v>
      </c>
      <c r="M196" s="236">
        <f>IFERROR(__xludf.DUMMYFUNCTION("""COMPUTED_VALUE"""),418975.0)</f>
        <v>418975</v>
      </c>
      <c r="N196" s="236">
        <f>IFERROR(__xludf.DUMMYFUNCTION("""COMPUTED_VALUE"""),455463.0)</f>
        <v>455463</v>
      </c>
      <c r="O196" s="236">
        <f>IFERROR(__xludf.DUMMYFUNCTION("""COMPUTED_VALUE"""),44.0)</f>
        <v>44</v>
      </c>
      <c r="P196" s="236">
        <f>IFERROR(__xludf.DUMMYFUNCTION("""COMPUTED_VALUE"""),3525.0)</f>
        <v>3525</v>
      </c>
      <c r="Q196" s="236">
        <f>IFERROR(__xludf.DUMMYFUNCTION("""COMPUTED_VALUE"""),32.0)</f>
        <v>32</v>
      </c>
      <c r="R196" s="236">
        <f>IFERROR(__xludf.DUMMYFUNCTION("""COMPUTED_VALUE"""),2910.0)</f>
        <v>2910</v>
      </c>
      <c r="S196" s="236">
        <f>IFERROR(__xludf.DUMMYFUNCTION("""COMPUTED_VALUE"""),1.0)</f>
        <v>1</v>
      </c>
      <c r="T196" s="236">
        <f>IFERROR(__xludf.DUMMYFUNCTION("""COMPUTED_VALUE"""),412.0)</f>
        <v>412</v>
      </c>
      <c r="U196" s="236">
        <f>IFERROR(__xludf.DUMMYFUNCTION("""COMPUTED_VALUE"""),203.0)</f>
        <v>203</v>
      </c>
      <c r="V196" s="236">
        <f>IFERROR(__xludf.DUMMYFUNCTION("""COMPUTED_VALUE"""),193.0)</f>
        <v>193</v>
      </c>
      <c r="W196" s="236">
        <f>IFERROR(__xludf.DUMMYFUNCTION("""COMPUTED_VALUE"""),20.0)</f>
        <v>20</v>
      </c>
      <c r="X196" s="236">
        <f>IFERROR(__xludf.DUMMYFUNCTION("""COMPUTED_VALUE"""),13.0)</f>
        <v>13</v>
      </c>
      <c r="Y196" s="236">
        <f>IFERROR(__xludf.DUMMYFUNCTION("""COMPUTED_VALUE"""),3.0)</f>
        <v>3</v>
      </c>
      <c r="Z196" s="236">
        <f>IFERROR(__xludf.DUMMYFUNCTION("""COMPUTED_VALUE"""),1226.0)</f>
        <v>1226</v>
      </c>
    </row>
    <row r="197">
      <c r="A197" s="235">
        <f>IFERROR(__xludf.DUMMYFUNCTION("""COMPUTED_VALUE"""),44141.0)</f>
        <v>44141</v>
      </c>
      <c r="B197" s="236">
        <f>IFERROR(__xludf.DUMMYFUNCTION("""COMPUTED_VALUE"""),774.0)</f>
        <v>774</v>
      </c>
      <c r="C197" s="236">
        <f>IFERROR(__xludf.DUMMYFUNCTION("""COMPUTED_VALUE"""),737.0)</f>
        <v>737</v>
      </c>
      <c r="D197" s="236">
        <f>IFERROR(__xludf.DUMMYFUNCTION("""COMPUTED_VALUE"""),48588.0)</f>
        <v>48588</v>
      </c>
      <c r="E197" s="236">
        <f>IFERROR(__xludf.DUMMYFUNCTION("""COMPUTED_VALUE"""),17140.0)</f>
        <v>17140</v>
      </c>
      <c r="F197" s="172">
        <f>IFERROR(__xludf.DUMMYFUNCTION("""COMPUTED_VALUE"""),1191236.0)</f>
        <v>1191236</v>
      </c>
      <c r="G197" s="172">
        <f>IFERROR(__xludf.DUMMYFUNCTION("""COMPUTED_VALUE"""),17914.0)</f>
        <v>17914</v>
      </c>
      <c r="H197" s="172">
        <f>IFERROR(__xludf.DUMMYFUNCTION("""COMPUTED_VALUE"""),1239824.0)</f>
        <v>1239824</v>
      </c>
      <c r="I197" s="236">
        <f>IFERROR(__xludf.DUMMYFUNCTION("""COMPUTED_VALUE"""),687.0)</f>
        <v>687</v>
      </c>
      <c r="J197" s="236">
        <f>IFERROR(__xludf.DUMMYFUNCTION("""COMPUTED_VALUE"""),663.0)</f>
        <v>663</v>
      </c>
      <c r="K197" s="236">
        <f>IFERROR(__xludf.DUMMYFUNCTION("""COMPUTED_VALUE"""),37175.0)</f>
        <v>37175</v>
      </c>
      <c r="L197" s="236">
        <f>IFERROR(__xludf.DUMMYFUNCTION("""COMPUTED_VALUE"""),4365.0)</f>
        <v>4365</v>
      </c>
      <c r="M197" s="236">
        <f>IFERROR(__xludf.DUMMYFUNCTION("""COMPUTED_VALUE"""),423340.0)</f>
        <v>423340</v>
      </c>
      <c r="N197" s="236">
        <f>IFERROR(__xludf.DUMMYFUNCTION("""COMPUTED_VALUE"""),460515.0)</f>
        <v>460515</v>
      </c>
      <c r="O197" s="236">
        <f>IFERROR(__xludf.DUMMYFUNCTION("""COMPUTED_VALUE"""),33.0)</f>
        <v>33</v>
      </c>
      <c r="P197" s="236">
        <f>IFERROR(__xludf.DUMMYFUNCTION("""COMPUTED_VALUE"""),3558.0)</f>
        <v>3558</v>
      </c>
      <c r="Q197" s="236">
        <f>IFERROR(__xludf.DUMMYFUNCTION("""COMPUTED_VALUE"""),25.0)</f>
        <v>25</v>
      </c>
      <c r="R197" s="236">
        <f>IFERROR(__xludf.DUMMYFUNCTION("""COMPUTED_VALUE"""),2935.0)</f>
        <v>2935</v>
      </c>
      <c r="S197" s="236">
        <f>IFERROR(__xludf.DUMMYFUNCTION("""COMPUTED_VALUE"""),1.0)</f>
        <v>1</v>
      </c>
      <c r="T197" s="236">
        <f>IFERROR(__xludf.DUMMYFUNCTION("""COMPUTED_VALUE"""),413.0)</f>
        <v>413</v>
      </c>
      <c r="U197" s="236">
        <f>IFERROR(__xludf.DUMMYFUNCTION("""COMPUTED_VALUE"""),210.0)</f>
        <v>210</v>
      </c>
      <c r="V197" s="236">
        <f>IFERROR(__xludf.DUMMYFUNCTION("""COMPUTED_VALUE"""),202.0)</f>
        <v>202</v>
      </c>
      <c r="W197" s="236">
        <f>IFERROR(__xludf.DUMMYFUNCTION("""COMPUTED_VALUE"""),25.0)</f>
        <v>25</v>
      </c>
      <c r="X197" s="236">
        <f>IFERROR(__xludf.DUMMYFUNCTION("""COMPUTED_VALUE"""),16.0)</f>
        <v>16</v>
      </c>
      <c r="Y197" s="236">
        <f>IFERROR(__xludf.DUMMYFUNCTION("""COMPUTED_VALUE"""),5.0)</f>
        <v>5</v>
      </c>
      <c r="Z197" s="236">
        <f>IFERROR(__xludf.DUMMYFUNCTION("""COMPUTED_VALUE"""),1231.0)</f>
        <v>1231</v>
      </c>
    </row>
    <row r="198">
      <c r="A198" s="235">
        <f>IFERROR(__xludf.DUMMYFUNCTION("""COMPUTED_VALUE"""),44142.0)</f>
        <v>44142</v>
      </c>
      <c r="B198" s="236">
        <f>IFERROR(__xludf.DUMMYFUNCTION("""COMPUTED_VALUE"""),604.0)</f>
        <v>604</v>
      </c>
      <c r="C198" s="236">
        <f>IFERROR(__xludf.DUMMYFUNCTION("""COMPUTED_VALUE"""),712.0)</f>
        <v>712</v>
      </c>
      <c r="D198" s="236">
        <f>IFERROR(__xludf.DUMMYFUNCTION("""COMPUTED_VALUE"""),49192.0)</f>
        <v>49192</v>
      </c>
      <c r="E198" s="236">
        <f>IFERROR(__xludf.DUMMYFUNCTION("""COMPUTED_VALUE"""),13236.0)</f>
        <v>13236</v>
      </c>
      <c r="F198" s="172">
        <f>IFERROR(__xludf.DUMMYFUNCTION("""COMPUTED_VALUE"""),1204472.0)</f>
        <v>1204472</v>
      </c>
      <c r="G198" s="172">
        <f>IFERROR(__xludf.DUMMYFUNCTION("""COMPUTED_VALUE"""),13840.0)</f>
        <v>13840</v>
      </c>
      <c r="H198" s="172">
        <f>IFERROR(__xludf.DUMMYFUNCTION("""COMPUTED_VALUE"""),1253664.0)</f>
        <v>1253664</v>
      </c>
      <c r="I198" s="236">
        <f>IFERROR(__xludf.DUMMYFUNCTION("""COMPUTED_VALUE"""),568.0)</f>
        <v>568</v>
      </c>
      <c r="J198" s="236">
        <f>IFERROR(__xludf.DUMMYFUNCTION("""COMPUTED_VALUE"""),641.0)</f>
        <v>641</v>
      </c>
      <c r="K198" s="236">
        <f>IFERROR(__xludf.DUMMYFUNCTION("""COMPUTED_VALUE"""),37743.0)</f>
        <v>37743</v>
      </c>
      <c r="L198" s="236">
        <f>IFERROR(__xludf.DUMMYFUNCTION("""COMPUTED_VALUE"""),2501.0)</f>
        <v>2501</v>
      </c>
      <c r="M198" s="236">
        <f>IFERROR(__xludf.DUMMYFUNCTION("""COMPUTED_VALUE"""),425841.0)</f>
        <v>425841</v>
      </c>
      <c r="N198" s="236">
        <f>IFERROR(__xludf.DUMMYFUNCTION("""COMPUTED_VALUE"""),463584.0)</f>
        <v>463584</v>
      </c>
      <c r="O198" s="236">
        <f>IFERROR(__xludf.DUMMYFUNCTION("""COMPUTED_VALUE"""),26.0)</f>
        <v>26</v>
      </c>
      <c r="P198" s="236">
        <f>IFERROR(__xludf.DUMMYFUNCTION("""COMPUTED_VALUE"""),3584.0)</f>
        <v>3584</v>
      </c>
      <c r="Q198" s="236">
        <f>IFERROR(__xludf.DUMMYFUNCTION("""COMPUTED_VALUE"""),23.0)</f>
        <v>23</v>
      </c>
      <c r="R198" s="236">
        <f>IFERROR(__xludf.DUMMYFUNCTION("""COMPUTED_VALUE"""),2958.0)</f>
        <v>2958</v>
      </c>
      <c r="S198" s="236">
        <f>IFERROR(__xludf.DUMMYFUNCTION("""COMPUTED_VALUE"""),1.0)</f>
        <v>1</v>
      </c>
      <c r="T198" s="236">
        <f>IFERROR(__xludf.DUMMYFUNCTION("""COMPUTED_VALUE"""),414.0)</f>
        <v>414</v>
      </c>
      <c r="U198" s="236">
        <f>IFERROR(__xludf.DUMMYFUNCTION("""COMPUTED_VALUE"""),212.0)</f>
        <v>212</v>
      </c>
      <c r="V198" s="236">
        <f>IFERROR(__xludf.DUMMYFUNCTION("""COMPUTED_VALUE"""),208.0)</f>
        <v>208</v>
      </c>
      <c r="W198" s="236">
        <f>IFERROR(__xludf.DUMMYFUNCTION("""COMPUTED_VALUE"""),27.0)</f>
        <v>27</v>
      </c>
      <c r="X198" s="236">
        <f>IFERROR(__xludf.DUMMYFUNCTION("""COMPUTED_VALUE"""),17.0)</f>
        <v>17</v>
      </c>
      <c r="Y198" s="236">
        <f>IFERROR(__xludf.DUMMYFUNCTION("""COMPUTED_VALUE"""),1.0)</f>
        <v>1</v>
      </c>
      <c r="Z198" s="236">
        <f>IFERROR(__xludf.DUMMYFUNCTION("""COMPUTED_VALUE"""),1232.0)</f>
        <v>1232</v>
      </c>
    </row>
    <row r="199">
      <c r="A199" s="235">
        <f>IFERROR(__xludf.DUMMYFUNCTION("""COMPUTED_VALUE"""),44143.0)</f>
        <v>44143</v>
      </c>
      <c r="B199" s="236">
        <f>IFERROR(__xludf.DUMMYFUNCTION("""COMPUTED_VALUE"""),304.0)</f>
        <v>304</v>
      </c>
      <c r="C199" s="236">
        <f>IFERROR(__xludf.DUMMYFUNCTION("""COMPUTED_VALUE"""),561.0)</f>
        <v>561</v>
      </c>
      <c r="D199" s="236">
        <f>IFERROR(__xludf.DUMMYFUNCTION("""COMPUTED_VALUE"""),49496.0)</f>
        <v>49496</v>
      </c>
      <c r="E199" s="236">
        <f>IFERROR(__xludf.DUMMYFUNCTION("""COMPUTED_VALUE"""),3671.0)</f>
        <v>3671</v>
      </c>
      <c r="F199" s="172">
        <f>IFERROR(__xludf.DUMMYFUNCTION("""COMPUTED_VALUE"""),1208143.0)</f>
        <v>1208143</v>
      </c>
      <c r="G199" s="172">
        <f>IFERROR(__xludf.DUMMYFUNCTION("""COMPUTED_VALUE"""),3975.0)</f>
        <v>3975</v>
      </c>
      <c r="H199" s="172">
        <f>IFERROR(__xludf.DUMMYFUNCTION("""COMPUTED_VALUE"""),1257639.0)</f>
        <v>1257639</v>
      </c>
      <c r="I199" s="236">
        <f>IFERROR(__xludf.DUMMYFUNCTION("""COMPUTED_VALUE"""),266.0)</f>
        <v>266</v>
      </c>
      <c r="J199" s="236">
        <f>IFERROR(__xludf.DUMMYFUNCTION("""COMPUTED_VALUE"""),507.0)</f>
        <v>507</v>
      </c>
      <c r="K199" s="236">
        <f>IFERROR(__xludf.DUMMYFUNCTION("""COMPUTED_VALUE"""),38009.0)</f>
        <v>38009</v>
      </c>
      <c r="L199" s="236">
        <f>IFERROR(__xludf.DUMMYFUNCTION("""COMPUTED_VALUE"""),1181.0)</f>
        <v>1181</v>
      </c>
      <c r="M199" s="236">
        <f>IFERROR(__xludf.DUMMYFUNCTION("""COMPUTED_VALUE"""),427022.0)</f>
        <v>427022</v>
      </c>
      <c r="N199" s="236">
        <f>IFERROR(__xludf.DUMMYFUNCTION("""COMPUTED_VALUE"""),465031.0)</f>
        <v>465031</v>
      </c>
      <c r="O199" s="236" t="str">
        <f>IFERROR(__xludf.DUMMYFUNCTION("""COMPUTED_VALUE"""),"")</f>
        <v/>
      </c>
      <c r="P199" s="236" t="str">
        <f>IFERROR(__xludf.DUMMYFUNCTION("""COMPUTED_VALUE"""),"")</f>
        <v/>
      </c>
      <c r="Q199" s="236" t="str">
        <f>IFERROR(__xludf.DUMMYFUNCTION("""COMPUTED_VALUE"""),"")</f>
        <v/>
      </c>
      <c r="R199" s="236" t="str">
        <f>IFERROR(__xludf.DUMMYFUNCTION("""COMPUTED_VALUE"""),"")</f>
        <v/>
      </c>
      <c r="S199" s="236" t="str">
        <f>IFERROR(__xludf.DUMMYFUNCTION("""COMPUTED_VALUE"""),"")</f>
        <v/>
      </c>
      <c r="T199" s="236" t="str">
        <f>IFERROR(__xludf.DUMMYFUNCTION("""COMPUTED_VALUE"""),"")</f>
        <v/>
      </c>
      <c r="U199" s="236" t="str">
        <f>IFERROR(__xludf.DUMMYFUNCTION("""COMPUTED_VALUE"""),"")</f>
        <v/>
      </c>
      <c r="V199" s="236" t="str">
        <f>IFERROR(__xludf.DUMMYFUNCTION("""COMPUTED_VALUE"""),"")</f>
        <v/>
      </c>
      <c r="W199" s="236" t="str">
        <f>IFERROR(__xludf.DUMMYFUNCTION("""COMPUTED_VALUE"""),"")</f>
        <v/>
      </c>
      <c r="X199" s="236" t="str">
        <f>IFERROR(__xludf.DUMMYFUNCTION("""COMPUTED_VALUE"""),"")</f>
        <v/>
      </c>
      <c r="Y199" s="236">
        <f>IFERROR(__xludf.DUMMYFUNCTION("""COMPUTED_VALUE"""),1.0)</f>
        <v>1</v>
      </c>
      <c r="Z199" s="236">
        <f>IFERROR(__xludf.DUMMYFUNCTION("""COMPUTED_VALUE"""),1233.0)</f>
        <v>1233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7" t="s">
        <v>772</v>
      </c>
      <c r="B1" s="238" t="s">
        <v>229</v>
      </c>
      <c r="C1" s="170" t="s">
        <v>126</v>
      </c>
    </row>
    <row r="2" ht="14.25" customHeight="1">
      <c r="A2" s="239" t="str">
        <f>'Cases by ZCTA'!A2</f>
        <v>02802</v>
      </c>
      <c r="B2" s="240">
        <f>'Cases by ZCTA'!B2</f>
        <v>15</v>
      </c>
      <c r="C2" s="240">
        <f>'Cases by ZCTA'!C2</f>
        <v>2235</v>
      </c>
    </row>
    <row r="3" ht="14.25" customHeight="1">
      <c r="A3" s="239" t="str">
        <f>'Cases by ZCTA'!A3</f>
        <v>02804</v>
      </c>
      <c r="B3" s="240">
        <f>'Cases by ZCTA'!B3</f>
        <v>10</v>
      </c>
      <c r="C3" s="240">
        <f>'Cases by ZCTA'!C3</f>
        <v>499</v>
      </c>
    </row>
    <row r="4" ht="14.25" customHeight="1">
      <c r="A4" s="239" t="str">
        <f>'Cases by ZCTA'!A4</f>
        <v>02806</v>
      </c>
      <c r="B4" s="240">
        <f>'Cases by ZCTA'!B4</f>
        <v>153</v>
      </c>
      <c r="C4" s="240">
        <f>'Cases by ZCTA'!C4</f>
        <v>945</v>
      </c>
    </row>
    <row r="5" ht="14.25" customHeight="1">
      <c r="A5" s="239" t="str">
        <f>'Cases by ZCTA'!A5</f>
        <v>02807</v>
      </c>
      <c r="B5" s="240">
        <f>'Cases by ZCTA'!B5</f>
        <v>9</v>
      </c>
      <c r="C5" s="240">
        <f>'Cases by ZCTA'!C5</f>
        <v>1088</v>
      </c>
    </row>
    <row r="6" ht="14.25" customHeight="1">
      <c r="A6" s="239" t="str">
        <f>'Cases by ZCTA'!A6</f>
        <v>02808</v>
      </c>
      <c r="B6" s="240">
        <f>'Cases by ZCTA'!B6</f>
        <v>25</v>
      </c>
      <c r="C6" s="240">
        <f>'Cases by ZCTA'!C6</f>
        <v>975</v>
      </c>
    </row>
    <row r="7" ht="14.25" customHeight="1">
      <c r="A7" s="239" t="str">
        <f>'Cases by ZCTA'!A7</f>
        <v>02809</v>
      </c>
      <c r="B7" s="240">
        <f>'Cases by ZCTA'!B7</f>
        <v>317</v>
      </c>
      <c r="C7" s="240">
        <f>'Cases by ZCTA'!C7</f>
        <v>1424</v>
      </c>
    </row>
    <row r="8" ht="14.25" customHeight="1">
      <c r="A8" s="239" t="str">
        <f>'Cases by ZCTA'!A8</f>
        <v>02812</v>
      </c>
      <c r="B8" s="240">
        <f>'Cases by ZCTA'!B8</f>
        <v>13</v>
      </c>
      <c r="C8" s="240">
        <f>'Cases by ZCTA'!C8</f>
        <v>1076</v>
      </c>
    </row>
    <row r="9" ht="14.25" customHeight="1">
      <c r="A9" s="239" t="str">
        <f>'Cases by ZCTA'!A9</f>
        <v>02813</v>
      </c>
      <c r="B9" s="240">
        <f>'Cases by ZCTA'!B9</f>
        <v>56</v>
      </c>
      <c r="C9" s="240">
        <f>'Cases by ZCTA'!C9</f>
        <v>720</v>
      </c>
    </row>
    <row r="10" ht="14.25" customHeight="1">
      <c r="A10" s="239" t="str">
        <f>'Cases by ZCTA'!A10</f>
        <v>02814</v>
      </c>
      <c r="B10" s="240">
        <f>'Cases by ZCTA'!B10</f>
        <v>95</v>
      </c>
      <c r="C10" s="240">
        <f>'Cases by ZCTA'!C10</f>
        <v>1238</v>
      </c>
    </row>
    <row r="11" ht="14.25" customHeight="1">
      <c r="A11" s="239" t="str">
        <f>'Cases by ZCTA'!A11</f>
        <v>02815</v>
      </c>
      <c r="B11" s="240">
        <f>'Cases by ZCTA'!B11</f>
        <v>0</v>
      </c>
      <c r="C11" s="240">
        <f>'Cases by ZCTA'!C11</f>
        <v>0</v>
      </c>
    </row>
    <row r="12" ht="14.25" customHeight="1">
      <c r="A12" s="239" t="str">
        <f>'Cases by ZCTA'!A12</f>
        <v>02816</v>
      </c>
      <c r="B12" s="240">
        <f>'Cases by ZCTA'!B12</f>
        <v>491</v>
      </c>
      <c r="C12" s="240">
        <f>'Cases by ZCTA'!C12</f>
        <v>1496</v>
      </c>
    </row>
    <row r="13" ht="14.25" customHeight="1">
      <c r="A13" s="239" t="str">
        <f>'Cases by ZCTA'!A13</f>
        <v>02817</v>
      </c>
      <c r="B13" s="240">
        <f>'Cases by ZCTA'!B13</f>
        <v>77</v>
      </c>
      <c r="C13" s="240">
        <f>'Cases by ZCTA'!C13</f>
        <v>1276</v>
      </c>
    </row>
    <row r="14" ht="14.25" customHeight="1">
      <c r="A14" s="239" t="str">
        <f>'Cases by ZCTA'!A14</f>
        <v>02818</v>
      </c>
      <c r="B14" s="240">
        <f>'Cases by ZCTA'!B14</f>
        <v>240</v>
      </c>
      <c r="C14" s="240">
        <f>'Cases by ZCTA'!C14</f>
        <v>1319</v>
      </c>
    </row>
    <row r="15" ht="14.25" customHeight="1">
      <c r="A15" s="239" t="str">
        <f>'Cases by ZCTA'!A15</f>
        <v>02822</v>
      </c>
      <c r="B15" s="240">
        <f>'Cases by ZCTA'!B15</f>
        <v>64</v>
      </c>
      <c r="C15" s="240">
        <f>'Cases by ZCTA'!C15</f>
        <v>972</v>
      </c>
    </row>
    <row r="16" ht="14.25" customHeight="1">
      <c r="A16" s="239" t="str">
        <f>'Cases by ZCTA'!A16</f>
        <v>02825</v>
      </c>
      <c r="B16" s="240">
        <f>'Cases by ZCTA'!B16</f>
        <v>64</v>
      </c>
      <c r="C16" s="240">
        <f>'Cases by ZCTA'!C16</f>
        <v>1164</v>
      </c>
    </row>
    <row r="17" ht="14.25" customHeight="1">
      <c r="A17" s="239" t="str">
        <f>'Cases by ZCTA'!A17</f>
        <v>02826</v>
      </c>
      <c r="B17" s="240">
        <f>'Cases by ZCTA'!B17</f>
        <v>6</v>
      </c>
      <c r="C17" s="240">
        <f>'Cases by ZCTA'!C17</f>
        <v>1198</v>
      </c>
    </row>
    <row r="18" ht="14.25" customHeight="1">
      <c r="A18" s="239" t="str">
        <f>'Cases by ZCTA'!A18</f>
        <v>02827</v>
      </c>
      <c r="B18" s="240">
        <f>'Cases by ZCTA'!B18</f>
        <v>24</v>
      </c>
      <c r="C18" s="240">
        <f>'Cases by ZCTA'!C18</f>
        <v>1165</v>
      </c>
    </row>
    <row r="19" ht="14.25" customHeight="1">
      <c r="A19" s="239" t="str">
        <f>'Cases by ZCTA'!A19</f>
        <v>02828</v>
      </c>
      <c r="B19" s="240">
        <f>'Cases by ZCTA'!B19</f>
        <v>292</v>
      </c>
      <c r="C19" s="240">
        <f>'Cases by ZCTA'!C19</f>
        <v>3714</v>
      </c>
    </row>
    <row r="20" ht="14.25" customHeight="1">
      <c r="A20" s="239" t="str">
        <f>'Cases by ZCTA'!A20</f>
        <v>02830</v>
      </c>
      <c r="B20" s="240">
        <f>'Cases by ZCTA'!B20</f>
        <v>65</v>
      </c>
      <c r="C20" s="240">
        <f>'Cases by ZCTA'!C20</f>
        <v>1095</v>
      </c>
    </row>
    <row r="21" ht="14.25" customHeight="1">
      <c r="A21" s="239" t="str">
        <f>'Cases by ZCTA'!A21</f>
        <v>02831</v>
      </c>
      <c r="B21" s="240">
        <f>'Cases by ZCTA'!B21</f>
        <v>61</v>
      </c>
      <c r="C21" s="240">
        <f>'Cases by ZCTA'!C21</f>
        <v>1742</v>
      </c>
    </row>
    <row r="22" ht="14.25" customHeight="1">
      <c r="A22" s="239" t="str">
        <f>'Cases by ZCTA'!A22</f>
        <v>02832</v>
      </c>
      <c r="B22" s="240">
        <f>'Cases by ZCTA'!B22</f>
        <v>28</v>
      </c>
      <c r="C22" s="240">
        <f>'Cases by ZCTA'!C22</f>
        <v>648</v>
      </c>
    </row>
    <row r="23" ht="14.25" customHeight="1">
      <c r="A23" s="239" t="str">
        <f>'Cases by ZCTA'!A23</f>
        <v>02833</v>
      </c>
      <c r="B23" s="240">
        <f>'Cases by ZCTA'!B23</f>
        <v>0</v>
      </c>
      <c r="C23" s="240">
        <f>'Cases by ZCTA'!C23</f>
        <v>0</v>
      </c>
    </row>
    <row r="24" ht="14.25" customHeight="1">
      <c r="A24" s="239" t="str">
        <f>'Cases by ZCTA'!A24</f>
        <v>02835</v>
      </c>
      <c r="B24" s="240">
        <f>'Cases by ZCTA'!B24</f>
        <v>47</v>
      </c>
      <c r="C24" s="240">
        <f>'Cases by ZCTA'!C24</f>
        <v>855</v>
      </c>
    </row>
    <row r="25" ht="14.25" customHeight="1">
      <c r="A25" s="239" t="str">
        <f>'Cases by ZCTA'!A25</f>
        <v>02836</v>
      </c>
      <c r="B25" s="240">
        <f>'Cases by ZCTA'!B25</f>
        <v>0</v>
      </c>
      <c r="C25" s="240">
        <f>'Cases by ZCTA'!C25</f>
        <v>0</v>
      </c>
    </row>
    <row r="26" ht="14.25" customHeight="1">
      <c r="A26" s="239" t="str">
        <f>'Cases by ZCTA'!A26</f>
        <v>02837</v>
      </c>
      <c r="B26" s="240">
        <f>'Cases by ZCTA'!B26</f>
        <v>26</v>
      </c>
      <c r="C26" s="240">
        <f>'Cases by ZCTA'!C26</f>
        <v>742</v>
      </c>
    </row>
    <row r="27" ht="14.25" customHeight="1">
      <c r="A27" s="239" t="str">
        <f>'Cases by ZCTA'!A27</f>
        <v>02838</v>
      </c>
      <c r="B27" s="240">
        <f>'Cases by ZCTA'!B27</f>
        <v>158</v>
      </c>
      <c r="C27" s="240">
        <f>'Cases by ZCTA'!C27</f>
        <v>4490</v>
      </c>
    </row>
    <row r="28" ht="14.25" customHeight="1">
      <c r="A28" s="239" t="str">
        <f>'Cases by ZCTA'!A28</f>
        <v>02839</v>
      </c>
      <c r="B28" s="240">
        <f>'Cases by ZCTA'!B28</f>
        <v>26</v>
      </c>
      <c r="C28" s="240">
        <f>'Cases by ZCTA'!C28</f>
        <v>1261</v>
      </c>
    </row>
    <row r="29" ht="14.25" customHeight="1">
      <c r="A29" s="239" t="str">
        <f>'Cases by ZCTA'!A29</f>
        <v>02840</v>
      </c>
      <c r="B29" s="240">
        <f>'Cases by ZCTA'!B29</f>
        <v>224</v>
      </c>
      <c r="C29" s="240">
        <f>'Cases by ZCTA'!C29</f>
        <v>965</v>
      </c>
    </row>
    <row r="30" ht="14.25" customHeight="1">
      <c r="A30" s="239" t="str">
        <f>'Cases by ZCTA'!A30</f>
        <v>02841</v>
      </c>
      <c r="B30" s="240">
        <f>'Cases by ZCTA'!B30</f>
        <v>12</v>
      </c>
      <c r="C30" s="240">
        <f>'Cases by ZCTA'!C30</f>
        <v>735</v>
      </c>
    </row>
    <row r="31" ht="14.25" customHeight="1">
      <c r="A31" s="239" t="str">
        <f>'Cases by ZCTA'!A31</f>
        <v>02842</v>
      </c>
      <c r="B31" s="240">
        <f>'Cases by ZCTA'!B31</f>
        <v>128</v>
      </c>
      <c r="C31" s="240">
        <f>'Cases by ZCTA'!C31</f>
        <v>800</v>
      </c>
    </row>
    <row r="32" ht="14.25" customHeight="1">
      <c r="A32" s="239" t="str">
        <f>'Cases by ZCTA'!A32</f>
        <v>02852</v>
      </c>
      <c r="B32" s="240">
        <f>'Cases by ZCTA'!B32</f>
        <v>401</v>
      </c>
      <c r="C32" s="240">
        <f>'Cases by ZCTA'!C32</f>
        <v>1820</v>
      </c>
    </row>
    <row r="33" ht="14.25" customHeight="1">
      <c r="A33" s="239" t="str">
        <f>'Cases by ZCTA'!A33</f>
        <v>02857</v>
      </c>
      <c r="B33" s="240">
        <f>'Cases by ZCTA'!B33</f>
        <v>95</v>
      </c>
      <c r="C33" s="240">
        <f>'Cases by ZCTA'!C33</f>
        <v>1088</v>
      </c>
    </row>
    <row r="34" ht="14.25" customHeight="1">
      <c r="A34" s="239" t="str">
        <f>'Cases by ZCTA'!A34</f>
        <v>02858</v>
      </c>
      <c r="B34" s="240">
        <f>'Cases by ZCTA'!B34</f>
        <v>8</v>
      </c>
      <c r="C34" s="240">
        <f>'Cases by ZCTA'!C34</f>
        <v>1099</v>
      </c>
    </row>
    <row r="35" ht="14.25" customHeight="1">
      <c r="A35" s="239" t="str">
        <f>'Cases by ZCTA'!A35</f>
        <v>02859</v>
      </c>
      <c r="B35" s="240">
        <f>'Cases by ZCTA'!B35</f>
        <v>142</v>
      </c>
      <c r="C35" s="240">
        <f>'Cases by ZCTA'!C35</f>
        <v>1965</v>
      </c>
    </row>
    <row r="36" ht="14.25" customHeight="1">
      <c r="A36" s="239" t="str">
        <f>'Cases by ZCTA'!A36</f>
        <v>02860</v>
      </c>
      <c r="B36" s="240">
        <f>'Cases by ZCTA'!B36</f>
        <v>2416</v>
      </c>
      <c r="C36" s="240">
        <f>'Cases by ZCTA'!C36</f>
        <v>5127</v>
      </c>
    </row>
    <row r="37" ht="14.25" customHeight="1">
      <c r="A37" s="239" t="str">
        <f>'Cases by ZCTA'!A37</f>
        <v>02861</v>
      </c>
      <c r="B37" s="240">
        <f>'Cases by ZCTA'!B37</f>
        <v>860</v>
      </c>
      <c r="C37" s="240">
        <f>'Cases by ZCTA'!C37</f>
        <v>3434</v>
      </c>
    </row>
    <row r="38" ht="14.25" customHeight="1">
      <c r="A38" s="239" t="str">
        <f>'Cases by ZCTA'!A38</f>
        <v>02863</v>
      </c>
      <c r="B38" s="240">
        <f>'Cases by ZCTA'!B38</f>
        <v>1841</v>
      </c>
      <c r="C38" s="240">
        <f>'Cases by ZCTA'!C38</f>
        <v>9516</v>
      </c>
    </row>
    <row r="39" ht="14.25" customHeight="1">
      <c r="A39" s="239" t="str">
        <f>'Cases by ZCTA'!A39</f>
        <v>02864</v>
      </c>
      <c r="B39" s="240">
        <f>'Cases by ZCTA'!B39</f>
        <v>736</v>
      </c>
      <c r="C39" s="240">
        <f>'Cases by ZCTA'!C39</f>
        <v>2126</v>
      </c>
    </row>
    <row r="40" ht="14.25" customHeight="1">
      <c r="A40" s="239" t="str">
        <f>'Cases by ZCTA'!A40</f>
        <v>02865</v>
      </c>
      <c r="B40" s="240">
        <f>'Cases by ZCTA'!B40</f>
        <v>343</v>
      </c>
      <c r="C40" s="240">
        <f>'Cases by ZCTA'!C40</f>
        <v>1966</v>
      </c>
    </row>
    <row r="41" ht="14.25" customHeight="1">
      <c r="A41" s="239" t="str">
        <f>'Cases by ZCTA'!A41</f>
        <v>02871</v>
      </c>
      <c r="B41" s="240">
        <f>'Cases by ZCTA'!B41</f>
        <v>141</v>
      </c>
      <c r="C41" s="240">
        <f>'Cases by ZCTA'!C41</f>
        <v>823</v>
      </c>
    </row>
    <row r="42" ht="14.25" customHeight="1">
      <c r="A42" s="239" t="str">
        <f>'Cases by ZCTA'!A42</f>
        <v>02872</v>
      </c>
      <c r="B42" s="240">
        <f>'Cases by ZCTA'!B42</f>
        <v>0</v>
      </c>
      <c r="C42" s="240">
        <f>'Cases by ZCTA'!C42</f>
        <v>0</v>
      </c>
    </row>
    <row r="43" ht="14.25" customHeight="1">
      <c r="A43" s="239" t="str">
        <f>'Cases by ZCTA'!A43</f>
        <v>02873</v>
      </c>
      <c r="B43" s="240">
        <f>'Cases by ZCTA'!B43</f>
        <v>0</v>
      </c>
      <c r="C43" s="240">
        <f>'Cases by ZCTA'!C43</f>
        <v>0</v>
      </c>
    </row>
    <row r="44" ht="14.25" customHeight="1">
      <c r="A44" s="239" t="str">
        <f>'Cases by ZCTA'!A44</f>
        <v>02874</v>
      </c>
      <c r="B44" s="240">
        <f>'Cases by ZCTA'!B44</f>
        <v>79</v>
      </c>
      <c r="C44" s="240">
        <f>'Cases by ZCTA'!C44</f>
        <v>1326</v>
      </c>
    </row>
    <row r="45" ht="14.25" customHeight="1">
      <c r="A45" s="239" t="str">
        <f>'Cases by ZCTA'!A45</f>
        <v>02875</v>
      </c>
      <c r="B45" s="240">
        <f>'Cases by ZCTA'!B45</f>
        <v>0</v>
      </c>
      <c r="C45" s="240">
        <f>'Cases by ZCTA'!C45</f>
        <v>0</v>
      </c>
    </row>
    <row r="46" ht="14.25" customHeight="1">
      <c r="A46" s="239" t="str">
        <f>'Cases by ZCTA'!A46</f>
        <v>02876</v>
      </c>
      <c r="B46" s="240">
        <f>'Cases by ZCTA'!B46</f>
        <v>8</v>
      </c>
      <c r="C46" s="240">
        <f>'Cases by ZCTA'!C46</f>
        <v>2749</v>
      </c>
    </row>
    <row r="47" ht="14.25" customHeight="1">
      <c r="A47" s="239" t="str">
        <f>'Cases by ZCTA'!A47</f>
        <v>02878</v>
      </c>
      <c r="B47" s="240">
        <f>'Cases by ZCTA'!B47</f>
        <v>209</v>
      </c>
      <c r="C47" s="240">
        <f>'Cases by ZCTA'!C47</f>
        <v>1321</v>
      </c>
    </row>
    <row r="48" ht="14.25" customHeight="1">
      <c r="A48" s="239" t="str">
        <f>'Cases by ZCTA'!A48</f>
        <v>02879</v>
      </c>
      <c r="B48" s="240">
        <f>'Cases by ZCTA'!B48</f>
        <v>227</v>
      </c>
      <c r="C48" s="240">
        <f>'Cases by ZCTA'!C48</f>
        <v>1106</v>
      </c>
    </row>
    <row r="49" ht="14.25" customHeight="1">
      <c r="A49" s="239" t="str">
        <f>'Cases by ZCTA'!A49</f>
        <v>02881</v>
      </c>
      <c r="B49" s="240">
        <f>'Cases by ZCTA'!B49</f>
        <v>96</v>
      </c>
      <c r="C49" s="240">
        <f>'Cases by ZCTA'!C49</f>
        <v>1225</v>
      </c>
    </row>
    <row r="50" ht="14.25" customHeight="1">
      <c r="A50" s="239" t="str">
        <f>'Cases by ZCTA'!A50</f>
        <v>02882</v>
      </c>
      <c r="B50" s="240">
        <f>'Cases by ZCTA'!B50</f>
        <v>357</v>
      </c>
      <c r="C50" s="240">
        <f>'Cases by ZCTA'!C50</f>
        <v>2559</v>
      </c>
    </row>
    <row r="51" ht="14.25" customHeight="1">
      <c r="A51" s="239" t="str">
        <f>'Cases by ZCTA'!A51</f>
        <v>02885</v>
      </c>
      <c r="B51" s="240">
        <f>'Cases by ZCTA'!B51</f>
        <v>186</v>
      </c>
      <c r="C51" s="240">
        <f>'Cases by ZCTA'!C51</f>
        <v>1778</v>
      </c>
    </row>
    <row r="52" ht="14.25" customHeight="1">
      <c r="A52" s="239" t="str">
        <f>'Cases by ZCTA'!A52</f>
        <v>02886</v>
      </c>
      <c r="B52" s="240">
        <f>'Cases by ZCTA'!B52</f>
        <v>467</v>
      </c>
      <c r="C52" s="240">
        <f>'Cases by ZCTA'!C52</f>
        <v>1610</v>
      </c>
    </row>
    <row r="53" ht="14.25" customHeight="1">
      <c r="A53" s="239" t="str">
        <f>'Cases by ZCTA'!A53</f>
        <v>02888</v>
      </c>
      <c r="B53" s="240">
        <f>'Cases by ZCTA'!B53</f>
        <v>331</v>
      </c>
      <c r="C53" s="240">
        <f>'Cases by ZCTA'!C53</f>
        <v>1727</v>
      </c>
    </row>
    <row r="54" ht="14.25" customHeight="1">
      <c r="A54" s="239" t="str">
        <f>'Cases by ZCTA'!A54</f>
        <v>02889</v>
      </c>
      <c r="B54" s="240">
        <f>'Cases by ZCTA'!B54</f>
        <v>601</v>
      </c>
      <c r="C54" s="240">
        <f>'Cases by ZCTA'!C54</f>
        <v>2199</v>
      </c>
    </row>
    <row r="55" ht="14.25" customHeight="1">
      <c r="A55" s="239" t="str">
        <f>'Cases by ZCTA'!A55</f>
        <v>02891</v>
      </c>
      <c r="B55" s="240">
        <f>'Cases by ZCTA'!B55</f>
        <v>188</v>
      </c>
      <c r="C55" s="240">
        <f>'Cases by ZCTA'!C55</f>
        <v>892</v>
      </c>
    </row>
    <row r="56" ht="14.25" customHeight="1">
      <c r="A56" s="239" t="str">
        <f>'Cases by ZCTA'!A56</f>
        <v>02892</v>
      </c>
      <c r="B56" s="240">
        <f>'Cases by ZCTA'!B56</f>
        <v>51</v>
      </c>
      <c r="C56" s="240">
        <f>'Cases by ZCTA'!C56</f>
        <v>983</v>
      </c>
    </row>
    <row r="57" ht="14.25" customHeight="1">
      <c r="A57" s="239" t="str">
        <f>'Cases by ZCTA'!A57</f>
        <v>02893</v>
      </c>
      <c r="B57" s="240">
        <f>'Cases by ZCTA'!B57</f>
        <v>619</v>
      </c>
      <c r="C57" s="240">
        <f>'Cases by ZCTA'!C57</f>
        <v>2123</v>
      </c>
    </row>
    <row r="58" ht="14.25" customHeight="1">
      <c r="A58" s="239" t="str">
        <f>'Cases by ZCTA'!A58</f>
        <v>02894</v>
      </c>
      <c r="B58" s="240">
        <f>'Cases by ZCTA'!B58</f>
        <v>7</v>
      </c>
      <c r="C58" s="240">
        <f>'Cases by ZCTA'!C58</f>
        <v>1039</v>
      </c>
    </row>
    <row r="59" ht="14.25" customHeight="1">
      <c r="A59" s="239" t="str">
        <f>'Cases by ZCTA'!A59</f>
        <v>02895</v>
      </c>
      <c r="B59" s="240">
        <f>'Cases by ZCTA'!B59</f>
        <v>1100</v>
      </c>
      <c r="C59" s="240">
        <f>'Cases by ZCTA'!C59</f>
        <v>2648</v>
      </c>
    </row>
    <row r="60" ht="14.25" customHeight="1">
      <c r="A60" s="239" t="str">
        <f>'Cases by ZCTA'!A60</f>
        <v>02896</v>
      </c>
      <c r="B60" s="240">
        <f>'Cases by ZCTA'!B60</f>
        <v>241</v>
      </c>
      <c r="C60" s="240">
        <f>'Cases by ZCTA'!C60</f>
        <v>1999</v>
      </c>
    </row>
    <row r="61" ht="14.25" customHeight="1">
      <c r="A61" s="239" t="str">
        <f>'Cases by ZCTA'!A61</f>
        <v>02898</v>
      </c>
      <c r="B61" s="240">
        <f>'Cases by ZCTA'!B61</f>
        <v>22</v>
      </c>
      <c r="C61" s="240">
        <f>'Cases by ZCTA'!C61</f>
        <v>1339</v>
      </c>
    </row>
    <row r="62" ht="14.25" customHeight="1">
      <c r="A62" s="239" t="str">
        <f>'Cases by ZCTA'!A62</f>
        <v>02903</v>
      </c>
      <c r="B62" s="240">
        <f>'Cases by ZCTA'!B62</f>
        <v>329</v>
      </c>
      <c r="C62" s="240">
        <f>'Cases by ZCTA'!C62</f>
        <v>3121</v>
      </c>
    </row>
    <row r="63" ht="14.25" customHeight="1">
      <c r="A63" s="239" t="str">
        <f>'Cases by ZCTA'!A63</f>
        <v>02904</v>
      </c>
      <c r="B63" s="240">
        <f>'Cases by ZCTA'!B63</f>
        <v>1513</v>
      </c>
      <c r="C63" s="240">
        <f>'Cases by ZCTA'!C63</f>
        <v>4957</v>
      </c>
    </row>
    <row r="64" ht="14.25" customHeight="1">
      <c r="A64" s="239" t="str">
        <f>'Cases by ZCTA'!A64</f>
        <v>02905</v>
      </c>
      <c r="B64" s="240">
        <f>'Cases by ZCTA'!B64</f>
        <v>1160</v>
      </c>
      <c r="C64" s="240">
        <f>'Cases by ZCTA'!C64</f>
        <v>4551</v>
      </c>
    </row>
    <row r="65" ht="14.25" customHeight="1">
      <c r="A65" s="239" t="str">
        <f>'Cases by ZCTA'!A65</f>
        <v>02906</v>
      </c>
      <c r="B65" s="240">
        <f>'Cases by ZCTA'!B65</f>
        <v>601</v>
      </c>
      <c r="C65" s="240">
        <f>'Cases by ZCTA'!C65</f>
        <v>2132</v>
      </c>
    </row>
    <row r="66" ht="14.25" customHeight="1">
      <c r="A66" s="239" t="str">
        <f>'Cases by ZCTA'!A66</f>
        <v>02907</v>
      </c>
      <c r="B66" s="240">
        <f>'Cases by ZCTA'!B66</f>
        <v>2299</v>
      </c>
      <c r="C66" s="240">
        <f>'Cases by ZCTA'!C66</f>
        <v>7469</v>
      </c>
    </row>
    <row r="67" ht="14.25" customHeight="1">
      <c r="A67" s="239" t="str">
        <f>'Cases by ZCTA'!A67</f>
        <v>02908</v>
      </c>
      <c r="B67" s="240">
        <f>'Cases by ZCTA'!B67</f>
        <v>2530</v>
      </c>
      <c r="C67" s="240">
        <f>'Cases by ZCTA'!C67</f>
        <v>6738</v>
      </c>
    </row>
    <row r="68" ht="14.25" customHeight="1">
      <c r="A68" s="239" t="str">
        <f>'Cases by ZCTA'!A68</f>
        <v>02909</v>
      </c>
      <c r="B68" s="240">
        <f>'Cases by ZCTA'!B68</f>
        <v>3150</v>
      </c>
      <c r="C68" s="240">
        <f>'Cases by ZCTA'!C68</f>
        <v>7764</v>
      </c>
    </row>
    <row r="69" ht="14.25" customHeight="1">
      <c r="A69" s="239" t="str">
        <f>'Cases by ZCTA'!A69</f>
        <v>02910</v>
      </c>
      <c r="B69" s="240">
        <f>'Cases by ZCTA'!B69</f>
        <v>611</v>
      </c>
      <c r="C69" s="240">
        <f>'Cases by ZCTA'!C69</f>
        <v>2759</v>
      </c>
    </row>
    <row r="70" ht="14.25" customHeight="1">
      <c r="A70" s="239" t="str">
        <f>'Cases by ZCTA'!A70</f>
        <v>02911</v>
      </c>
      <c r="B70" s="240">
        <f>'Cases by ZCTA'!B70</f>
        <v>468</v>
      </c>
      <c r="C70" s="240">
        <f>'Cases by ZCTA'!C70</f>
        <v>2950</v>
      </c>
    </row>
    <row r="71" ht="14.25" customHeight="1">
      <c r="A71" s="239" t="str">
        <f>'Cases by ZCTA'!A71</f>
        <v>02912</v>
      </c>
      <c r="B71" s="240">
        <f>'Cases by ZCTA'!B71</f>
        <v>7</v>
      </c>
      <c r="C71" s="240">
        <f>'Cases by ZCTA'!C71</f>
        <v>515</v>
      </c>
    </row>
    <row r="72" ht="14.25" customHeight="1">
      <c r="A72" s="239" t="str">
        <f>'Cases by ZCTA'!A72</f>
        <v>02914</v>
      </c>
      <c r="B72" s="240">
        <f>'Cases by ZCTA'!B72</f>
        <v>684</v>
      </c>
      <c r="C72" s="240">
        <f>'Cases by ZCTA'!C72</f>
        <v>3166</v>
      </c>
    </row>
    <row r="73" ht="14.25" customHeight="1">
      <c r="A73" s="239" t="str">
        <f>'Cases by ZCTA'!A73</f>
        <v>02915</v>
      </c>
      <c r="B73" s="240">
        <f>'Cases by ZCTA'!B73</f>
        <v>340</v>
      </c>
      <c r="C73" s="240">
        <f>'Cases by ZCTA'!C73</f>
        <v>2043</v>
      </c>
    </row>
    <row r="74" ht="14.25" customHeight="1">
      <c r="A74" s="239" t="str">
        <f>'Cases by ZCTA'!A74</f>
        <v>02916</v>
      </c>
      <c r="B74" s="240">
        <f>'Cases by ZCTA'!B74</f>
        <v>153</v>
      </c>
      <c r="C74" s="240">
        <f>'Cases by ZCTA'!C74</f>
        <v>1686</v>
      </c>
    </row>
    <row r="75" ht="14.25" customHeight="1">
      <c r="A75" s="239" t="str">
        <f>'Cases by ZCTA'!A75</f>
        <v>02917</v>
      </c>
      <c r="B75" s="240">
        <f>'Cases by ZCTA'!B75</f>
        <v>224</v>
      </c>
      <c r="C75" s="240">
        <f>'Cases by ZCTA'!C75</f>
        <v>1623</v>
      </c>
    </row>
    <row r="76" ht="14.25" customHeight="1">
      <c r="A76" s="239" t="str">
        <f>'Cases by ZCTA'!A76</f>
        <v>02919</v>
      </c>
      <c r="B76" s="240">
        <f>'Cases by ZCTA'!B76</f>
        <v>1006</v>
      </c>
      <c r="C76" s="240">
        <f>'Cases by ZCTA'!C76</f>
        <v>3439</v>
      </c>
    </row>
    <row r="77" ht="14.25" customHeight="1">
      <c r="A77" s="239" t="str">
        <f>'Cases by ZCTA'!A77</f>
        <v>02920</v>
      </c>
      <c r="B77" s="240">
        <f>'Cases by ZCTA'!B77</f>
        <v>1234</v>
      </c>
      <c r="C77" s="240">
        <f>'Cases by ZCTA'!C77</f>
        <v>3317</v>
      </c>
    </row>
    <row r="78" ht="14.25" customHeight="1">
      <c r="A78" s="239" t="str">
        <f>'Cases by ZCTA'!A78</f>
        <v>02921</v>
      </c>
      <c r="B78" s="240">
        <f>'Cases by ZCTA'!B78</f>
        <v>256</v>
      </c>
      <c r="C78" s="240">
        <f>'Cases by ZCTA'!C78</f>
        <v>2062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1" t="s">
        <v>1</v>
      </c>
      <c r="C1" s="241" t="s">
        <v>2</v>
      </c>
      <c r="D1" s="241" t="s">
        <v>3</v>
      </c>
      <c r="E1" s="241" t="s">
        <v>4</v>
      </c>
      <c r="F1" s="242" t="s">
        <v>5</v>
      </c>
      <c r="G1" s="242" t="s">
        <v>6</v>
      </c>
      <c r="H1" s="242" t="s">
        <v>7</v>
      </c>
      <c r="I1" s="243" t="s">
        <v>8</v>
      </c>
      <c r="J1" s="244" t="s">
        <v>9</v>
      </c>
      <c r="K1" s="243" t="s">
        <v>10</v>
      </c>
      <c r="L1" s="243" t="s">
        <v>11</v>
      </c>
      <c r="M1" s="243" t="s">
        <v>12</v>
      </c>
      <c r="N1" s="243" t="s">
        <v>13</v>
      </c>
      <c r="O1" s="245" t="s">
        <v>14</v>
      </c>
      <c r="P1" s="245" t="s">
        <v>15</v>
      </c>
      <c r="Q1" s="245" t="s">
        <v>16</v>
      </c>
      <c r="R1" s="245" t="s">
        <v>17</v>
      </c>
      <c r="S1" s="245" t="s">
        <v>18</v>
      </c>
      <c r="T1" s="245" t="s">
        <v>19</v>
      </c>
      <c r="U1" s="245" t="s">
        <v>20</v>
      </c>
      <c r="V1" s="245" t="s">
        <v>21</v>
      </c>
      <c r="W1" s="245" t="s">
        <v>22</v>
      </c>
      <c r="X1" s="245" t="s">
        <v>23</v>
      </c>
      <c r="Y1" s="246" t="s">
        <v>24</v>
      </c>
      <c r="Z1" s="246" t="s">
        <v>25</v>
      </c>
      <c r="AA1" s="247" t="s">
        <v>773</v>
      </c>
      <c r="AB1" s="247" t="s">
        <v>774</v>
      </c>
      <c r="AC1" s="247" t="s">
        <v>775</v>
      </c>
      <c r="AD1" s="247" t="s">
        <v>776</v>
      </c>
    </row>
    <row r="2">
      <c r="A2" s="248">
        <f>Summary!B1</f>
        <v>44144</v>
      </c>
      <c r="B2" s="249">
        <f>Summary!B2</f>
        <v>304</v>
      </c>
      <c r="C2" s="250">
        <f>Summary!B3</f>
        <v>561</v>
      </c>
      <c r="D2" s="250">
        <f>Summary!B4</f>
        <v>49496</v>
      </c>
      <c r="E2" s="250">
        <f>Summary!B5</f>
        <v>3671</v>
      </c>
      <c r="F2" s="250">
        <f>Summary!B6</f>
        <v>1208143</v>
      </c>
      <c r="G2" s="250">
        <f>Summary!B7</f>
        <v>3975</v>
      </c>
      <c r="H2" s="250">
        <f>Summary!B8</f>
        <v>1257639</v>
      </c>
      <c r="I2" s="250">
        <f>Summary!B9</f>
        <v>266</v>
      </c>
      <c r="J2" s="250">
        <f>Summary!B10</f>
        <v>507</v>
      </c>
      <c r="K2" s="250">
        <f>Summary!B11</f>
        <v>38009</v>
      </c>
      <c r="L2" s="250">
        <f>Summary!B12</f>
        <v>1181</v>
      </c>
      <c r="M2" s="250">
        <f>Summary!B13</f>
        <v>427022</v>
      </c>
      <c r="N2" s="250">
        <f>Summary!B14</f>
        <v>465031</v>
      </c>
      <c r="O2" s="250">
        <f>Summary!B15</f>
        <v>26</v>
      </c>
      <c r="P2" s="250">
        <f>Summary!B16</f>
        <v>3584</v>
      </c>
      <c r="Q2" s="250">
        <f>Summary!B17</f>
        <v>23</v>
      </c>
      <c r="R2" s="250">
        <f>Summary!B18</f>
        <v>2958</v>
      </c>
      <c r="S2" s="250">
        <f>Summary!B19</f>
        <v>1</v>
      </c>
      <c r="T2" s="250">
        <f>Summary!B20</f>
        <v>414</v>
      </c>
      <c r="U2" s="250">
        <f>Summary!B21</f>
        <v>212</v>
      </c>
      <c r="V2" s="250">
        <f>Summary!B22</f>
        <v>208</v>
      </c>
      <c r="W2" s="250">
        <f>Summary!B23</f>
        <v>27</v>
      </c>
      <c r="X2" s="250">
        <f>Summary!B24</f>
        <v>17</v>
      </c>
      <c r="Y2" s="250">
        <f>Summary!B25</f>
        <v>1</v>
      </c>
      <c r="Z2" s="250">
        <f>Summary!B26</f>
        <v>1233</v>
      </c>
      <c r="AA2" s="251">
        <f>I2+E2</f>
        <v>3937</v>
      </c>
      <c r="AB2" s="251">
        <f>K2+F2</f>
        <v>1246152</v>
      </c>
      <c r="AC2" s="252">
        <f>K2/H2</f>
        <v>0.03022250423</v>
      </c>
      <c r="AD2" s="252">
        <f>I2/G2</f>
        <v>0.06691823899</v>
      </c>
    </row>
    <row r="3">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row>
    <row r="4">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c r="AA4" s="253"/>
      <c r="AB4" s="253"/>
      <c r="AC4" s="253"/>
      <c r="AD4" s="253"/>
    </row>
    <row r="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row>
    <row r="6">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row>
    <row r="7">
      <c r="A7" s="253"/>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row>
    <row r="8">
      <c r="A8" s="253"/>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53"/>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row>
    <row r="10">
      <c r="A10" s="253"/>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c r="A14" s="253"/>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c r="A15" s="253"/>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c r="A16" s="253"/>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c r="A18" s="253"/>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c r="A19" s="253"/>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c r="A20" s="253"/>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row>
    <row r="58">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row>
    <row r="59">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row>
    <row r="70">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row>
    <row r="76">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row>
    <row r="77">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row>
    <row r="78">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row>
    <row r="79">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row>
    <row r="80">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row>
    <row r="81">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row>
    <row r="8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row>
    <row r="83">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row>
    <row r="84">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row>
    <row r="8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row>
    <row r="86">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row>
    <row r="87">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row>
    <row r="88">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row>
    <row r="89">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row>
    <row r="90">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row>
    <row r="91">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row>
    <row r="9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row>
    <row r="93">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row>
    <row r="94">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row>
    <row r="9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row>
    <row r="96">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row>
    <row r="97">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row>
    <row r="98">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row>
    <row r="99">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row>
    <row r="100">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row>
    <row r="101">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row>
    <row r="1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row>
    <row r="103">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row>
    <row r="10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row>
    <row r="106">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row>
    <row r="107">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row>
    <row r="108">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row>
    <row r="109">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row>
    <row r="110">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row>
    <row r="111">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row>
    <row r="11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row>
    <row r="113">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row>
    <row r="114">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row>
    <row r="1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row>
    <row r="116">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row>
    <row r="117">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row>
    <row r="118">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row>
    <row r="119">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row>
    <row r="120">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row>
    <row r="121">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row>
    <row r="12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row>
    <row r="123">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row>
    <row r="124">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row>
    <row r="12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row>
    <row r="126">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row>
    <row r="127">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row>
    <row r="128">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row>
    <row r="129">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row>
    <row r="130">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row>
    <row r="131">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row>
    <row r="13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row>
    <row r="133">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row>
    <row r="134">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row>
    <row r="13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row>
    <row r="136">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row>
    <row r="137">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row>
    <row r="138">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row>
    <row r="139">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row>
    <row r="140">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row>
    <row r="141">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row>
    <row r="14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row>
    <row r="143">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row>
    <row r="144">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row>
    <row r="14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row>
    <row r="146">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row>
    <row r="147">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row>
    <row r="148">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row>
    <row r="149">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row>
    <row r="150">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row>
    <row r="151">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row>
    <row r="15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row>
    <row r="153">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row>
    <row r="154">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row>
    <row r="15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row>
    <row r="156">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row>
    <row r="157">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row>
    <row r="158">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row>
    <row r="159">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row>
    <row r="160">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row>
    <row r="161">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row>
    <row r="16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row>
    <row r="163">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row>
    <row r="164">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row>
    <row r="16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row>
    <row r="166">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row>
    <row r="167">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row>
    <row r="168">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row>
    <row r="169">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row>
    <row r="170">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row>
    <row r="171">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row>
    <row r="17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row>
    <row r="173">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row>
    <row r="174">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row>
    <row r="17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row>
    <row r="176">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row>
    <row r="177">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row>
    <row r="178">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row>
    <row r="179">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row>
    <row r="180">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row>
    <row r="181">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row>
    <row r="18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row>
    <row r="183">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row>
    <row r="184">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row>
    <row r="18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row>
    <row r="186">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row>
    <row r="187">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row>
    <row r="188">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row>
    <row r="189">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row>
    <row r="190">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row>
    <row r="191">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row>
    <row r="19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row>
    <row r="193">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row>
    <row r="194">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row>
    <row r="19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row>
    <row r="196">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row>
    <row r="197">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row>
    <row r="198">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row>
    <row r="199">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row>
    <row r="200">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row>
    <row r="201">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row>
    <row r="2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row>
    <row r="203">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row>
    <row r="204">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row>
    <row r="20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c r="AD205" s="253"/>
    </row>
    <row r="206">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c r="AD206" s="253"/>
    </row>
    <row r="207">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c r="AD207" s="253"/>
    </row>
    <row r="208">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c r="AD208" s="253"/>
    </row>
    <row r="209">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c r="AD209" s="253"/>
    </row>
    <row r="210">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c r="AD210" s="253"/>
    </row>
    <row r="211">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c r="AD211" s="253"/>
    </row>
    <row r="21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c r="AD212" s="253"/>
    </row>
    <row r="213">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c r="AD213" s="253"/>
    </row>
    <row r="214">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c r="AD214" s="253"/>
    </row>
    <row r="2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c r="AD215" s="253"/>
    </row>
    <row r="216">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c r="AD216" s="253"/>
    </row>
    <row r="217">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c r="AD217" s="253"/>
    </row>
    <row r="218">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c r="AD218" s="253"/>
    </row>
    <row r="219">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c r="AD219" s="253"/>
    </row>
    <row r="220">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c r="AD220" s="253"/>
    </row>
    <row r="221">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row>
    <row r="22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c r="AD222" s="253"/>
    </row>
    <row r="223">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c r="AD223" s="253"/>
    </row>
    <row r="224">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c r="AD224" s="253"/>
    </row>
    <row r="22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c r="AD225" s="253"/>
    </row>
    <row r="226">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c r="AD226" s="253"/>
    </row>
    <row r="227">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c r="AD227" s="253"/>
    </row>
    <row r="228">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c r="AD228" s="253"/>
    </row>
    <row r="229">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c r="AD229" s="253"/>
    </row>
    <row r="230">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c r="AD230" s="253"/>
    </row>
    <row r="231">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c r="AD231" s="253"/>
    </row>
    <row r="23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c r="AD232" s="253"/>
    </row>
    <row r="233">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c r="AD233" s="253"/>
    </row>
    <row r="234">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c r="AD234" s="253"/>
    </row>
    <row r="23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c r="AD235" s="253"/>
    </row>
    <row r="236">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c r="AD236" s="253"/>
    </row>
    <row r="237">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c r="AD237" s="253"/>
    </row>
    <row r="238">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c r="AD238" s="253"/>
    </row>
    <row r="239">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c r="AD239" s="253"/>
    </row>
    <row r="240">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c r="AD240" s="253"/>
    </row>
    <row r="241">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c r="AD241" s="253"/>
    </row>
    <row r="24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c r="AD242" s="253"/>
    </row>
    <row r="243">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c r="AD243" s="253"/>
    </row>
    <row r="244">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c r="AD244" s="253"/>
    </row>
    <row r="24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c r="AD245" s="253"/>
    </row>
    <row r="246">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c r="AD246" s="253"/>
    </row>
    <row r="247">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c r="AD247" s="253"/>
    </row>
    <row r="248">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c r="AD248" s="253"/>
    </row>
    <row r="249">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c r="AD249" s="253"/>
    </row>
    <row r="250">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c r="AD250" s="253"/>
    </row>
    <row r="251">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c r="AD251" s="253"/>
    </row>
    <row r="25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c r="AD252" s="253"/>
    </row>
    <row r="253">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c r="AD253" s="253"/>
    </row>
    <row r="254">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c r="AD254" s="253"/>
    </row>
    <row r="25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c r="AD255" s="253"/>
    </row>
    <row r="256">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c r="AD256" s="253"/>
    </row>
    <row r="257">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c r="AD257" s="253"/>
    </row>
    <row r="258">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c r="AD258" s="253"/>
    </row>
    <row r="259">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c r="AD259" s="253"/>
    </row>
    <row r="260">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c r="AD260" s="253"/>
    </row>
    <row r="261">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c r="AD261" s="253"/>
    </row>
    <row r="26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c r="AD262" s="253"/>
    </row>
    <row r="263">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c r="AD263" s="253"/>
    </row>
    <row r="264">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c r="AD264" s="253"/>
    </row>
    <row r="26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c r="AD265" s="253"/>
    </row>
    <row r="266">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c r="AD266" s="253"/>
    </row>
    <row r="267">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c r="AD267" s="253"/>
    </row>
    <row r="268">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c r="AD268" s="253"/>
    </row>
    <row r="269">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c r="AD269" s="253"/>
    </row>
    <row r="270">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c r="AD270" s="253"/>
    </row>
    <row r="271">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c r="AD271" s="253"/>
    </row>
    <row r="27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c r="AD272" s="253"/>
    </row>
    <row r="273">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c r="AD273" s="253"/>
    </row>
    <row r="274">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c r="AD274" s="253"/>
    </row>
    <row r="27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c r="AD275" s="253"/>
    </row>
    <row r="276">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c r="AD276" s="253"/>
    </row>
    <row r="277">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row>
    <row r="278">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c r="AD278" s="253"/>
    </row>
    <row r="279">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c r="AD279" s="253"/>
    </row>
    <row r="280">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c r="AD280" s="253"/>
    </row>
    <row r="281">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c r="AD281" s="253"/>
    </row>
    <row r="28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c r="AD282" s="253"/>
    </row>
    <row r="283">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c r="AD283" s="253"/>
    </row>
    <row r="284">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c r="AD284" s="253"/>
    </row>
    <row r="28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c r="AD285" s="253"/>
    </row>
    <row r="286">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row>
    <row r="287">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c r="AD287" s="253"/>
    </row>
    <row r="288">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c r="AD288" s="253"/>
    </row>
    <row r="289">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c r="AD289" s="253"/>
    </row>
    <row r="290">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c r="AD290" s="253"/>
    </row>
    <row r="291">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row>
    <row r="29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c r="AD292" s="253"/>
    </row>
    <row r="293">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c r="AD293" s="253"/>
    </row>
    <row r="294">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c r="AD294" s="253"/>
    </row>
    <row r="29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row>
    <row r="296">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row>
    <row r="297">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c r="AD297" s="253"/>
    </row>
    <row r="298">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c r="AD298" s="253"/>
    </row>
    <row r="299">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c r="AD299" s="253"/>
    </row>
    <row r="300">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c r="AD300" s="253"/>
    </row>
    <row r="301">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c r="AD301" s="253"/>
    </row>
    <row r="3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c r="AD302" s="253"/>
    </row>
    <row r="303">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c r="AD303" s="253"/>
    </row>
    <row r="304">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c r="AD304" s="253"/>
    </row>
    <row r="30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c r="AD305" s="253"/>
    </row>
    <row r="306">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c r="AD306" s="253"/>
    </row>
    <row r="307">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c r="AD307" s="253"/>
    </row>
    <row r="308">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c r="AD308" s="253"/>
    </row>
    <row r="309">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c r="AD309" s="253"/>
    </row>
    <row r="310">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c r="AD310" s="253"/>
    </row>
    <row r="311">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c r="AD311" s="253"/>
    </row>
    <row r="31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c r="AD312" s="253"/>
    </row>
    <row r="313">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c r="AD313" s="253"/>
    </row>
    <row r="314">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c r="AD314" s="253"/>
    </row>
    <row r="3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c r="AD315" s="253"/>
    </row>
    <row r="316">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c r="AD316" s="253"/>
    </row>
    <row r="317">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c r="AD317" s="253"/>
    </row>
    <row r="318">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c r="AD318" s="253"/>
    </row>
    <row r="319">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c r="AD319" s="253"/>
    </row>
    <row r="320">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c r="AD320" s="253"/>
    </row>
    <row r="321">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c r="AD321" s="253"/>
    </row>
    <row r="32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c r="AD322" s="253"/>
    </row>
    <row r="323">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c r="AD323" s="253"/>
    </row>
    <row r="324">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c r="AD324" s="253"/>
    </row>
    <row r="32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c r="AD325" s="253"/>
    </row>
    <row r="326">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c r="AD326" s="253"/>
    </row>
    <row r="327">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c r="AD327" s="253"/>
    </row>
    <row r="328">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c r="AD328" s="253"/>
    </row>
    <row r="329">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c r="AD329" s="253"/>
    </row>
    <row r="330">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c r="AD330" s="253"/>
    </row>
    <row r="331">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c r="AD331" s="253"/>
    </row>
    <row r="33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c r="AD332" s="253"/>
    </row>
    <row r="333">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c r="AD333" s="253"/>
    </row>
    <row r="334">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c r="AA334" s="253"/>
      <c r="AB334" s="253"/>
      <c r="AC334" s="253"/>
      <c r="AD334" s="253"/>
    </row>
    <row r="33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c r="AA335" s="253"/>
      <c r="AB335" s="253"/>
      <c r="AC335" s="253"/>
      <c r="AD335" s="253"/>
    </row>
    <row r="336">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c r="AA336" s="253"/>
      <c r="AB336" s="253"/>
      <c r="AC336" s="253"/>
      <c r="AD336" s="253"/>
    </row>
    <row r="337">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c r="AA337" s="253"/>
      <c r="AB337" s="253"/>
      <c r="AC337" s="253"/>
      <c r="AD337" s="253"/>
    </row>
    <row r="338">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c r="AD338" s="253"/>
    </row>
    <row r="339">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c r="AA339" s="253"/>
      <c r="AB339" s="253"/>
      <c r="AC339" s="253"/>
      <c r="AD339" s="253"/>
    </row>
    <row r="340">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253"/>
      <c r="AB340" s="253"/>
      <c r="AC340" s="253"/>
      <c r="AD340" s="253"/>
    </row>
    <row r="341">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c r="AD341" s="253"/>
    </row>
    <row r="342">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253"/>
      <c r="AB342" s="253"/>
      <c r="AC342" s="253"/>
      <c r="AD342" s="253"/>
    </row>
    <row r="343">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253"/>
      <c r="AB343" s="253"/>
      <c r="AC343" s="253"/>
      <c r="AD343" s="253"/>
    </row>
    <row r="344">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253"/>
      <c r="AB344" s="253"/>
      <c r="AC344" s="253"/>
      <c r="AD344" s="253"/>
    </row>
    <row r="34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c r="AA345" s="253"/>
      <c r="AB345" s="253"/>
      <c r="AC345" s="253"/>
      <c r="AD345" s="253"/>
    </row>
    <row r="346">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c r="AA346" s="253"/>
      <c r="AB346" s="253"/>
      <c r="AC346" s="253"/>
      <c r="AD346" s="253"/>
    </row>
    <row r="347">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c r="AA347" s="253"/>
      <c r="AB347" s="253"/>
      <c r="AC347" s="253"/>
      <c r="AD347" s="253"/>
    </row>
    <row r="348">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c r="AA348" s="253"/>
      <c r="AB348" s="253"/>
      <c r="AC348" s="253"/>
      <c r="AD348" s="253"/>
    </row>
    <row r="349">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c r="AA349" s="253"/>
      <c r="AB349" s="253"/>
      <c r="AC349" s="253"/>
      <c r="AD349" s="253"/>
    </row>
    <row r="350">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c r="AA350" s="253"/>
      <c r="AB350" s="253"/>
      <c r="AC350" s="253"/>
      <c r="AD350" s="253"/>
    </row>
    <row r="351">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c r="AA351" s="253"/>
      <c r="AB351" s="253"/>
      <c r="AC351" s="253"/>
      <c r="AD351" s="253"/>
    </row>
    <row r="352">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c r="AA352" s="253"/>
      <c r="AB352" s="253"/>
      <c r="AC352" s="253"/>
      <c r="AD352" s="253"/>
    </row>
    <row r="353">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c r="AA353" s="253"/>
      <c r="AB353" s="253"/>
      <c r="AC353" s="253"/>
      <c r="AD353" s="253"/>
    </row>
    <row r="354">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c r="AA354" s="253"/>
      <c r="AB354" s="253"/>
      <c r="AC354" s="253"/>
      <c r="AD354" s="253"/>
    </row>
    <row r="35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c r="AA355" s="253"/>
      <c r="AB355" s="253"/>
      <c r="AC355" s="253"/>
      <c r="AD355" s="253"/>
    </row>
    <row r="356">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c r="AA356" s="253"/>
      <c r="AB356" s="253"/>
      <c r="AC356" s="253"/>
      <c r="AD356" s="253"/>
    </row>
    <row r="357">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c r="AA357" s="253"/>
      <c r="AB357" s="253"/>
      <c r="AC357" s="253"/>
      <c r="AD357" s="253"/>
    </row>
    <row r="358">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c r="AA358" s="253"/>
      <c r="AB358" s="253"/>
      <c r="AC358" s="253"/>
      <c r="AD358" s="253"/>
    </row>
    <row r="359">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c r="AA359" s="253"/>
      <c r="AB359" s="253"/>
      <c r="AC359" s="253"/>
      <c r="AD359" s="253"/>
    </row>
    <row r="360">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c r="AA360" s="253"/>
      <c r="AB360" s="253"/>
      <c r="AC360" s="253"/>
      <c r="AD360" s="253"/>
    </row>
    <row r="361">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c r="AA361" s="253"/>
      <c r="AB361" s="253"/>
      <c r="AC361" s="253"/>
      <c r="AD361" s="253"/>
    </row>
    <row r="362">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c r="AA362" s="253"/>
      <c r="AB362" s="253"/>
      <c r="AC362" s="253"/>
      <c r="AD362" s="253"/>
    </row>
    <row r="363">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c r="AA363" s="253"/>
      <c r="AB363" s="253"/>
      <c r="AC363" s="253"/>
      <c r="AD363" s="253"/>
    </row>
    <row r="364">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c r="AA364" s="253"/>
      <c r="AB364" s="253"/>
      <c r="AC364" s="253"/>
      <c r="AD364" s="253"/>
    </row>
    <row r="36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c r="AA365" s="253"/>
      <c r="AB365" s="253"/>
      <c r="AC365" s="253"/>
      <c r="AD365" s="253"/>
    </row>
    <row r="366">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c r="AA366" s="253"/>
      <c r="AB366" s="253"/>
      <c r="AC366" s="253"/>
      <c r="AD366" s="253"/>
    </row>
    <row r="367">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c r="AA367" s="253"/>
      <c r="AB367" s="253"/>
      <c r="AC367" s="253"/>
      <c r="AD367" s="253"/>
    </row>
    <row r="368">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c r="AA368" s="253"/>
      <c r="AB368" s="253"/>
      <c r="AC368" s="253"/>
      <c r="AD368" s="253"/>
    </row>
    <row r="369">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c r="AA369" s="253"/>
      <c r="AB369" s="253"/>
      <c r="AC369" s="253"/>
      <c r="AD369" s="253"/>
    </row>
    <row r="370">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c r="AA370" s="253"/>
      <c r="AB370" s="253"/>
      <c r="AC370" s="253"/>
      <c r="AD370" s="253"/>
    </row>
    <row r="371">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c r="AA371" s="253"/>
      <c r="AB371" s="253"/>
      <c r="AC371" s="253"/>
      <c r="AD371" s="253"/>
    </row>
    <row r="372">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c r="AA372" s="253"/>
      <c r="AB372" s="253"/>
      <c r="AC372" s="253"/>
      <c r="AD372" s="253"/>
    </row>
    <row r="373">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c r="AA373" s="253"/>
      <c r="AB373" s="253"/>
      <c r="AC373" s="253"/>
      <c r="AD373" s="253"/>
    </row>
    <row r="374">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c r="AA374" s="253"/>
      <c r="AB374" s="253"/>
      <c r="AC374" s="253"/>
      <c r="AD374" s="253"/>
    </row>
    <row r="37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c r="AA375" s="253"/>
      <c r="AB375" s="253"/>
      <c r="AC375" s="253"/>
      <c r="AD375" s="253"/>
    </row>
    <row r="376">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c r="AA376" s="253"/>
      <c r="AB376" s="253"/>
      <c r="AC376" s="253"/>
      <c r="AD376" s="253"/>
    </row>
    <row r="377">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c r="AA377" s="253"/>
      <c r="AB377" s="253"/>
      <c r="AC377" s="253"/>
      <c r="AD377" s="253"/>
    </row>
    <row r="378">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c r="AA378" s="253"/>
      <c r="AB378" s="253"/>
      <c r="AC378" s="253"/>
      <c r="AD378" s="253"/>
    </row>
    <row r="379">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c r="AA379" s="253"/>
      <c r="AB379" s="253"/>
      <c r="AC379" s="253"/>
      <c r="AD379" s="253"/>
    </row>
    <row r="380">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c r="AA380" s="253"/>
      <c r="AB380" s="253"/>
      <c r="AC380" s="253"/>
      <c r="AD380" s="253"/>
    </row>
    <row r="381">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c r="AA381" s="253"/>
      <c r="AB381" s="253"/>
      <c r="AC381" s="253"/>
      <c r="AD381" s="253"/>
    </row>
    <row r="382">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c r="AA382" s="253"/>
      <c r="AB382" s="253"/>
      <c r="AC382" s="253"/>
      <c r="AD382" s="253"/>
    </row>
    <row r="383">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c r="AA383" s="253"/>
      <c r="AB383" s="253"/>
      <c r="AC383" s="253"/>
      <c r="AD383" s="253"/>
    </row>
    <row r="384">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c r="AA384" s="253"/>
      <c r="AB384" s="253"/>
      <c r="AC384" s="253"/>
      <c r="AD384" s="253"/>
    </row>
    <row r="38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c r="AA385" s="253"/>
      <c r="AB385" s="253"/>
      <c r="AC385" s="253"/>
      <c r="AD385" s="253"/>
    </row>
    <row r="386">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c r="AA386" s="253"/>
      <c r="AB386" s="253"/>
      <c r="AC386" s="253"/>
      <c r="AD386" s="253"/>
    </row>
    <row r="387">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c r="AA387" s="253"/>
      <c r="AB387" s="253"/>
      <c r="AC387" s="253"/>
      <c r="AD387" s="253"/>
    </row>
    <row r="388">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c r="AA388" s="253"/>
      <c r="AB388" s="253"/>
      <c r="AC388" s="253"/>
      <c r="AD388" s="253"/>
    </row>
    <row r="389">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c r="AA389" s="253"/>
      <c r="AB389" s="253"/>
      <c r="AC389" s="253"/>
      <c r="AD389" s="253"/>
    </row>
    <row r="390">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c r="AA390" s="253"/>
      <c r="AB390" s="253"/>
      <c r="AC390" s="253"/>
      <c r="AD390" s="253"/>
    </row>
    <row r="391">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c r="AA391" s="253"/>
      <c r="AB391" s="253"/>
      <c r="AC391" s="253"/>
      <c r="AD391" s="253"/>
    </row>
    <row r="392">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c r="AA392" s="253"/>
      <c r="AB392" s="253"/>
      <c r="AC392" s="253"/>
      <c r="AD392" s="253"/>
    </row>
    <row r="393">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c r="AA393" s="253"/>
      <c r="AB393" s="253"/>
      <c r="AC393" s="253"/>
      <c r="AD393" s="253"/>
    </row>
    <row r="394">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c r="AA394" s="253"/>
      <c r="AB394" s="253"/>
      <c r="AC394" s="253"/>
      <c r="AD394" s="253"/>
    </row>
    <row r="39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c r="AA395" s="253"/>
      <c r="AB395" s="253"/>
      <c r="AC395" s="253"/>
      <c r="AD395" s="253"/>
    </row>
    <row r="396">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c r="AA396" s="253"/>
      <c r="AB396" s="253"/>
      <c r="AC396" s="253"/>
      <c r="AD396" s="253"/>
    </row>
    <row r="397">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c r="AA397" s="253"/>
      <c r="AB397" s="253"/>
      <c r="AC397" s="253"/>
      <c r="AD397" s="253"/>
    </row>
    <row r="398">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c r="AA398" s="253"/>
      <c r="AB398" s="253"/>
      <c r="AC398" s="253"/>
      <c r="AD398" s="253"/>
    </row>
    <row r="399">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c r="AA399" s="253"/>
      <c r="AB399" s="253"/>
      <c r="AC399" s="253"/>
      <c r="AD399" s="253"/>
    </row>
    <row r="400">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c r="AA400" s="253"/>
      <c r="AB400" s="253"/>
      <c r="AC400" s="253"/>
      <c r="AD400" s="253"/>
    </row>
    <row r="401">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row>
    <row r="402">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c r="AA402" s="253"/>
      <c r="AB402" s="253"/>
      <c r="AC402" s="253"/>
      <c r="AD402" s="253"/>
    </row>
    <row r="403">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c r="AA403" s="253"/>
      <c r="AB403" s="253"/>
      <c r="AC403" s="253"/>
      <c r="AD403" s="253"/>
    </row>
    <row r="404">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c r="AA404" s="253"/>
      <c r="AB404" s="253"/>
      <c r="AC404" s="253"/>
      <c r="AD404" s="253"/>
    </row>
    <row r="40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c r="AA405" s="253"/>
      <c r="AB405" s="253"/>
      <c r="AC405" s="253"/>
      <c r="AD405" s="253"/>
    </row>
    <row r="406">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c r="AA406" s="253"/>
      <c r="AB406" s="253"/>
      <c r="AC406" s="253"/>
      <c r="AD406" s="253"/>
    </row>
    <row r="407">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c r="AA407" s="253"/>
      <c r="AB407" s="253"/>
      <c r="AC407" s="253"/>
      <c r="AD407" s="253"/>
    </row>
    <row r="408">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c r="AA408" s="253"/>
      <c r="AB408" s="253"/>
      <c r="AC408" s="253"/>
      <c r="AD408" s="253"/>
    </row>
    <row r="409">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c r="AA409" s="253"/>
      <c r="AB409" s="253"/>
      <c r="AC409" s="253"/>
      <c r="AD409" s="253"/>
    </row>
    <row r="410">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c r="AA410" s="253"/>
      <c r="AB410" s="253"/>
      <c r="AC410" s="253"/>
      <c r="AD410" s="253"/>
    </row>
    <row r="411">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c r="AA411" s="253"/>
      <c r="AB411" s="253"/>
      <c r="AC411" s="253"/>
      <c r="AD411" s="253"/>
    </row>
    <row r="412">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c r="AA412" s="253"/>
      <c r="AB412" s="253"/>
      <c r="AC412" s="253"/>
      <c r="AD412" s="253"/>
    </row>
    <row r="413">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c r="AA413" s="253"/>
      <c r="AB413" s="253"/>
      <c r="AC413" s="253"/>
      <c r="AD413" s="253"/>
    </row>
    <row r="414">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c r="AA414" s="253"/>
      <c r="AB414" s="253"/>
      <c r="AC414" s="253"/>
      <c r="AD414" s="253"/>
    </row>
    <row r="4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c r="AA415" s="253"/>
      <c r="AB415" s="253"/>
      <c r="AC415" s="253"/>
      <c r="AD415" s="253"/>
    </row>
    <row r="416">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c r="AA416" s="253"/>
      <c r="AB416" s="253"/>
      <c r="AC416" s="253"/>
      <c r="AD416" s="253"/>
    </row>
    <row r="417">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c r="AA417" s="253"/>
      <c r="AB417" s="253"/>
      <c r="AC417" s="253"/>
      <c r="AD417" s="253"/>
    </row>
    <row r="418">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c r="AA418" s="253"/>
      <c r="AB418" s="253"/>
      <c r="AC418" s="253"/>
      <c r="AD418" s="253"/>
    </row>
    <row r="419">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c r="AA419" s="253"/>
      <c r="AB419" s="253"/>
      <c r="AC419" s="253"/>
      <c r="AD419" s="253"/>
    </row>
    <row r="420">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c r="AA420" s="253"/>
      <c r="AB420" s="253"/>
      <c r="AC420" s="253"/>
      <c r="AD420" s="253"/>
    </row>
    <row r="421">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c r="AA421" s="253"/>
      <c r="AB421" s="253"/>
      <c r="AC421" s="253"/>
      <c r="AD421" s="253"/>
    </row>
    <row r="422">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c r="AA422" s="253"/>
      <c r="AB422" s="253"/>
      <c r="AC422" s="253"/>
      <c r="AD422" s="253"/>
    </row>
    <row r="423">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c r="AA423" s="253"/>
      <c r="AB423" s="253"/>
      <c r="AC423" s="253"/>
      <c r="AD423" s="253"/>
    </row>
    <row r="424">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c r="AA424" s="253"/>
      <c r="AB424" s="253"/>
      <c r="AC424" s="253"/>
      <c r="AD424" s="253"/>
    </row>
    <row r="42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c r="AA425" s="253"/>
      <c r="AB425" s="253"/>
      <c r="AC425" s="253"/>
      <c r="AD425" s="253"/>
    </row>
    <row r="426">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c r="AA426" s="253"/>
      <c r="AB426" s="253"/>
      <c r="AC426" s="253"/>
      <c r="AD426" s="253"/>
    </row>
    <row r="427">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c r="AA427" s="253"/>
      <c r="AB427" s="253"/>
      <c r="AC427" s="253"/>
      <c r="AD427" s="253"/>
    </row>
    <row r="428">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c r="AA428" s="253"/>
      <c r="AB428" s="253"/>
      <c r="AC428" s="253"/>
      <c r="AD428" s="253"/>
    </row>
    <row r="429">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c r="AA429" s="253"/>
      <c r="AB429" s="253"/>
      <c r="AC429" s="253"/>
      <c r="AD429" s="253"/>
    </row>
    <row r="430">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c r="AA430" s="253"/>
      <c r="AB430" s="253"/>
      <c r="AC430" s="253"/>
      <c r="AD430" s="253"/>
    </row>
    <row r="431">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c r="AA431" s="253"/>
      <c r="AB431" s="253"/>
      <c r="AC431" s="253"/>
      <c r="AD431" s="253"/>
    </row>
    <row r="432">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c r="AA432" s="253"/>
      <c r="AB432" s="253"/>
      <c r="AC432" s="253"/>
      <c r="AD432" s="253"/>
    </row>
    <row r="433">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c r="AA433" s="253"/>
      <c r="AB433" s="253"/>
      <c r="AC433" s="253"/>
      <c r="AD433" s="253"/>
    </row>
    <row r="434">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c r="AA434" s="253"/>
      <c r="AB434" s="253"/>
      <c r="AC434" s="253"/>
      <c r="AD434" s="253"/>
    </row>
    <row r="43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c r="AA435" s="253"/>
      <c r="AB435" s="253"/>
      <c r="AC435" s="253"/>
      <c r="AD435" s="253"/>
    </row>
    <row r="436">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c r="AA436" s="253"/>
      <c r="AB436" s="253"/>
      <c r="AC436" s="253"/>
      <c r="AD436" s="253"/>
    </row>
    <row r="437">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c r="AD437" s="253"/>
    </row>
    <row r="438">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c r="AA438" s="253"/>
      <c r="AB438" s="253"/>
      <c r="AC438" s="253"/>
      <c r="AD438" s="253"/>
    </row>
    <row r="439">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c r="AA439" s="253"/>
      <c r="AB439" s="253"/>
      <c r="AC439" s="253"/>
      <c r="AD439" s="253"/>
    </row>
    <row r="440">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c r="AA440" s="253"/>
      <c r="AB440" s="253"/>
      <c r="AC440" s="253"/>
      <c r="AD440" s="253"/>
    </row>
    <row r="441">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c r="AA441" s="253"/>
      <c r="AB441" s="253"/>
      <c r="AC441" s="253"/>
      <c r="AD441" s="253"/>
    </row>
    <row r="442">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c r="AA442" s="253"/>
      <c r="AB442" s="253"/>
      <c r="AC442" s="253"/>
      <c r="AD442" s="253"/>
    </row>
    <row r="443">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c r="AA443" s="253"/>
      <c r="AB443" s="253"/>
      <c r="AC443" s="253"/>
      <c r="AD443" s="253"/>
    </row>
    <row r="444">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c r="AA444" s="253"/>
      <c r="AB444" s="253"/>
      <c r="AC444" s="253"/>
      <c r="AD444" s="253"/>
    </row>
    <row r="44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c r="AA445" s="253"/>
      <c r="AB445" s="253"/>
      <c r="AC445" s="253"/>
      <c r="AD445" s="253"/>
    </row>
    <row r="446">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c r="AA446" s="253"/>
      <c r="AB446" s="253"/>
      <c r="AC446" s="253"/>
      <c r="AD446" s="253"/>
    </row>
    <row r="447">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c r="AA447" s="253"/>
      <c r="AB447" s="253"/>
      <c r="AC447" s="253"/>
      <c r="AD447" s="253"/>
    </row>
    <row r="448">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c r="AA448" s="253"/>
      <c r="AB448" s="253"/>
      <c r="AC448" s="253"/>
      <c r="AD448" s="253"/>
    </row>
    <row r="449">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c r="AA449" s="253"/>
      <c r="AB449" s="253"/>
      <c r="AC449" s="253"/>
      <c r="AD449" s="253"/>
    </row>
    <row r="450">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c r="AA450" s="253"/>
      <c r="AB450" s="253"/>
      <c r="AC450" s="253"/>
      <c r="AD450" s="253"/>
    </row>
    <row r="451">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c r="AA451" s="253"/>
      <c r="AB451" s="253"/>
      <c r="AC451" s="253"/>
      <c r="AD451" s="253"/>
    </row>
    <row r="452">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c r="AA452" s="253"/>
      <c r="AB452" s="253"/>
      <c r="AC452" s="253"/>
      <c r="AD452" s="253"/>
    </row>
    <row r="453">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c r="AA453" s="253"/>
      <c r="AB453" s="253"/>
      <c r="AC453" s="253"/>
      <c r="AD453" s="253"/>
    </row>
    <row r="454">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c r="AA454" s="253"/>
      <c r="AB454" s="253"/>
      <c r="AC454" s="253"/>
      <c r="AD454" s="253"/>
    </row>
    <row r="45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c r="AA455" s="253"/>
      <c r="AB455" s="253"/>
      <c r="AC455" s="253"/>
      <c r="AD455" s="253"/>
    </row>
    <row r="456">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c r="AA456" s="253"/>
      <c r="AB456" s="253"/>
      <c r="AC456" s="253"/>
      <c r="AD456" s="253"/>
    </row>
    <row r="457">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c r="AA457" s="253"/>
      <c r="AB457" s="253"/>
      <c r="AC457" s="253"/>
      <c r="AD457" s="253"/>
    </row>
    <row r="458">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c r="AA458" s="253"/>
      <c r="AB458" s="253"/>
      <c r="AC458" s="253"/>
      <c r="AD458" s="253"/>
    </row>
    <row r="459">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c r="AA459" s="253"/>
      <c r="AB459" s="253"/>
      <c r="AC459" s="253"/>
      <c r="AD459" s="253"/>
    </row>
    <row r="460">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c r="AA460" s="253"/>
      <c r="AB460" s="253"/>
      <c r="AC460" s="253"/>
      <c r="AD460" s="253"/>
    </row>
    <row r="461">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c r="AA461" s="253"/>
      <c r="AB461" s="253"/>
      <c r="AC461" s="253"/>
      <c r="AD461" s="253"/>
    </row>
    <row r="462">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c r="AA462" s="253"/>
      <c r="AB462" s="253"/>
      <c r="AC462" s="253"/>
      <c r="AD462" s="253"/>
    </row>
    <row r="463">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c r="AA463" s="253"/>
      <c r="AB463" s="253"/>
      <c r="AC463" s="253"/>
      <c r="AD463" s="253"/>
    </row>
    <row r="464">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c r="AA464" s="253"/>
      <c r="AB464" s="253"/>
      <c r="AC464" s="253"/>
      <c r="AD464" s="253"/>
    </row>
    <row r="46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c r="AA465" s="253"/>
      <c r="AB465" s="253"/>
      <c r="AC465" s="253"/>
      <c r="AD465" s="253"/>
    </row>
    <row r="466">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c r="AA466" s="253"/>
      <c r="AB466" s="253"/>
      <c r="AC466" s="253"/>
      <c r="AD466" s="253"/>
    </row>
    <row r="467">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c r="AA467" s="253"/>
      <c r="AB467" s="253"/>
      <c r="AC467" s="253"/>
      <c r="AD467" s="253"/>
    </row>
    <row r="468">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c r="AA468" s="253"/>
      <c r="AB468" s="253"/>
      <c r="AC468" s="253"/>
      <c r="AD468" s="253"/>
    </row>
    <row r="469">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c r="AA469" s="253"/>
      <c r="AB469" s="253"/>
      <c r="AC469" s="253"/>
      <c r="AD469" s="253"/>
    </row>
    <row r="470">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c r="AA470" s="253"/>
      <c r="AB470" s="253"/>
      <c r="AC470" s="253"/>
      <c r="AD470" s="253"/>
    </row>
    <row r="471">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c r="AA471" s="253"/>
      <c r="AB471" s="253"/>
      <c r="AC471" s="253"/>
      <c r="AD471" s="253"/>
    </row>
    <row r="472">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c r="AA472" s="253"/>
      <c r="AB472" s="253"/>
      <c r="AC472" s="253"/>
      <c r="AD472" s="253"/>
    </row>
    <row r="473">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c r="AA473" s="253"/>
      <c r="AB473" s="253"/>
      <c r="AC473" s="253"/>
      <c r="AD473" s="253"/>
    </row>
    <row r="474">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c r="AA474" s="253"/>
      <c r="AB474" s="253"/>
      <c r="AC474" s="253"/>
      <c r="AD474" s="253"/>
    </row>
    <row r="47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c r="AA475" s="253"/>
      <c r="AB475" s="253"/>
      <c r="AC475" s="253"/>
      <c r="AD475" s="253"/>
    </row>
    <row r="476">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c r="AA476" s="253"/>
      <c r="AB476" s="253"/>
      <c r="AC476" s="253"/>
      <c r="AD476" s="253"/>
    </row>
    <row r="477">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c r="AA477" s="253"/>
      <c r="AB477" s="253"/>
      <c r="AC477" s="253"/>
      <c r="AD477" s="253"/>
    </row>
    <row r="478">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c r="AA478" s="253"/>
      <c r="AB478" s="253"/>
      <c r="AC478" s="253"/>
      <c r="AD478" s="253"/>
    </row>
    <row r="479">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c r="AA479" s="253"/>
      <c r="AB479" s="253"/>
      <c r="AC479" s="253"/>
      <c r="AD479" s="253"/>
    </row>
    <row r="480">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c r="AA480" s="253"/>
      <c r="AB480" s="253"/>
      <c r="AC480" s="253"/>
      <c r="AD480" s="253"/>
    </row>
    <row r="481">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c r="AA481" s="253"/>
      <c r="AB481" s="253"/>
      <c r="AC481" s="253"/>
      <c r="AD481" s="253"/>
    </row>
    <row r="482">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c r="AA482" s="253"/>
      <c r="AB482" s="253"/>
      <c r="AC482" s="253"/>
      <c r="AD482" s="253"/>
    </row>
    <row r="483">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c r="AA483" s="253"/>
      <c r="AB483" s="253"/>
      <c r="AC483" s="253"/>
      <c r="AD483" s="253"/>
    </row>
    <row r="484">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c r="AA484" s="253"/>
      <c r="AB484" s="253"/>
      <c r="AC484" s="253"/>
      <c r="AD484" s="253"/>
    </row>
    <row r="48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c r="AA485" s="253"/>
      <c r="AB485" s="253"/>
      <c r="AC485" s="253"/>
      <c r="AD485" s="253"/>
    </row>
    <row r="486">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c r="AA486" s="253"/>
      <c r="AB486" s="253"/>
      <c r="AC486" s="253"/>
      <c r="AD486" s="253"/>
    </row>
    <row r="487">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c r="AA487" s="253"/>
      <c r="AB487" s="253"/>
      <c r="AC487" s="253"/>
      <c r="AD487" s="253"/>
    </row>
    <row r="488">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c r="AA488" s="253"/>
      <c r="AB488" s="253"/>
      <c r="AC488" s="253"/>
      <c r="AD488" s="253"/>
    </row>
    <row r="489">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c r="AA489" s="253"/>
      <c r="AB489" s="253"/>
      <c r="AC489" s="253"/>
      <c r="AD489" s="253"/>
    </row>
    <row r="490">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c r="AA490" s="253"/>
      <c r="AB490" s="253"/>
      <c r="AC490" s="253"/>
      <c r="AD490" s="253"/>
    </row>
    <row r="491">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c r="AA491" s="253"/>
      <c r="AB491" s="253"/>
      <c r="AC491" s="253"/>
      <c r="AD491" s="253"/>
    </row>
    <row r="492">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c r="AA492" s="253"/>
      <c r="AB492" s="253"/>
      <c r="AC492" s="253"/>
      <c r="AD492" s="253"/>
    </row>
    <row r="493">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c r="AA493" s="253"/>
      <c r="AB493" s="253"/>
      <c r="AC493" s="253"/>
      <c r="AD493" s="253"/>
    </row>
    <row r="494">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c r="AA494" s="253"/>
      <c r="AB494" s="253"/>
      <c r="AC494" s="253"/>
      <c r="AD494" s="253"/>
    </row>
    <row r="49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c r="AA495" s="253"/>
      <c r="AB495" s="253"/>
      <c r="AC495" s="253"/>
      <c r="AD495" s="253"/>
    </row>
    <row r="496">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c r="AA496" s="253"/>
      <c r="AB496" s="253"/>
      <c r="AC496" s="253"/>
      <c r="AD496" s="253"/>
    </row>
    <row r="497">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c r="AA497" s="253"/>
      <c r="AB497" s="253"/>
      <c r="AC497" s="253"/>
      <c r="AD497" s="253"/>
    </row>
    <row r="498">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c r="AA498" s="253"/>
      <c r="AB498" s="253"/>
      <c r="AC498" s="253"/>
      <c r="AD498" s="253"/>
    </row>
    <row r="499">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c r="AA499" s="253"/>
      <c r="AB499" s="253"/>
      <c r="AC499" s="253"/>
      <c r="AD499" s="253"/>
    </row>
    <row r="500">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c r="AA500" s="253"/>
      <c r="AB500" s="253"/>
      <c r="AC500" s="253"/>
      <c r="AD500" s="253"/>
    </row>
    <row r="501">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c r="AA501" s="253"/>
      <c r="AB501" s="253"/>
      <c r="AC501" s="253"/>
      <c r="AD501" s="253"/>
    </row>
    <row r="502">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c r="AA502" s="253"/>
      <c r="AB502" s="253"/>
      <c r="AC502" s="253"/>
      <c r="AD502" s="253"/>
    </row>
    <row r="503">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c r="AA503" s="253"/>
      <c r="AB503" s="253"/>
      <c r="AC503" s="253"/>
      <c r="AD503" s="253"/>
    </row>
    <row r="504">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c r="AA504" s="253"/>
      <c r="AB504" s="253"/>
      <c r="AC504" s="253"/>
      <c r="AD504" s="253"/>
    </row>
    <row r="50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c r="AA505" s="253"/>
      <c r="AB505" s="253"/>
      <c r="AC505" s="253"/>
      <c r="AD505" s="253"/>
    </row>
    <row r="506">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c r="AA506" s="253"/>
      <c r="AB506" s="253"/>
      <c r="AC506" s="253"/>
      <c r="AD506" s="253"/>
    </row>
    <row r="507">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c r="AA507" s="253"/>
      <c r="AB507" s="253"/>
      <c r="AC507" s="253"/>
      <c r="AD507" s="253"/>
    </row>
    <row r="508">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c r="AA508" s="253"/>
      <c r="AB508" s="253"/>
      <c r="AC508" s="253"/>
      <c r="AD508" s="253"/>
    </row>
    <row r="509">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c r="AA509" s="253"/>
      <c r="AB509" s="253"/>
      <c r="AC509" s="253"/>
      <c r="AD509" s="253"/>
    </row>
    <row r="510">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c r="AA510" s="253"/>
      <c r="AB510" s="253"/>
      <c r="AC510" s="253"/>
      <c r="AD510" s="253"/>
    </row>
    <row r="511">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c r="AA511" s="253"/>
      <c r="AB511" s="253"/>
      <c r="AC511" s="253"/>
      <c r="AD511" s="253"/>
    </row>
    <row r="512">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c r="AA512" s="253"/>
      <c r="AB512" s="253"/>
      <c r="AC512" s="253"/>
      <c r="AD512" s="253"/>
    </row>
    <row r="513">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c r="AA513" s="253"/>
      <c r="AB513" s="253"/>
      <c r="AC513" s="253"/>
      <c r="AD513" s="253"/>
    </row>
    <row r="514">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c r="AA514" s="253"/>
      <c r="AB514" s="253"/>
      <c r="AC514" s="253"/>
      <c r="AD514" s="253"/>
    </row>
    <row r="5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c r="AA515" s="253"/>
      <c r="AB515" s="253"/>
      <c r="AC515" s="253"/>
      <c r="AD515" s="253"/>
    </row>
    <row r="516">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c r="AA516" s="253"/>
      <c r="AB516" s="253"/>
      <c r="AC516" s="253"/>
      <c r="AD516" s="253"/>
    </row>
    <row r="517">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c r="AA517" s="253"/>
      <c r="AB517" s="253"/>
      <c r="AC517" s="253"/>
      <c r="AD517" s="253"/>
    </row>
    <row r="518">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c r="AA518" s="253"/>
      <c r="AB518" s="253"/>
      <c r="AC518" s="253"/>
      <c r="AD518" s="253"/>
    </row>
    <row r="519">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c r="AA519" s="253"/>
      <c r="AB519" s="253"/>
      <c r="AC519" s="253"/>
      <c r="AD519" s="253"/>
    </row>
    <row r="520">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c r="AA520" s="253"/>
      <c r="AB520" s="253"/>
      <c r="AC520" s="253"/>
      <c r="AD520" s="253"/>
    </row>
    <row r="521">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c r="AA521" s="253"/>
      <c r="AB521" s="253"/>
      <c r="AC521" s="253"/>
      <c r="AD521" s="253"/>
    </row>
    <row r="522">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c r="AA522" s="253"/>
      <c r="AB522" s="253"/>
      <c r="AC522" s="253"/>
      <c r="AD522" s="253"/>
    </row>
    <row r="523">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c r="AA523" s="253"/>
      <c r="AB523" s="253"/>
      <c r="AC523" s="253"/>
      <c r="AD523" s="253"/>
    </row>
    <row r="524">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c r="AA524" s="253"/>
      <c r="AB524" s="253"/>
      <c r="AC524" s="253"/>
      <c r="AD524" s="253"/>
    </row>
    <row r="52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c r="AA525" s="253"/>
      <c r="AB525" s="253"/>
      <c r="AC525" s="253"/>
      <c r="AD525" s="253"/>
    </row>
    <row r="526">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c r="AA526" s="253"/>
      <c r="AB526" s="253"/>
      <c r="AC526" s="253"/>
      <c r="AD526" s="253"/>
    </row>
    <row r="527">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c r="AA527" s="253"/>
      <c r="AB527" s="253"/>
      <c r="AC527" s="253"/>
      <c r="AD527" s="253"/>
    </row>
    <row r="528">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c r="AA528" s="253"/>
      <c r="AB528" s="253"/>
      <c r="AC528" s="253"/>
      <c r="AD528" s="253"/>
    </row>
    <row r="529">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c r="AA529" s="253"/>
      <c r="AB529" s="253"/>
      <c r="AC529" s="253"/>
      <c r="AD529" s="253"/>
    </row>
    <row r="530">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c r="AA530" s="253"/>
      <c r="AB530" s="253"/>
      <c r="AC530" s="253"/>
      <c r="AD530" s="253"/>
    </row>
    <row r="531">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c r="AA531" s="253"/>
      <c r="AB531" s="253"/>
      <c r="AC531" s="253"/>
      <c r="AD531" s="253"/>
    </row>
    <row r="532">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c r="AA532" s="253"/>
      <c r="AB532" s="253"/>
      <c r="AC532" s="253"/>
      <c r="AD532" s="253"/>
    </row>
    <row r="533">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c r="AA533" s="253"/>
      <c r="AB533" s="253"/>
      <c r="AC533" s="253"/>
      <c r="AD533" s="253"/>
    </row>
    <row r="534">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c r="AA534" s="253"/>
      <c r="AB534" s="253"/>
      <c r="AC534" s="253"/>
      <c r="AD534" s="253"/>
    </row>
    <row r="53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c r="AA535" s="253"/>
      <c r="AB535" s="253"/>
      <c r="AC535" s="253"/>
      <c r="AD535" s="253"/>
    </row>
    <row r="536">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c r="AA536" s="253"/>
      <c r="AB536" s="253"/>
      <c r="AC536" s="253"/>
      <c r="AD536" s="253"/>
    </row>
    <row r="537">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c r="AA537" s="253"/>
      <c r="AB537" s="253"/>
      <c r="AC537" s="253"/>
      <c r="AD537" s="253"/>
    </row>
    <row r="538">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c r="AA538" s="253"/>
      <c r="AB538" s="253"/>
      <c r="AC538" s="253"/>
      <c r="AD538" s="253"/>
    </row>
    <row r="539">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c r="AA539" s="253"/>
      <c r="AB539" s="253"/>
      <c r="AC539" s="253"/>
      <c r="AD539" s="253"/>
    </row>
    <row r="540">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c r="AA540" s="253"/>
      <c r="AB540" s="253"/>
      <c r="AC540" s="253"/>
      <c r="AD540" s="253"/>
    </row>
    <row r="541">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c r="AA541" s="253"/>
      <c r="AB541" s="253"/>
      <c r="AC541" s="253"/>
      <c r="AD541" s="253"/>
    </row>
    <row r="542">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c r="AA542" s="253"/>
      <c r="AB542" s="253"/>
      <c r="AC542" s="253"/>
      <c r="AD542" s="253"/>
    </row>
    <row r="543">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c r="AA543" s="253"/>
      <c r="AB543" s="253"/>
      <c r="AC543" s="253"/>
      <c r="AD543" s="253"/>
    </row>
    <row r="544">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c r="AA544" s="253"/>
      <c r="AB544" s="253"/>
      <c r="AC544" s="253"/>
      <c r="AD544" s="253"/>
    </row>
    <row r="54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c r="AA545" s="253"/>
      <c r="AB545" s="253"/>
      <c r="AC545" s="253"/>
      <c r="AD545" s="253"/>
    </row>
    <row r="546">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c r="AA546" s="253"/>
      <c r="AB546" s="253"/>
      <c r="AC546" s="253"/>
      <c r="AD546" s="253"/>
    </row>
    <row r="547">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c r="AA547" s="253"/>
      <c r="AB547" s="253"/>
      <c r="AC547" s="253"/>
      <c r="AD547" s="253"/>
    </row>
    <row r="548">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c r="AA548" s="253"/>
      <c r="AB548" s="253"/>
      <c r="AC548" s="253"/>
      <c r="AD548" s="253"/>
    </row>
    <row r="549">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c r="AA549" s="253"/>
      <c r="AB549" s="253"/>
      <c r="AC549" s="253"/>
      <c r="AD549" s="253"/>
    </row>
    <row r="550">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c r="AA550" s="253"/>
      <c r="AB550" s="253"/>
      <c r="AC550" s="253"/>
      <c r="AD550" s="253"/>
    </row>
    <row r="551">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c r="AA551" s="253"/>
      <c r="AB551" s="253"/>
      <c r="AC551" s="253"/>
      <c r="AD551" s="253"/>
    </row>
    <row r="552">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c r="AA552" s="253"/>
      <c r="AB552" s="253"/>
      <c r="AC552" s="253"/>
      <c r="AD552" s="253"/>
    </row>
    <row r="553">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c r="AA553" s="253"/>
      <c r="AB553" s="253"/>
      <c r="AC553" s="253"/>
      <c r="AD553" s="253"/>
    </row>
    <row r="554">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c r="AA554" s="253"/>
      <c r="AB554" s="253"/>
      <c r="AC554" s="253"/>
      <c r="AD554" s="253"/>
    </row>
    <row r="55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c r="AA555" s="253"/>
      <c r="AB555" s="253"/>
      <c r="AC555" s="253"/>
      <c r="AD555" s="253"/>
    </row>
    <row r="556">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c r="AA556" s="253"/>
      <c r="AB556" s="253"/>
      <c r="AC556" s="253"/>
      <c r="AD556" s="253"/>
    </row>
    <row r="557">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c r="AA557" s="253"/>
      <c r="AB557" s="253"/>
      <c r="AC557" s="253"/>
      <c r="AD557" s="253"/>
    </row>
    <row r="558">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c r="AA558" s="253"/>
      <c r="AB558" s="253"/>
      <c r="AC558" s="253"/>
      <c r="AD558" s="253"/>
    </row>
    <row r="559">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c r="AA559" s="253"/>
      <c r="AB559" s="253"/>
      <c r="AC559" s="253"/>
      <c r="AD559" s="253"/>
    </row>
    <row r="560">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c r="AA560" s="253"/>
      <c r="AB560" s="253"/>
      <c r="AC560" s="253"/>
      <c r="AD560" s="253"/>
    </row>
    <row r="561">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c r="AA561" s="253"/>
      <c r="AB561" s="253"/>
      <c r="AC561" s="253"/>
      <c r="AD561" s="253"/>
    </row>
    <row r="562">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c r="AA562" s="253"/>
      <c r="AB562" s="253"/>
      <c r="AC562" s="253"/>
      <c r="AD562" s="253"/>
    </row>
    <row r="563">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c r="AA563" s="253"/>
      <c r="AB563" s="253"/>
      <c r="AC563" s="253"/>
      <c r="AD563" s="253"/>
    </row>
    <row r="564">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c r="AA564" s="253"/>
      <c r="AB564" s="253"/>
      <c r="AC564" s="253"/>
      <c r="AD564" s="253"/>
    </row>
    <row r="56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c r="AA565" s="253"/>
      <c r="AB565" s="253"/>
      <c r="AC565" s="253"/>
      <c r="AD565" s="253"/>
    </row>
    <row r="566">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c r="AA566" s="253"/>
      <c r="AB566" s="253"/>
      <c r="AC566" s="253"/>
      <c r="AD566" s="253"/>
    </row>
    <row r="567">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c r="AA567" s="253"/>
      <c r="AB567" s="253"/>
      <c r="AC567" s="253"/>
      <c r="AD567" s="253"/>
    </row>
    <row r="568">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c r="AA568" s="253"/>
      <c r="AB568" s="253"/>
      <c r="AC568" s="253"/>
      <c r="AD568" s="253"/>
    </row>
    <row r="569">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c r="AA569" s="253"/>
      <c r="AB569" s="253"/>
      <c r="AC569" s="253"/>
      <c r="AD569" s="253"/>
    </row>
    <row r="570">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c r="AA570" s="253"/>
      <c r="AB570" s="253"/>
      <c r="AC570" s="253"/>
      <c r="AD570" s="253"/>
    </row>
    <row r="571">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c r="AA571" s="253"/>
      <c r="AB571" s="253"/>
      <c r="AC571" s="253"/>
      <c r="AD571" s="253"/>
    </row>
    <row r="572">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c r="AA572" s="253"/>
      <c r="AB572" s="253"/>
      <c r="AC572" s="253"/>
      <c r="AD572" s="253"/>
    </row>
    <row r="573">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c r="AA573" s="253"/>
      <c r="AB573" s="253"/>
      <c r="AC573" s="253"/>
      <c r="AD573" s="253"/>
    </row>
    <row r="574">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c r="AA574" s="253"/>
      <c r="AB574" s="253"/>
      <c r="AC574" s="253"/>
      <c r="AD574" s="253"/>
    </row>
    <row r="57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c r="AA575" s="253"/>
      <c r="AB575" s="253"/>
      <c r="AC575" s="253"/>
      <c r="AD575" s="253"/>
    </row>
    <row r="576">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c r="AA576" s="253"/>
      <c r="AB576" s="253"/>
      <c r="AC576" s="253"/>
      <c r="AD576" s="253"/>
    </row>
    <row r="577">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c r="AA577" s="253"/>
      <c r="AB577" s="253"/>
      <c r="AC577" s="253"/>
      <c r="AD577" s="253"/>
    </row>
    <row r="578">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c r="AA578" s="253"/>
      <c r="AB578" s="253"/>
      <c r="AC578" s="253"/>
      <c r="AD578" s="253"/>
    </row>
    <row r="579">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c r="AA579" s="253"/>
      <c r="AB579" s="253"/>
      <c r="AC579" s="253"/>
      <c r="AD579" s="253"/>
    </row>
    <row r="580">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c r="AA580" s="253"/>
      <c r="AB580" s="253"/>
      <c r="AC580" s="253"/>
      <c r="AD580" s="253"/>
    </row>
    <row r="581">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c r="AA581" s="253"/>
      <c r="AB581" s="253"/>
      <c r="AC581" s="253"/>
      <c r="AD581" s="253"/>
    </row>
    <row r="582">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c r="AA582" s="253"/>
      <c r="AB582" s="253"/>
      <c r="AC582" s="253"/>
      <c r="AD582" s="253"/>
    </row>
    <row r="583">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c r="AA583" s="253"/>
      <c r="AB583" s="253"/>
      <c r="AC583" s="253"/>
      <c r="AD583" s="253"/>
    </row>
    <row r="584">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c r="AA584" s="253"/>
      <c r="AB584" s="253"/>
      <c r="AC584" s="253"/>
      <c r="AD584" s="253"/>
    </row>
    <row r="58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c r="AA585" s="253"/>
      <c r="AB585" s="253"/>
      <c r="AC585" s="253"/>
      <c r="AD585" s="253"/>
    </row>
    <row r="586">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c r="AA586" s="253"/>
      <c r="AB586" s="253"/>
      <c r="AC586" s="253"/>
      <c r="AD586" s="253"/>
    </row>
    <row r="587">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c r="AA587" s="253"/>
      <c r="AB587" s="253"/>
      <c r="AC587" s="253"/>
      <c r="AD587" s="253"/>
    </row>
    <row r="588">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c r="AA588" s="253"/>
      <c r="AB588" s="253"/>
      <c r="AC588" s="253"/>
      <c r="AD588" s="253"/>
    </row>
    <row r="589">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c r="AA589" s="253"/>
      <c r="AB589" s="253"/>
      <c r="AC589" s="253"/>
      <c r="AD589" s="253"/>
    </row>
    <row r="590">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c r="AA590" s="253"/>
      <c r="AB590" s="253"/>
      <c r="AC590" s="253"/>
      <c r="AD590" s="253"/>
    </row>
    <row r="591">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c r="AA591" s="253"/>
      <c r="AB591" s="253"/>
      <c r="AC591" s="253"/>
      <c r="AD591" s="253"/>
    </row>
    <row r="592">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c r="AA592" s="253"/>
      <c r="AB592" s="253"/>
      <c r="AC592" s="253"/>
      <c r="AD592" s="253"/>
    </row>
    <row r="593">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c r="AA593" s="253"/>
      <c r="AB593" s="253"/>
      <c r="AC593" s="253"/>
      <c r="AD593" s="253"/>
    </row>
    <row r="594">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c r="AA594" s="253"/>
      <c r="AB594" s="253"/>
      <c r="AC594" s="253"/>
      <c r="AD594" s="253"/>
    </row>
    <row r="59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c r="AA595" s="253"/>
      <c r="AB595" s="253"/>
      <c r="AC595" s="253"/>
      <c r="AD595" s="253"/>
    </row>
    <row r="596">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c r="AA596" s="253"/>
      <c r="AB596" s="253"/>
      <c r="AC596" s="253"/>
      <c r="AD596" s="253"/>
    </row>
    <row r="597">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c r="AA597" s="253"/>
      <c r="AB597" s="253"/>
      <c r="AC597" s="253"/>
      <c r="AD597" s="253"/>
    </row>
    <row r="598">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c r="AA598" s="253"/>
      <c r="AB598" s="253"/>
      <c r="AC598" s="253"/>
      <c r="AD598" s="253"/>
    </row>
    <row r="599">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c r="AA599" s="253"/>
      <c r="AB599" s="253"/>
      <c r="AC599" s="253"/>
      <c r="AD599" s="253"/>
    </row>
    <row r="600">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c r="AA600" s="253"/>
      <c r="AB600" s="253"/>
      <c r="AC600" s="253"/>
      <c r="AD600" s="253"/>
    </row>
    <row r="601">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c r="AA601" s="253"/>
      <c r="AB601" s="253"/>
      <c r="AC601" s="253"/>
      <c r="AD601" s="253"/>
    </row>
    <row r="602">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c r="AA602" s="253"/>
      <c r="AB602" s="253"/>
      <c r="AC602" s="253"/>
      <c r="AD602" s="253"/>
    </row>
    <row r="603">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c r="AA603" s="253"/>
      <c r="AB603" s="253"/>
      <c r="AC603" s="253"/>
      <c r="AD603" s="253"/>
    </row>
    <row r="604">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c r="AA604" s="253"/>
      <c r="AB604" s="253"/>
      <c r="AC604" s="253"/>
      <c r="AD604" s="253"/>
    </row>
    <row r="60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c r="AA605" s="253"/>
      <c r="AB605" s="253"/>
      <c r="AC605" s="253"/>
      <c r="AD605" s="253"/>
    </row>
    <row r="606">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c r="AA606" s="253"/>
      <c r="AB606" s="253"/>
      <c r="AC606" s="253"/>
      <c r="AD606" s="253"/>
    </row>
    <row r="607">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c r="AA607" s="253"/>
      <c r="AB607" s="253"/>
      <c r="AC607" s="253"/>
      <c r="AD607" s="253"/>
    </row>
    <row r="608">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c r="AA608" s="253"/>
      <c r="AB608" s="253"/>
      <c r="AC608" s="253"/>
      <c r="AD608" s="253"/>
    </row>
    <row r="609">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c r="AA609" s="253"/>
      <c r="AB609" s="253"/>
      <c r="AC609" s="253"/>
      <c r="AD609" s="253"/>
    </row>
    <row r="610">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c r="AA610" s="253"/>
      <c r="AB610" s="253"/>
      <c r="AC610" s="253"/>
      <c r="AD610" s="253"/>
    </row>
    <row r="611">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c r="AA611" s="253"/>
      <c r="AB611" s="253"/>
      <c r="AC611" s="253"/>
      <c r="AD611" s="253"/>
    </row>
    <row r="612">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c r="AA612" s="253"/>
      <c r="AB612" s="253"/>
      <c r="AC612" s="253"/>
      <c r="AD612" s="253"/>
    </row>
    <row r="613">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c r="AA613" s="253"/>
      <c r="AB613" s="253"/>
      <c r="AC613" s="253"/>
      <c r="AD613" s="253"/>
    </row>
    <row r="614">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c r="AA614" s="253"/>
      <c r="AB614" s="253"/>
      <c r="AC614" s="253"/>
      <c r="AD614" s="253"/>
    </row>
    <row r="6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c r="AA615" s="253"/>
      <c r="AB615" s="253"/>
      <c r="AC615" s="253"/>
      <c r="AD615" s="253"/>
    </row>
    <row r="616">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c r="AA616" s="253"/>
      <c r="AB616" s="253"/>
      <c r="AC616" s="253"/>
      <c r="AD616" s="253"/>
    </row>
    <row r="617">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c r="AA617" s="253"/>
      <c r="AB617" s="253"/>
      <c r="AC617" s="253"/>
      <c r="AD617" s="253"/>
    </row>
    <row r="618">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c r="AA618" s="253"/>
      <c r="AB618" s="253"/>
      <c r="AC618" s="253"/>
      <c r="AD618" s="253"/>
    </row>
    <row r="619">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c r="AA619" s="253"/>
      <c r="AB619" s="253"/>
      <c r="AC619" s="253"/>
      <c r="AD619" s="253"/>
    </row>
    <row r="620">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c r="AA620" s="253"/>
      <c r="AB620" s="253"/>
      <c r="AC620" s="253"/>
      <c r="AD620" s="253"/>
    </row>
    <row r="621">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c r="AA621" s="253"/>
      <c r="AB621" s="253"/>
      <c r="AC621" s="253"/>
      <c r="AD621" s="253"/>
    </row>
    <row r="622">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c r="AA622" s="253"/>
      <c r="AB622" s="253"/>
      <c r="AC622" s="253"/>
      <c r="AD622" s="253"/>
    </row>
    <row r="623">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c r="AA623" s="253"/>
      <c r="AB623" s="253"/>
      <c r="AC623" s="253"/>
      <c r="AD623" s="253"/>
    </row>
    <row r="624">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c r="AA624" s="253"/>
      <c r="AB624" s="253"/>
      <c r="AC624" s="253"/>
      <c r="AD624" s="253"/>
    </row>
    <row r="62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c r="AA625" s="253"/>
      <c r="AB625" s="253"/>
      <c r="AC625" s="253"/>
      <c r="AD625" s="253"/>
    </row>
    <row r="626">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c r="AA626" s="253"/>
      <c r="AB626" s="253"/>
      <c r="AC626" s="253"/>
      <c r="AD626" s="253"/>
    </row>
    <row r="627">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c r="AA627" s="253"/>
      <c r="AB627" s="253"/>
      <c r="AC627" s="253"/>
      <c r="AD627" s="253"/>
    </row>
    <row r="628">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c r="AA628" s="253"/>
      <c r="AB628" s="253"/>
      <c r="AC628" s="253"/>
      <c r="AD628" s="253"/>
    </row>
    <row r="629">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c r="AA629" s="253"/>
      <c r="AB629" s="253"/>
      <c r="AC629" s="253"/>
      <c r="AD629" s="253"/>
    </row>
    <row r="630">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c r="AA630" s="253"/>
      <c r="AB630" s="253"/>
      <c r="AC630" s="253"/>
      <c r="AD630" s="253"/>
    </row>
    <row r="631">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c r="AA631" s="253"/>
      <c r="AB631" s="253"/>
      <c r="AC631" s="253"/>
      <c r="AD631" s="253"/>
    </row>
    <row r="632">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c r="AA632" s="253"/>
      <c r="AB632" s="253"/>
      <c r="AC632" s="253"/>
      <c r="AD632" s="253"/>
    </row>
    <row r="633">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c r="AA633" s="253"/>
      <c r="AB633" s="253"/>
      <c r="AC633" s="253"/>
      <c r="AD633" s="253"/>
    </row>
    <row r="634">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c r="AA634" s="253"/>
      <c r="AB634" s="253"/>
      <c r="AC634" s="253"/>
      <c r="AD634" s="253"/>
    </row>
    <row r="63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c r="AA635" s="253"/>
      <c r="AB635" s="253"/>
      <c r="AC635" s="253"/>
      <c r="AD635" s="253"/>
    </row>
    <row r="636">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c r="AA636" s="253"/>
      <c r="AB636" s="253"/>
      <c r="AC636" s="253"/>
      <c r="AD636" s="253"/>
    </row>
    <row r="637">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c r="AA637" s="253"/>
      <c r="AB637" s="253"/>
      <c r="AC637" s="253"/>
      <c r="AD637" s="253"/>
    </row>
    <row r="638">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c r="AA638" s="253"/>
      <c r="AB638" s="253"/>
      <c r="AC638" s="253"/>
      <c r="AD638" s="253"/>
    </row>
    <row r="639">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c r="AA639" s="253"/>
      <c r="AB639" s="253"/>
      <c r="AC639" s="253"/>
      <c r="AD639" s="253"/>
    </row>
    <row r="640">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c r="AA640" s="253"/>
      <c r="AB640" s="253"/>
      <c r="AC640" s="253"/>
      <c r="AD640" s="253"/>
    </row>
    <row r="641">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c r="AA641" s="253"/>
      <c r="AB641" s="253"/>
      <c r="AC641" s="253"/>
      <c r="AD641" s="253"/>
    </row>
    <row r="642">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c r="AA642" s="253"/>
      <c r="AB642" s="253"/>
      <c r="AC642" s="253"/>
      <c r="AD642" s="253"/>
    </row>
    <row r="643">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c r="AA643" s="253"/>
      <c r="AB643" s="253"/>
      <c r="AC643" s="253"/>
      <c r="AD643" s="253"/>
    </row>
    <row r="644">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c r="AA644" s="253"/>
      <c r="AB644" s="253"/>
      <c r="AC644" s="253"/>
      <c r="AD644" s="253"/>
    </row>
    <row r="64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c r="AA645" s="253"/>
      <c r="AB645" s="253"/>
      <c r="AC645" s="253"/>
      <c r="AD645" s="253"/>
    </row>
    <row r="646">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c r="AA646" s="253"/>
      <c r="AB646" s="253"/>
      <c r="AC646" s="253"/>
      <c r="AD646" s="253"/>
    </row>
    <row r="647">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c r="AA647" s="253"/>
      <c r="AB647" s="253"/>
      <c r="AC647" s="253"/>
      <c r="AD647" s="253"/>
    </row>
    <row r="648">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c r="AA648" s="253"/>
      <c r="AB648" s="253"/>
      <c r="AC648" s="253"/>
      <c r="AD648" s="253"/>
    </row>
    <row r="649">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c r="AA649" s="253"/>
      <c r="AB649" s="253"/>
      <c r="AC649" s="253"/>
      <c r="AD649" s="253"/>
    </row>
    <row r="650">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c r="AA650" s="253"/>
      <c r="AB650" s="253"/>
      <c r="AC650" s="253"/>
      <c r="AD650" s="253"/>
    </row>
    <row r="651">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c r="AA651" s="253"/>
      <c r="AB651" s="253"/>
      <c r="AC651" s="253"/>
      <c r="AD651" s="253"/>
    </row>
    <row r="652">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c r="AA652" s="253"/>
      <c r="AB652" s="253"/>
      <c r="AC652" s="253"/>
      <c r="AD652" s="253"/>
    </row>
    <row r="653">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c r="AA653" s="253"/>
      <c r="AB653" s="253"/>
      <c r="AC653" s="253"/>
      <c r="AD653" s="253"/>
    </row>
    <row r="654">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c r="AA654" s="253"/>
      <c r="AB654" s="253"/>
      <c r="AC654" s="253"/>
      <c r="AD654" s="253"/>
    </row>
    <row r="65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c r="AA655" s="253"/>
      <c r="AB655" s="253"/>
      <c r="AC655" s="253"/>
      <c r="AD655" s="253"/>
    </row>
    <row r="656">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c r="AA656" s="253"/>
      <c r="AB656" s="253"/>
      <c r="AC656" s="253"/>
      <c r="AD656" s="253"/>
    </row>
    <row r="657">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c r="AA657" s="253"/>
      <c r="AB657" s="253"/>
      <c r="AC657" s="253"/>
      <c r="AD657" s="253"/>
    </row>
    <row r="658">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c r="AA658" s="253"/>
      <c r="AB658" s="253"/>
      <c r="AC658" s="253"/>
      <c r="AD658" s="253"/>
    </row>
    <row r="659">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c r="AA659" s="253"/>
      <c r="AB659" s="253"/>
      <c r="AC659" s="253"/>
      <c r="AD659" s="253"/>
    </row>
    <row r="660">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c r="AA660" s="253"/>
      <c r="AB660" s="253"/>
      <c r="AC660" s="253"/>
      <c r="AD660" s="253"/>
    </row>
    <row r="661">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c r="AA661" s="253"/>
      <c r="AB661" s="253"/>
      <c r="AC661" s="253"/>
      <c r="AD661" s="253"/>
    </row>
    <row r="662">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c r="AA662" s="253"/>
      <c r="AB662" s="253"/>
      <c r="AC662" s="253"/>
      <c r="AD662" s="253"/>
    </row>
    <row r="663">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c r="AA663" s="253"/>
      <c r="AB663" s="253"/>
      <c r="AC663" s="253"/>
      <c r="AD663" s="253"/>
    </row>
    <row r="664">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c r="AA664" s="253"/>
      <c r="AB664" s="253"/>
      <c r="AC664" s="253"/>
      <c r="AD664" s="253"/>
    </row>
    <row r="66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c r="AA665" s="253"/>
      <c r="AB665" s="253"/>
      <c r="AC665" s="253"/>
      <c r="AD665" s="253"/>
    </row>
    <row r="666">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c r="AA666" s="253"/>
      <c r="AB666" s="253"/>
      <c r="AC666" s="253"/>
      <c r="AD666" s="253"/>
    </row>
    <row r="667">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c r="AA667" s="253"/>
      <c r="AB667" s="253"/>
      <c r="AC667" s="253"/>
      <c r="AD667" s="253"/>
    </row>
    <row r="668">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c r="AA668" s="253"/>
      <c r="AB668" s="253"/>
      <c r="AC668" s="253"/>
      <c r="AD668" s="253"/>
    </row>
    <row r="669">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c r="AA669" s="253"/>
      <c r="AB669" s="253"/>
      <c r="AC669" s="253"/>
      <c r="AD669" s="253"/>
    </row>
    <row r="670">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c r="AA670" s="253"/>
      <c r="AB670" s="253"/>
      <c r="AC670" s="253"/>
      <c r="AD670" s="253"/>
    </row>
    <row r="671">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c r="AA671" s="253"/>
      <c r="AB671" s="253"/>
      <c r="AC671" s="253"/>
      <c r="AD671" s="253"/>
    </row>
    <row r="672">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c r="AA672" s="253"/>
      <c r="AB672" s="253"/>
      <c r="AC672" s="253"/>
      <c r="AD672" s="253"/>
    </row>
    <row r="673">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c r="AA673" s="253"/>
      <c r="AB673" s="253"/>
      <c r="AC673" s="253"/>
      <c r="AD673" s="253"/>
    </row>
    <row r="674">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c r="AA674" s="253"/>
      <c r="AB674" s="253"/>
      <c r="AC674" s="253"/>
      <c r="AD674" s="253"/>
    </row>
    <row r="67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c r="AA675" s="253"/>
      <c r="AB675" s="253"/>
      <c r="AC675" s="253"/>
      <c r="AD675" s="253"/>
    </row>
    <row r="676">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c r="AA676" s="253"/>
      <c r="AB676" s="253"/>
      <c r="AC676" s="253"/>
      <c r="AD676" s="253"/>
    </row>
    <row r="677">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c r="AA677" s="253"/>
      <c r="AB677" s="253"/>
      <c r="AC677" s="253"/>
      <c r="AD677" s="253"/>
    </row>
    <row r="678">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c r="AA678" s="253"/>
      <c r="AB678" s="253"/>
      <c r="AC678" s="253"/>
      <c r="AD678" s="253"/>
    </row>
    <row r="679">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c r="AA679" s="253"/>
      <c r="AB679" s="253"/>
      <c r="AC679" s="253"/>
      <c r="AD679" s="253"/>
    </row>
    <row r="680">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c r="AA680" s="253"/>
      <c r="AB680" s="253"/>
      <c r="AC680" s="253"/>
      <c r="AD680" s="253"/>
    </row>
    <row r="681">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c r="AA681" s="253"/>
      <c r="AB681" s="253"/>
      <c r="AC681" s="253"/>
      <c r="AD681" s="253"/>
    </row>
    <row r="682">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c r="AA682" s="253"/>
      <c r="AB682" s="253"/>
      <c r="AC682" s="253"/>
      <c r="AD682" s="253"/>
    </row>
    <row r="683">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c r="AA683" s="253"/>
      <c r="AB683" s="253"/>
      <c r="AC683" s="253"/>
      <c r="AD683" s="253"/>
    </row>
    <row r="684">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c r="AA684" s="253"/>
      <c r="AB684" s="253"/>
      <c r="AC684" s="253"/>
      <c r="AD684" s="253"/>
    </row>
    <row r="68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c r="AA685" s="253"/>
      <c r="AB685" s="253"/>
      <c r="AC685" s="253"/>
      <c r="AD685" s="253"/>
    </row>
    <row r="686">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c r="AA686" s="253"/>
      <c r="AB686" s="253"/>
      <c r="AC686" s="253"/>
      <c r="AD686" s="253"/>
    </row>
    <row r="687">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c r="AA687" s="253"/>
      <c r="AB687" s="253"/>
      <c r="AC687" s="253"/>
      <c r="AD687" s="253"/>
    </row>
    <row r="688">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c r="AA688" s="253"/>
      <c r="AB688" s="253"/>
      <c r="AC688" s="253"/>
      <c r="AD688" s="253"/>
    </row>
    <row r="689">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c r="AA689" s="253"/>
      <c r="AB689" s="253"/>
      <c r="AC689" s="253"/>
      <c r="AD689" s="253"/>
    </row>
    <row r="690">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c r="AA690" s="253"/>
      <c r="AB690" s="253"/>
      <c r="AC690" s="253"/>
      <c r="AD690" s="253"/>
    </row>
    <row r="691">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c r="AA691" s="253"/>
      <c r="AB691" s="253"/>
      <c r="AC691" s="253"/>
      <c r="AD691" s="253"/>
    </row>
    <row r="692">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c r="AA692" s="253"/>
      <c r="AB692" s="253"/>
      <c r="AC692" s="253"/>
      <c r="AD692" s="253"/>
    </row>
    <row r="693">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c r="AA693" s="253"/>
      <c r="AB693" s="253"/>
      <c r="AC693" s="253"/>
      <c r="AD693" s="253"/>
    </row>
    <row r="694">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c r="AA694" s="253"/>
      <c r="AB694" s="253"/>
      <c r="AC694" s="253"/>
      <c r="AD694" s="253"/>
    </row>
    <row r="69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c r="AA695" s="253"/>
      <c r="AB695" s="253"/>
      <c r="AC695" s="253"/>
      <c r="AD695" s="253"/>
    </row>
    <row r="696">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c r="AA696" s="253"/>
      <c r="AB696" s="253"/>
      <c r="AC696" s="253"/>
      <c r="AD696" s="253"/>
    </row>
    <row r="697">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c r="AA697" s="253"/>
      <c r="AB697" s="253"/>
      <c r="AC697" s="253"/>
      <c r="AD697" s="253"/>
    </row>
    <row r="698">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c r="AA698" s="253"/>
      <c r="AB698" s="253"/>
      <c r="AC698" s="253"/>
      <c r="AD698" s="253"/>
    </row>
    <row r="699">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c r="AA699" s="253"/>
      <c r="AB699" s="253"/>
      <c r="AC699" s="253"/>
      <c r="AD699" s="253"/>
    </row>
    <row r="700">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c r="AA700" s="253"/>
      <c r="AB700" s="253"/>
      <c r="AC700" s="253"/>
      <c r="AD700" s="253"/>
    </row>
    <row r="701">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c r="AA701" s="253"/>
      <c r="AB701" s="253"/>
      <c r="AC701" s="253"/>
      <c r="AD701" s="253"/>
    </row>
    <row r="702">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c r="AA702" s="253"/>
      <c r="AB702" s="253"/>
      <c r="AC702" s="253"/>
      <c r="AD702" s="253"/>
    </row>
    <row r="703">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c r="AA703" s="253"/>
      <c r="AB703" s="253"/>
      <c r="AC703" s="253"/>
      <c r="AD703" s="253"/>
    </row>
    <row r="704">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c r="AA704" s="253"/>
      <c r="AB704" s="253"/>
      <c r="AC704" s="253"/>
      <c r="AD704" s="253"/>
    </row>
    <row r="70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c r="AA705" s="253"/>
      <c r="AB705" s="253"/>
      <c r="AC705" s="253"/>
      <c r="AD705" s="253"/>
    </row>
    <row r="706">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c r="AA706" s="253"/>
      <c r="AB706" s="253"/>
      <c r="AC706" s="253"/>
      <c r="AD706" s="253"/>
    </row>
    <row r="707">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c r="AA707" s="253"/>
      <c r="AB707" s="253"/>
      <c r="AC707" s="253"/>
      <c r="AD707" s="253"/>
    </row>
    <row r="708">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c r="AA708" s="253"/>
      <c r="AB708" s="253"/>
      <c r="AC708" s="253"/>
      <c r="AD708" s="253"/>
    </row>
    <row r="709">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c r="AA709" s="253"/>
      <c r="AB709" s="253"/>
      <c r="AC709" s="253"/>
      <c r="AD709" s="253"/>
    </row>
    <row r="710">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c r="AA710" s="253"/>
      <c r="AB710" s="253"/>
      <c r="AC710" s="253"/>
      <c r="AD710" s="253"/>
    </row>
    <row r="711">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c r="AA711" s="253"/>
      <c r="AB711" s="253"/>
      <c r="AC711" s="253"/>
      <c r="AD711" s="253"/>
    </row>
    <row r="712">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c r="AA712" s="253"/>
      <c r="AB712" s="253"/>
      <c r="AC712" s="253"/>
      <c r="AD712" s="253"/>
    </row>
    <row r="713">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c r="AA713" s="253"/>
      <c r="AB713" s="253"/>
      <c r="AC713" s="253"/>
      <c r="AD713" s="253"/>
    </row>
    <row r="714">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c r="AA714" s="253"/>
      <c r="AB714" s="253"/>
      <c r="AC714" s="253"/>
      <c r="AD714" s="253"/>
    </row>
    <row r="7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c r="AA715" s="253"/>
      <c r="AB715" s="253"/>
      <c r="AC715" s="253"/>
      <c r="AD715" s="253"/>
    </row>
    <row r="716">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c r="AA716" s="253"/>
      <c r="AB716" s="253"/>
      <c r="AC716" s="253"/>
      <c r="AD716" s="253"/>
    </row>
    <row r="717">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c r="AA717" s="253"/>
      <c r="AB717" s="253"/>
      <c r="AC717" s="253"/>
      <c r="AD717" s="253"/>
    </row>
    <row r="718">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c r="AA718" s="253"/>
      <c r="AB718" s="253"/>
      <c r="AC718" s="253"/>
      <c r="AD718" s="253"/>
    </row>
    <row r="719">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c r="AA719" s="253"/>
      <c r="AB719" s="253"/>
      <c r="AC719" s="253"/>
      <c r="AD719" s="253"/>
    </row>
    <row r="720">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c r="AA720" s="253"/>
      <c r="AB720" s="253"/>
      <c r="AC720" s="253"/>
      <c r="AD720" s="253"/>
    </row>
    <row r="721">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c r="AA721" s="253"/>
      <c r="AB721" s="253"/>
      <c r="AC721" s="253"/>
      <c r="AD721" s="253"/>
    </row>
    <row r="722">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c r="AA722" s="253"/>
      <c r="AB722" s="253"/>
      <c r="AC722" s="253"/>
      <c r="AD722" s="253"/>
    </row>
    <row r="723">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c r="AA723" s="253"/>
      <c r="AB723" s="253"/>
      <c r="AC723" s="253"/>
      <c r="AD723" s="253"/>
    </row>
    <row r="724">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c r="AA724" s="253"/>
      <c r="AB724" s="253"/>
      <c r="AC724" s="253"/>
      <c r="AD724" s="253"/>
    </row>
    <row r="72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c r="AA725" s="253"/>
      <c r="AB725" s="253"/>
      <c r="AC725" s="253"/>
      <c r="AD725" s="253"/>
    </row>
    <row r="726">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c r="AA726" s="253"/>
      <c r="AB726" s="253"/>
      <c r="AC726" s="253"/>
      <c r="AD726" s="253"/>
    </row>
    <row r="727">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c r="AA727" s="253"/>
      <c r="AB727" s="253"/>
      <c r="AC727" s="253"/>
      <c r="AD727" s="253"/>
    </row>
    <row r="728">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c r="AA728" s="253"/>
      <c r="AB728" s="253"/>
      <c r="AC728" s="253"/>
      <c r="AD728" s="253"/>
    </row>
    <row r="729">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c r="AA729" s="253"/>
      <c r="AB729" s="253"/>
      <c r="AC729" s="253"/>
      <c r="AD729" s="253"/>
    </row>
    <row r="730">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c r="AA730" s="253"/>
      <c r="AB730" s="253"/>
      <c r="AC730" s="253"/>
      <c r="AD730" s="253"/>
    </row>
    <row r="731">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c r="AA731" s="253"/>
      <c r="AB731" s="253"/>
      <c r="AC731" s="253"/>
      <c r="AD731" s="253"/>
    </row>
    <row r="732">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c r="AA732" s="253"/>
      <c r="AB732" s="253"/>
      <c r="AC732" s="253"/>
      <c r="AD732" s="253"/>
    </row>
    <row r="733">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c r="AA733" s="253"/>
      <c r="AB733" s="253"/>
      <c r="AC733" s="253"/>
      <c r="AD733" s="253"/>
    </row>
    <row r="734">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c r="AA734" s="253"/>
      <c r="AB734" s="253"/>
      <c r="AC734" s="253"/>
      <c r="AD734" s="253"/>
    </row>
    <row r="73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c r="AA735" s="253"/>
      <c r="AB735" s="253"/>
      <c r="AC735" s="253"/>
      <c r="AD735" s="253"/>
    </row>
    <row r="736">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c r="AA736" s="253"/>
      <c r="AB736" s="253"/>
      <c r="AC736" s="253"/>
      <c r="AD736" s="253"/>
    </row>
    <row r="737">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c r="AA737" s="253"/>
      <c r="AB737" s="253"/>
      <c r="AC737" s="253"/>
      <c r="AD737" s="253"/>
    </row>
    <row r="738">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c r="AA738" s="253"/>
      <c r="AB738" s="253"/>
      <c r="AC738" s="253"/>
      <c r="AD738" s="253"/>
    </row>
    <row r="739">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c r="AA739" s="253"/>
      <c r="AB739" s="253"/>
      <c r="AC739" s="253"/>
      <c r="AD739" s="253"/>
    </row>
    <row r="740">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c r="AA740" s="253"/>
      <c r="AB740" s="253"/>
      <c r="AC740" s="253"/>
      <c r="AD740" s="253"/>
    </row>
    <row r="741">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c r="AA741" s="253"/>
      <c r="AB741" s="253"/>
      <c r="AC741" s="253"/>
      <c r="AD741" s="253"/>
    </row>
    <row r="742">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c r="AA742" s="253"/>
      <c r="AB742" s="253"/>
      <c r="AC742" s="253"/>
      <c r="AD742" s="253"/>
    </row>
    <row r="743">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c r="AA743" s="253"/>
      <c r="AB743" s="253"/>
      <c r="AC743" s="253"/>
      <c r="AD743" s="253"/>
    </row>
    <row r="744">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c r="AA744" s="253"/>
      <c r="AB744" s="253"/>
      <c r="AC744" s="253"/>
      <c r="AD744" s="253"/>
    </row>
    <row r="74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c r="AA745" s="253"/>
      <c r="AB745" s="253"/>
      <c r="AC745" s="253"/>
      <c r="AD745" s="253"/>
    </row>
    <row r="746">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c r="AA746" s="253"/>
      <c r="AB746" s="253"/>
      <c r="AC746" s="253"/>
      <c r="AD746" s="253"/>
    </row>
    <row r="747">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c r="AA747" s="253"/>
      <c r="AB747" s="253"/>
      <c r="AC747" s="253"/>
      <c r="AD747" s="253"/>
    </row>
    <row r="748">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c r="AA748" s="253"/>
      <c r="AB748" s="253"/>
      <c r="AC748" s="253"/>
      <c r="AD748" s="253"/>
    </row>
    <row r="749">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c r="AA749" s="253"/>
      <c r="AB749" s="253"/>
      <c r="AC749" s="253"/>
      <c r="AD749" s="253"/>
    </row>
    <row r="750">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c r="AA750" s="253"/>
      <c r="AB750" s="253"/>
      <c r="AC750" s="253"/>
      <c r="AD750" s="253"/>
    </row>
    <row r="751">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c r="AA751" s="253"/>
      <c r="AB751" s="253"/>
      <c r="AC751" s="253"/>
      <c r="AD751" s="253"/>
    </row>
    <row r="752">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c r="AA752" s="253"/>
      <c r="AB752" s="253"/>
      <c r="AC752" s="253"/>
      <c r="AD752" s="253"/>
    </row>
    <row r="753">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c r="AA753" s="253"/>
      <c r="AB753" s="253"/>
      <c r="AC753" s="253"/>
      <c r="AD753" s="253"/>
    </row>
    <row r="754">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c r="AA754" s="253"/>
      <c r="AB754" s="253"/>
      <c r="AC754" s="253"/>
      <c r="AD754" s="253"/>
    </row>
    <row r="75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c r="AA755" s="253"/>
      <c r="AB755" s="253"/>
      <c r="AC755" s="253"/>
      <c r="AD755" s="253"/>
    </row>
    <row r="756">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c r="AA756" s="253"/>
      <c r="AB756" s="253"/>
      <c r="AC756" s="253"/>
      <c r="AD756" s="253"/>
    </row>
    <row r="757">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c r="AA757" s="253"/>
      <c r="AB757" s="253"/>
      <c r="AC757" s="253"/>
      <c r="AD757" s="253"/>
    </row>
    <row r="758">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c r="AA758" s="253"/>
      <c r="AB758" s="253"/>
      <c r="AC758" s="253"/>
      <c r="AD758" s="253"/>
    </row>
    <row r="759">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c r="AA759" s="253"/>
      <c r="AB759" s="253"/>
      <c r="AC759" s="253"/>
      <c r="AD759" s="253"/>
    </row>
    <row r="760">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c r="AA760" s="253"/>
      <c r="AB760" s="253"/>
      <c r="AC760" s="253"/>
      <c r="AD760" s="253"/>
    </row>
    <row r="761">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c r="AA761" s="253"/>
      <c r="AB761" s="253"/>
      <c r="AC761" s="253"/>
      <c r="AD761" s="253"/>
    </row>
    <row r="762">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c r="AA762" s="253"/>
      <c r="AB762" s="253"/>
      <c r="AC762" s="253"/>
      <c r="AD762" s="253"/>
    </row>
    <row r="763">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c r="AA763" s="253"/>
      <c r="AB763" s="253"/>
      <c r="AC763" s="253"/>
      <c r="AD763" s="253"/>
    </row>
    <row r="764">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c r="AA764" s="253"/>
      <c r="AB764" s="253"/>
      <c r="AC764" s="253"/>
      <c r="AD764" s="253"/>
    </row>
    <row r="76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c r="AA765" s="253"/>
      <c r="AB765" s="253"/>
      <c r="AC765" s="253"/>
      <c r="AD765" s="253"/>
    </row>
    <row r="766">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c r="AA766" s="253"/>
      <c r="AB766" s="253"/>
      <c r="AC766" s="253"/>
      <c r="AD766" s="253"/>
    </row>
    <row r="767">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c r="AA767" s="253"/>
      <c r="AB767" s="253"/>
      <c r="AC767" s="253"/>
      <c r="AD767" s="253"/>
    </row>
    <row r="768">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c r="AA768" s="253"/>
      <c r="AB768" s="253"/>
      <c r="AC768" s="253"/>
      <c r="AD768" s="253"/>
    </row>
    <row r="769">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c r="AA769" s="253"/>
      <c r="AB769" s="253"/>
      <c r="AC769" s="253"/>
      <c r="AD769" s="253"/>
    </row>
    <row r="770">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c r="AA770" s="253"/>
      <c r="AB770" s="253"/>
      <c r="AC770" s="253"/>
      <c r="AD770" s="253"/>
    </row>
    <row r="771">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c r="AA771" s="253"/>
      <c r="AB771" s="253"/>
      <c r="AC771" s="253"/>
      <c r="AD771" s="253"/>
    </row>
    <row r="772">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c r="AA772" s="253"/>
      <c r="AB772" s="253"/>
      <c r="AC772" s="253"/>
      <c r="AD772" s="253"/>
    </row>
    <row r="773">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c r="AA773" s="253"/>
      <c r="AB773" s="253"/>
      <c r="AC773" s="253"/>
      <c r="AD773" s="253"/>
    </row>
    <row r="774">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c r="AA774" s="253"/>
      <c r="AB774" s="253"/>
      <c r="AC774" s="253"/>
      <c r="AD774" s="253"/>
    </row>
    <row r="77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c r="AA775" s="253"/>
      <c r="AB775" s="253"/>
      <c r="AC775" s="253"/>
      <c r="AD775" s="253"/>
    </row>
    <row r="776">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c r="AA776" s="253"/>
      <c r="AB776" s="253"/>
      <c r="AC776" s="253"/>
      <c r="AD776" s="253"/>
    </row>
    <row r="777">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c r="AA777" s="253"/>
      <c r="AB777" s="253"/>
      <c r="AC777" s="253"/>
      <c r="AD777" s="253"/>
    </row>
    <row r="778">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c r="AA778" s="253"/>
      <c r="AB778" s="253"/>
      <c r="AC778" s="253"/>
      <c r="AD778" s="253"/>
    </row>
    <row r="779">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c r="AA779" s="253"/>
      <c r="AB779" s="253"/>
      <c r="AC779" s="253"/>
      <c r="AD779" s="253"/>
    </row>
    <row r="780">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c r="AA780" s="253"/>
      <c r="AB780" s="253"/>
      <c r="AC780" s="253"/>
      <c r="AD780" s="253"/>
    </row>
    <row r="781">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c r="AA781" s="253"/>
      <c r="AB781" s="253"/>
      <c r="AC781" s="253"/>
      <c r="AD781" s="253"/>
    </row>
    <row r="782">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c r="AA782" s="253"/>
      <c r="AB782" s="253"/>
      <c r="AC782" s="253"/>
      <c r="AD782" s="253"/>
    </row>
    <row r="783">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c r="AA783" s="253"/>
      <c r="AB783" s="253"/>
      <c r="AC783" s="253"/>
      <c r="AD783" s="253"/>
    </row>
    <row r="784">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c r="AA784" s="253"/>
      <c r="AB784" s="253"/>
      <c r="AC784" s="253"/>
      <c r="AD784" s="253"/>
    </row>
    <row r="78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c r="AA785" s="253"/>
      <c r="AB785" s="253"/>
      <c r="AC785" s="253"/>
      <c r="AD785" s="253"/>
    </row>
    <row r="786">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c r="AA786" s="253"/>
      <c r="AB786" s="253"/>
      <c r="AC786" s="253"/>
      <c r="AD786" s="253"/>
    </row>
    <row r="787">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c r="AA787" s="253"/>
      <c r="AB787" s="253"/>
      <c r="AC787" s="253"/>
      <c r="AD787" s="253"/>
    </row>
    <row r="788">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c r="AA788" s="253"/>
      <c r="AB788" s="253"/>
      <c r="AC788" s="253"/>
      <c r="AD788" s="253"/>
    </row>
    <row r="789">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c r="AA789" s="253"/>
      <c r="AB789" s="253"/>
      <c r="AC789" s="253"/>
      <c r="AD789" s="253"/>
    </row>
    <row r="790">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c r="AA790" s="253"/>
      <c r="AB790" s="253"/>
      <c r="AC790" s="253"/>
      <c r="AD790" s="253"/>
    </row>
    <row r="791">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c r="AA791" s="253"/>
      <c r="AB791" s="253"/>
      <c r="AC791" s="253"/>
      <c r="AD791" s="253"/>
    </row>
    <row r="792">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c r="AA792" s="253"/>
      <c r="AB792" s="253"/>
      <c r="AC792" s="253"/>
      <c r="AD792" s="253"/>
    </row>
    <row r="793">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c r="AA793" s="253"/>
      <c r="AB793" s="253"/>
      <c r="AC793" s="253"/>
      <c r="AD793" s="253"/>
    </row>
    <row r="794">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c r="AA794" s="253"/>
      <c r="AB794" s="253"/>
      <c r="AC794" s="253"/>
      <c r="AD794" s="253"/>
    </row>
    <row r="79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c r="AA795" s="253"/>
      <c r="AB795" s="253"/>
      <c r="AC795" s="253"/>
      <c r="AD795" s="253"/>
    </row>
    <row r="796">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c r="AA796" s="253"/>
      <c r="AB796" s="253"/>
      <c r="AC796" s="253"/>
      <c r="AD796" s="253"/>
    </row>
    <row r="797">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c r="AA797" s="253"/>
      <c r="AB797" s="253"/>
      <c r="AC797" s="253"/>
      <c r="AD797" s="253"/>
    </row>
    <row r="798">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c r="AA798" s="253"/>
      <c r="AB798" s="253"/>
      <c r="AC798" s="253"/>
      <c r="AD798" s="253"/>
    </row>
    <row r="799">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c r="AA799" s="253"/>
      <c r="AB799" s="253"/>
      <c r="AC799" s="253"/>
      <c r="AD799" s="253"/>
    </row>
    <row r="800">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c r="AA800" s="253"/>
      <c r="AB800" s="253"/>
      <c r="AC800" s="253"/>
      <c r="AD800" s="253"/>
    </row>
    <row r="801">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c r="AA801" s="253"/>
      <c r="AB801" s="253"/>
      <c r="AC801" s="253"/>
      <c r="AD801" s="253"/>
    </row>
    <row r="802">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c r="AA802" s="253"/>
      <c r="AB802" s="253"/>
      <c r="AC802" s="253"/>
      <c r="AD802" s="253"/>
    </row>
    <row r="803">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c r="AA803" s="253"/>
      <c r="AB803" s="253"/>
      <c r="AC803" s="253"/>
      <c r="AD803" s="253"/>
    </row>
    <row r="804">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c r="AA804" s="253"/>
      <c r="AB804" s="253"/>
      <c r="AC804" s="253"/>
      <c r="AD804" s="253"/>
    </row>
    <row r="80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c r="AA805" s="253"/>
      <c r="AB805" s="253"/>
      <c r="AC805" s="253"/>
      <c r="AD805" s="253"/>
    </row>
    <row r="806">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c r="AA806" s="253"/>
      <c r="AB806" s="253"/>
      <c r="AC806" s="253"/>
      <c r="AD806" s="253"/>
    </row>
    <row r="807">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c r="AA807" s="253"/>
      <c r="AB807" s="253"/>
      <c r="AC807" s="253"/>
      <c r="AD807" s="253"/>
    </row>
    <row r="808">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c r="AA808" s="253"/>
      <c r="AB808" s="253"/>
      <c r="AC808" s="253"/>
      <c r="AD808" s="253"/>
    </row>
    <row r="809">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c r="AA809" s="253"/>
      <c r="AB809" s="253"/>
      <c r="AC809" s="253"/>
      <c r="AD809" s="253"/>
    </row>
    <row r="810">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c r="AA810" s="253"/>
      <c r="AB810" s="253"/>
      <c r="AC810" s="253"/>
      <c r="AD810" s="253"/>
    </row>
    <row r="811">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c r="AA811" s="253"/>
      <c r="AB811" s="253"/>
      <c r="AC811" s="253"/>
      <c r="AD811" s="253"/>
    </row>
    <row r="812">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c r="AA812" s="253"/>
      <c r="AB812" s="253"/>
      <c r="AC812" s="253"/>
      <c r="AD812" s="253"/>
    </row>
    <row r="813">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c r="AA813" s="253"/>
      <c r="AB813" s="253"/>
      <c r="AC813" s="253"/>
      <c r="AD813" s="253"/>
    </row>
    <row r="814">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c r="AA814" s="253"/>
      <c r="AB814" s="253"/>
      <c r="AC814" s="253"/>
      <c r="AD814" s="253"/>
    </row>
    <row r="8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c r="AA815" s="253"/>
      <c r="AB815" s="253"/>
      <c r="AC815" s="253"/>
      <c r="AD815" s="253"/>
    </row>
    <row r="816">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c r="AA816" s="253"/>
      <c r="AB816" s="253"/>
      <c r="AC816" s="253"/>
      <c r="AD816" s="253"/>
    </row>
    <row r="817">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c r="AA817" s="253"/>
      <c r="AB817" s="253"/>
      <c r="AC817" s="253"/>
      <c r="AD817" s="253"/>
    </row>
    <row r="818">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c r="AA818" s="253"/>
      <c r="AB818" s="253"/>
      <c r="AC818" s="253"/>
      <c r="AD818" s="253"/>
    </row>
    <row r="819">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c r="AA819" s="253"/>
      <c r="AB819" s="253"/>
      <c r="AC819" s="253"/>
      <c r="AD819" s="253"/>
    </row>
    <row r="820">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c r="AA820" s="253"/>
      <c r="AB820" s="253"/>
      <c r="AC820" s="253"/>
      <c r="AD820" s="253"/>
    </row>
    <row r="821">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c r="AA821" s="253"/>
      <c r="AB821" s="253"/>
      <c r="AC821" s="253"/>
      <c r="AD821" s="253"/>
    </row>
    <row r="822">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c r="AA822" s="253"/>
      <c r="AB822" s="253"/>
      <c r="AC822" s="253"/>
      <c r="AD822" s="253"/>
    </row>
    <row r="823">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c r="AA823" s="253"/>
      <c r="AB823" s="253"/>
      <c r="AC823" s="253"/>
      <c r="AD823" s="253"/>
    </row>
    <row r="824">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c r="AA824" s="253"/>
      <c r="AB824" s="253"/>
      <c r="AC824" s="253"/>
      <c r="AD824" s="253"/>
    </row>
    <row r="82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c r="AA825" s="253"/>
      <c r="AB825" s="253"/>
      <c r="AC825" s="253"/>
      <c r="AD825" s="253"/>
    </row>
    <row r="826">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c r="AA826" s="253"/>
      <c r="AB826" s="253"/>
      <c r="AC826" s="253"/>
      <c r="AD826" s="253"/>
    </row>
    <row r="827">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c r="AA827" s="253"/>
      <c r="AB827" s="253"/>
      <c r="AC827" s="253"/>
      <c r="AD827" s="253"/>
    </row>
    <row r="828">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c r="AA828" s="253"/>
      <c r="AB828" s="253"/>
      <c r="AC828" s="253"/>
      <c r="AD828" s="253"/>
    </row>
    <row r="829">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c r="AA829" s="253"/>
      <c r="AB829" s="253"/>
      <c r="AC829" s="253"/>
      <c r="AD829" s="253"/>
    </row>
    <row r="830">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c r="AA830" s="253"/>
      <c r="AB830" s="253"/>
      <c r="AC830" s="253"/>
      <c r="AD830" s="253"/>
    </row>
    <row r="831">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c r="AA831" s="253"/>
      <c r="AB831" s="253"/>
      <c r="AC831" s="253"/>
      <c r="AD831" s="253"/>
    </row>
    <row r="832">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c r="AA832" s="253"/>
      <c r="AB832" s="253"/>
      <c r="AC832" s="253"/>
      <c r="AD832" s="253"/>
    </row>
    <row r="833">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c r="AA833" s="253"/>
      <c r="AB833" s="253"/>
      <c r="AC833" s="253"/>
      <c r="AD833" s="253"/>
    </row>
    <row r="834">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c r="AA834" s="253"/>
      <c r="AB834" s="253"/>
      <c r="AC834" s="253"/>
      <c r="AD834" s="253"/>
    </row>
    <row r="83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c r="AA835" s="253"/>
      <c r="AB835" s="253"/>
      <c r="AC835" s="253"/>
      <c r="AD835" s="253"/>
    </row>
    <row r="836">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c r="AA836" s="253"/>
      <c r="AB836" s="253"/>
      <c r="AC836" s="253"/>
      <c r="AD836" s="253"/>
    </row>
    <row r="837">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c r="AA837" s="253"/>
      <c r="AB837" s="253"/>
      <c r="AC837" s="253"/>
      <c r="AD837" s="253"/>
    </row>
    <row r="838">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c r="AA838" s="253"/>
      <c r="AB838" s="253"/>
      <c r="AC838" s="253"/>
      <c r="AD838" s="253"/>
    </row>
    <row r="839">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c r="AA839" s="253"/>
      <c r="AB839" s="253"/>
      <c r="AC839" s="253"/>
      <c r="AD839" s="253"/>
    </row>
    <row r="840">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c r="AA840" s="253"/>
      <c r="AB840" s="253"/>
      <c r="AC840" s="253"/>
      <c r="AD840" s="253"/>
    </row>
    <row r="841">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c r="AA841" s="253"/>
      <c r="AB841" s="253"/>
      <c r="AC841" s="253"/>
      <c r="AD841" s="253"/>
    </row>
    <row r="842">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c r="AA842" s="253"/>
      <c r="AB842" s="253"/>
      <c r="AC842" s="253"/>
      <c r="AD842" s="253"/>
    </row>
    <row r="843">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c r="AA843" s="253"/>
      <c r="AB843" s="253"/>
      <c r="AC843" s="253"/>
      <c r="AD843" s="253"/>
    </row>
    <row r="844">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c r="AA844" s="253"/>
      <c r="AB844" s="253"/>
      <c r="AC844" s="253"/>
      <c r="AD844" s="253"/>
    </row>
    <row r="84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c r="AA845" s="253"/>
      <c r="AB845" s="253"/>
      <c r="AC845" s="253"/>
      <c r="AD845" s="253"/>
    </row>
    <row r="846">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c r="AA846" s="253"/>
      <c r="AB846" s="253"/>
      <c r="AC846" s="253"/>
      <c r="AD846" s="253"/>
    </row>
    <row r="847">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c r="AA847" s="253"/>
      <c r="AB847" s="253"/>
      <c r="AC847" s="253"/>
      <c r="AD847" s="253"/>
    </row>
    <row r="848">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c r="AA848" s="253"/>
      <c r="AB848" s="253"/>
      <c r="AC848" s="253"/>
      <c r="AD848" s="253"/>
    </row>
    <row r="849">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c r="AA849" s="253"/>
      <c r="AB849" s="253"/>
      <c r="AC849" s="253"/>
      <c r="AD849" s="253"/>
    </row>
    <row r="850">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c r="AA850" s="253"/>
      <c r="AB850" s="253"/>
      <c r="AC850" s="253"/>
      <c r="AD850" s="253"/>
    </row>
    <row r="851">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c r="AA851" s="253"/>
      <c r="AB851" s="253"/>
      <c r="AC851" s="253"/>
      <c r="AD851" s="253"/>
    </row>
    <row r="852">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c r="AA852" s="253"/>
      <c r="AB852" s="253"/>
      <c r="AC852" s="253"/>
      <c r="AD852" s="253"/>
    </row>
    <row r="853">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c r="AA853" s="253"/>
      <c r="AB853" s="253"/>
      <c r="AC853" s="253"/>
      <c r="AD853" s="253"/>
    </row>
    <row r="854">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c r="AA854" s="253"/>
      <c r="AB854" s="253"/>
      <c r="AC854" s="253"/>
      <c r="AD854" s="253"/>
    </row>
    <row r="85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c r="AA855" s="253"/>
      <c r="AB855" s="253"/>
      <c r="AC855" s="253"/>
      <c r="AD855" s="253"/>
    </row>
    <row r="856">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c r="AA856" s="253"/>
      <c r="AB856" s="253"/>
      <c r="AC856" s="253"/>
      <c r="AD856" s="253"/>
    </row>
    <row r="857">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c r="AA857" s="253"/>
      <c r="AB857" s="253"/>
      <c r="AC857" s="253"/>
      <c r="AD857" s="253"/>
    </row>
    <row r="858">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c r="AA858" s="253"/>
      <c r="AB858" s="253"/>
      <c r="AC858" s="253"/>
      <c r="AD858" s="253"/>
    </row>
    <row r="859">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c r="AA859" s="253"/>
      <c r="AB859" s="253"/>
      <c r="AC859" s="253"/>
      <c r="AD859" s="253"/>
    </row>
    <row r="860">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c r="AA860" s="253"/>
      <c r="AB860" s="253"/>
      <c r="AC860" s="253"/>
      <c r="AD860" s="253"/>
    </row>
    <row r="861">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c r="AA861" s="253"/>
      <c r="AB861" s="253"/>
      <c r="AC861" s="253"/>
      <c r="AD861" s="253"/>
    </row>
    <row r="862">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c r="AA862" s="253"/>
      <c r="AB862" s="253"/>
      <c r="AC862" s="253"/>
      <c r="AD862" s="253"/>
    </row>
    <row r="863">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c r="AA863" s="253"/>
      <c r="AB863" s="253"/>
      <c r="AC863" s="253"/>
      <c r="AD863" s="253"/>
    </row>
    <row r="864">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c r="AA864" s="253"/>
      <c r="AB864" s="253"/>
      <c r="AC864" s="253"/>
      <c r="AD864" s="253"/>
    </row>
    <row r="86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c r="AA865" s="253"/>
      <c r="AB865" s="253"/>
      <c r="AC865" s="253"/>
      <c r="AD865" s="253"/>
    </row>
    <row r="866">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c r="AA866" s="253"/>
      <c r="AB866" s="253"/>
      <c r="AC866" s="253"/>
      <c r="AD866" s="253"/>
    </row>
    <row r="867">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c r="AA867" s="253"/>
      <c r="AB867" s="253"/>
      <c r="AC867" s="253"/>
      <c r="AD867" s="253"/>
    </row>
    <row r="868">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c r="AA868" s="253"/>
      <c r="AB868" s="253"/>
      <c r="AC868" s="253"/>
      <c r="AD868" s="253"/>
    </row>
    <row r="869">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c r="AA869" s="253"/>
      <c r="AB869" s="253"/>
      <c r="AC869" s="253"/>
      <c r="AD869" s="253"/>
    </row>
    <row r="870">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c r="AA870" s="253"/>
      <c r="AB870" s="253"/>
      <c r="AC870" s="253"/>
      <c r="AD870" s="253"/>
    </row>
    <row r="871">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c r="AA871" s="253"/>
      <c r="AB871" s="253"/>
      <c r="AC871" s="253"/>
      <c r="AD871" s="253"/>
    </row>
    <row r="872">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c r="AA872" s="253"/>
      <c r="AB872" s="253"/>
      <c r="AC872" s="253"/>
      <c r="AD872" s="253"/>
    </row>
    <row r="873">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c r="AA873" s="253"/>
      <c r="AB873" s="253"/>
      <c r="AC873" s="253"/>
      <c r="AD873" s="253"/>
    </row>
    <row r="874">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c r="AA874" s="253"/>
      <c r="AB874" s="253"/>
      <c r="AC874" s="253"/>
      <c r="AD874" s="253"/>
    </row>
    <row r="87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c r="AA875" s="253"/>
      <c r="AB875" s="253"/>
      <c r="AC875" s="253"/>
      <c r="AD875" s="253"/>
    </row>
    <row r="876">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c r="AA876" s="253"/>
      <c r="AB876" s="253"/>
      <c r="AC876" s="253"/>
      <c r="AD876" s="253"/>
    </row>
    <row r="877">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c r="AA877" s="253"/>
      <c r="AB877" s="253"/>
      <c r="AC877" s="253"/>
      <c r="AD877" s="253"/>
    </row>
    <row r="878">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c r="AA878" s="253"/>
      <c r="AB878" s="253"/>
      <c r="AC878" s="253"/>
      <c r="AD878" s="253"/>
    </row>
    <row r="879">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c r="AA879" s="253"/>
      <c r="AB879" s="253"/>
      <c r="AC879" s="253"/>
      <c r="AD879" s="253"/>
    </row>
    <row r="880">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c r="AA880" s="253"/>
      <c r="AB880" s="253"/>
      <c r="AC880" s="253"/>
      <c r="AD880" s="253"/>
    </row>
    <row r="881">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c r="AA881" s="253"/>
      <c r="AB881" s="253"/>
      <c r="AC881" s="253"/>
      <c r="AD881" s="253"/>
    </row>
    <row r="882">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c r="AA882" s="253"/>
      <c r="AB882" s="253"/>
      <c r="AC882" s="253"/>
      <c r="AD882" s="253"/>
    </row>
    <row r="883">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c r="AA883" s="253"/>
      <c r="AB883" s="253"/>
      <c r="AC883" s="253"/>
      <c r="AD883" s="253"/>
    </row>
    <row r="884">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c r="AA884" s="253"/>
      <c r="AB884" s="253"/>
      <c r="AC884" s="253"/>
      <c r="AD884" s="253"/>
    </row>
    <row r="88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c r="AA885" s="253"/>
      <c r="AB885" s="253"/>
      <c r="AC885" s="253"/>
      <c r="AD885" s="253"/>
    </row>
    <row r="886">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c r="AA886" s="253"/>
      <c r="AB886" s="253"/>
      <c r="AC886" s="253"/>
      <c r="AD886" s="253"/>
    </row>
    <row r="887">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c r="AA887" s="253"/>
      <c r="AB887" s="253"/>
      <c r="AC887" s="253"/>
      <c r="AD887" s="253"/>
    </row>
    <row r="888">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c r="AA888" s="253"/>
      <c r="AB888" s="253"/>
      <c r="AC888" s="253"/>
      <c r="AD888" s="253"/>
    </row>
    <row r="889">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c r="AA889" s="253"/>
      <c r="AB889" s="253"/>
      <c r="AC889" s="253"/>
      <c r="AD889" s="253"/>
    </row>
    <row r="890">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c r="AA890" s="253"/>
      <c r="AB890" s="253"/>
      <c r="AC890" s="253"/>
      <c r="AD890" s="253"/>
    </row>
    <row r="891">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c r="AA891" s="253"/>
      <c r="AB891" s="253"/>
      <c r="AC891" s="253"/>
      <c r="AD891" s="253"/>
    </row>
    <row r="892">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c r="AA892" s="253"/>
      <c r="AB892" s="253"/>
      <c r="AC892" s="253"/>
      <c r="AD892" s="253"/>
    </row>
    <row r="893">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c r="AA893" s="253"/>
      <c r="AB893" s="253"/>
      <c r="AC893" s="253"/>
      <c r="AD893" s="253"/>
    </row>
    <row r="894">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c r="AA894" s="253"/>
      <c r="AB894" s="253"/>
      <c r="AC894" s="253"/>
      <c r="AD894" s="253"/>
    </row>
    <row r="89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c r="AA895" s="253"/>
      <c r="AB895" s="253"/>
      <c r="AC895" s="253"/>
      <c r="AD895" s="253"/>
    </row>
    <row r="896">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c r="AA896" s="253"/>
      <c r="AB896" s="253"/>
      <c r="AC896" s="253"/>
      <c r="AD896" s="253"/>
    </row>
    <row r="897">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c r="AA897" s="253"/>
      <c r="AB897" s="253"/>
      <c r="AC897" s="253"/>
      <c r="AD897" s="253"/>
    </row>
    <row r="898">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c r="AA898" s="253"/>
      <c r="AB898" s="253"/>
      <c r="AC898" s="253"/>
      <c r="AD898" s="253"/>
    </row>
    <row r="899">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c r="AA899" s="253"/>
      <c r="AB899" s="253"/>
      <c r="AC899" s="253"/>
      <c r="AD899" s="253"/>
    </row>
    <row r="900">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c r="AA900" s="253"/>
      <c r="AB900" s="253"/>
      <c r="AC900" s="253"/>
      <c r="AD900" s="253"/>
    </row>
    <row r="901">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c r="AA901" s="253"/>
      <c r="AB901" s="253"/>
      <c r="AC901" s="253"/>
      <c r="AD901" s="253"/>
    </row>
    <row r="902">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c r="AA902" s="253"/>
      <c r="AB902" s="253"/>
      <c r="AC902" s="253"/>
      <c r="AD902" s="253"/>
    </row>
    <row r="903">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c r="AA903" s="253"/>
      <c r="AB903" s="253"/>
      <c r="AC903" s="253"/>
      <c r="AD903" s="253"/>
    </row>
    <row r="904">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c r="AA904" s="253"/>
      <c r="AB904" s="253"/>
      <c r="AC904" s="253"/>
      <c r="AD904" s="253"/>
    </row>
    <row r="90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c r="AA905" s="253"/>
      <c r="AB905" s="253"/>
      <c r="AC905" s="253"/>
      <c r="AD905" s="253"/>
    </row>
    <row r="906">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c r="AA906" s="253"/>
      <c r="AB906" s="253"/>
      <c r="AC906" s="253"/>
      <c r="AD906" s="253"/>
    </row>
    <row r="907">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c r="AA907" s="253"/>
      <c r="AB907" s="253"/>
      <c r="AC907" s="253"/>
      <c r="AD907" s="253"/>
    </row>
    <row r="908">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c r="AA908" s="253"/>
      <c r="AB908" s="253"/>
      <c r="AC908" s="253"/>
      <c r="AD908" s="253"/>
    </row>
    <row r="909">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c r="AA909" s="253"/>
      <c r="AB909" s="253"/>
      <c r="AC909" s="253"/>
      <c r="AD909" s="253"/>
    </row>
    <row r="910">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c r="AA910" s="253"/>
      <c r="AB910" s="253"/>
      <c r="AC910" s="253"/>
      <c r="AD910" s="253"/>
    </row>
    <row r="911">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c r="AA911" s="253"/>
      <c r="AB911" s="253"/>
      <c r="AC911" s="253"/>
      <c r="AD911" s="253"/>
    </row>
    <row r="912">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c r="AA912" s="253"/>
      <c r="AB912" s="253"/>
      <c r="AC912" s="253"/>
      <c r="AD912" s="253"/>
    </row>
    <row r="913">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c r="AA913" s="253"/>
      <c r="AB913" s="253"/>
      <c r="AC913" s="253"/>
      <c r="AD913" s="253"/>
    </row>
    <row r="914">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c r="AA914" s="253"/>
      <c r="AB914" s="253"/>
      <c r="AC914" s="253"/>
      <c r="AD914" s="253"/>
    </row>
    <row r="9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c r="AA915" s="253"/>
      <c r="AB915" s="253"/>
      <c r="AC915" s="253"/>
      <c r="AD915" s="253"/>
    </row>
    <row r="916">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c r="AA916" s="253"/>
      <c r="AB916" s="253"/>
      <c r="AC916" s="253"/>
      <c r="AD916" s="253"/>
    </row>
    <row r="917">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c r="AA917" s="253"/>
      <c r="AB917" s="253"/>
      <c r="AC917" s="253"/>
      <c r="AD917" s="253"/>
    </row>
    <row r="918">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c r="AA918" s="253"/>
      <c r="AB918" s="253"/>
      <c r="AC918" s="253"/>
      <c r="AD918" s="253"/>
    </row>
    <row r="919">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c r="AA919" s="253"/>
      <c r="AB919" s="253"/>
      <c r="AC919" s="253"/>
      <c r="AD919" s="253"/>
    </row>
    <row r="920">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c r="AA920" s="253"/>
      <c r="AB920" s="253"/>
      <c r="AC920" s="253"/>
      <c r="AD920" s="253"/>
    </row>
    <row r="921">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c r="AA921" s="253"/>
      <c r="AB921" s="253"/>
      <c r="AC921" s="253"/>
      <c r="AD921" s="253"/>
    </row>
    <row r="922">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c r="AA922" s="253"/>
      <c r="AB922" s="253"/>
      <c r="AC922" s="253"/>
      <c r="AD922" s="253"/>
    </row>
    <row r="923">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c r="AA923" s="253"/>
      <c r="AB923" s="253"/>
      <c r="AC923" s="253"/>
      <c r="AD923" s="253"/>
    </row>
    <row r="924">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c r="AA924" s="253"/>
      <c r="AB924" s="253"/>
      <c r="AC924" s="253"/>
      <c r="AD924" s="253"/>
    </row>
    <row r="92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c r="AA925" s="253"/>
      <c r="AB925" s="253"/>
      <c r="AC925" s="253"/>
      <c r="AD925" s="253"/>
    </row>
    <row r="926">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c r="AA926" s="253"/>
      <c r="AB926" s="253"/>
      <c r="AC926" s="253"/>
      <c r="AD926" s="253"/>
    </row>
    <row r="927">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c r="AA927" s="253"/>
      <c r="AB927" s="253"/>
      <c r="AC927" s="253"/>
      <c r="AD927" s="253"/>
    </row>
    <row r="928">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c r="AA928" s="253"/>
      <c r="AB928" s="253"/>
      <c r="AC928" s="253"/>
      <c r="AD928" s="253"/>
    </row>
    <row r="929">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c r="AA929" s="253"/>
      <c r="AB929" s="253"/>
      <c r="AC929" s="253"/>
      <c r="AD929" s="253"/>
    </row>
    <row r="930">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c r="AA930" s="253"/>
      <c r="AB930" s="253"/>
      <c r="AC930" s="253"/>
      <c r="AD930" s="253"/>
    </row>
    <row r="931">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c r="AA931" s="253"/>
      <c r="AB931" s="253"/>
      <c r="AC931" s="253"/>
      <c r="AD931" s="253"/>
    </row>
    <row r="932">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c r="AA932" s="253"/>
      <c r="AB932" s="253"/>
      <c r="AC932" s="253"/>
      <c r="AD932" s="253"/>
    </row>
    <row r="933">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c r="AA933" s="253"/>
      <c r="AB933" s="253"/>
      <c r="AC933" s="253"/>
      <c r="AD933" s="253"/>
    </row>
    <row r="934">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c r="AA934" s="253"/>
      <c r="AB934" s="253"/>
      <c r="AC934" s="253"/>
      <c r="AD934" s="253"/>
    </row>
    <row r="93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c r="AA935" s="253"/>
      <c r="AB935" s="253"/>
      <c r="AC935" s="253"/>
      <c r="AD935" s="253"/>
    </row>
    <row r="936">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c r="AA936" s="253"/>
      <c r="AB936" s="253"/>
      <c r="AC936" s="253"/>
      <c r="AD936" s="253"/>
    </row>
    <row r="937">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c r="AA937" s="253"/>
      <c r="AB937" s="253"/>
      <c r="AC937" s="253"/>
      <c r="AD937" s="253"/>
    </row>
    <row r="938">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c r="AA938" s="253"/>
      <c r="AB938" s="253"/>
      <c r="AC938" s="253"/>
      <c r="AD938" s="253"/>
    </row>
    <row r="939">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c r="AA939" s="253"/>
      <c r="AB939" s="253"/>
      <c r="AC939" s="253"/>
      <c r="AD939" s="253"/>
    </row>
    <row r="940">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c r="AA940" s="253"/>
      <c r="AB940" s="253"/>
      <c r="AC940" s="253"/>
      <c r="AD940" s="253"/>
    </row>
    <row r="941">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c r="AA941" s="253"/>
      <c r="AB941" s="253"/>
      <c r="AC941" s="253"/>
      <c r="AD941" s="253"/>
    </row>
    <row r="942">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c r="AA942" s="253"/>
      <c r="AB942" s="253"/>
      <c r="AC942" s="253"/>
      <c r="AD942" s="253"/>
    </row>
    <row r="943">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c r="AA943" s="253"/>
      <c r="AB943" s="253"/>
      <c r="AC943" s="253"/>
      <c r="AD943" s="253"/>
    </row>
    <row r="944">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c r="AA944" s="253"/>
      <c r="AB944" s="253"/>
      <c r="AC944" s="253"/>
      <c r="AD944" s="253"/>
    </row>
    <row r="94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c r="AA945" s="253"/>
      <c r="AB945" s="253"/>
      <c r="AC945" s="253"/>
      <c r="AD945" s="253"/>
    </row>
    <row r="946">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c r="AA946" s="253"/>
      <c r="AB946" s="253"/>
      <c r="AC946" s="253"/>
      <c r="AD946" s="253"/>
    </row>
    <row r="947">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c r="AA947" s="253"/>
      <c r="AB947" s="253"/>
      <c r="AC947" s="253"/>
      <c r="AD947" s="253"/>
    </row>
    <row r="948">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c r="AA948" s="253"/>
      <c r="AB948" s="253"/>
      <c r="AC948" s="253"/>
      <c r="AD948" s="253"/>
    </row>
    <row r="949">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c r="AA949" s="253"/>
      <c r="AB949" s="253"/>
      <c r="AC949" s="253"/>
      <c r="AD949" s="253"/>
    </row>
    <row r="950">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c r="AA950" s="253"/>
      <c r="AB950" s="253"/>
      <c r="AC950" s="253"/>
      <c r="AD950" s="253"/>
    </row>
    <row r="951">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c r="AA951" s="253"/>
      <c r="AB951" s="253"/>
      <c r="AC951" s="253"/>
      <c r="AD951" s="253"/>
    </row>
    <row r="952">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c r="AA952" s="253"/>
      <c r="AB952" s="253"/>
      <c r="AC952" s="253"/>
      <c r="AD952" s="253"/>
    </row>
    <row r="953">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c r="AA953" s="253"/>
      <c r="AB953" s="253"/>
      <c r="AC953" s="253"/>
      <c r="AD953" s="253"/>
    </row>
    <row r="954">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c r="AA954" s="253"/>
      <c r="AB954" s="253"/>
      <c r="AC954" s="253"/>
      <c r="AD954" s="253"/>
    </row>
    <row r="95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c r="AA955" s="253"/>
      <c r="AB955" s="253"/>
      <c r="AC955" s="253"/>
      <c r="AD955" s="253"/>
    </row>
    <row r="956">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c r="AA956" s="253"/>
      <c r="AB956" s="253"/>
      <c r="AC956" s="253"/>
      <c r="AD956" s="253"/>
    </row>
    <row r="957">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c r="AA957" s="253"/>
      <c r="AB957" s="253"/>
      <c r="AC957" s="253"/>
      <c r="AD957" s="253"/>
    </row>
    <row r="958">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c r="AA958" s="253"/>
      <c r="AB958" s="253"/>
      <c r="AC958" s="253"/>
      <c r="AD958" s="253"/>
    </row>
    <row r="959">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c r="AA959" s="253"/>
      <c r="AB959" s="253"/>
      <c r="AC959" s="253"/>
      <c r="AD959" s="253"/>
    </row>
    <row r="960">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c r="AA960" s="253"/>
      <c r="AB960" s="253"/>
      <c r="AC960" s="253"/>
      <c r="AD960" s="253"/>
    </row>
    <row r="961">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c r="AA961" s="253"/>
      <c r="AB961" s="253"/>
      <c r="AC961" s="253"/>
      <c r="AD961" s="253"/>
    </row>
    <row r="962">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c r="AA962" s="253"/>
      <c r="AB962" s="253"/>
      <c r="AC962" s="253"/>
      <c r="AD962" s="253"/>
    </row>
    <row r="963">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c r="AA963" s="253"/>
      <c r="AB963" s="253"/>
      <c r="AC963" s="253"/>
      <c r="AD963" s="253"/>
    </row>
    <row r="964">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c r="AA964" s="253"/>
      <c r="AB964" s="253"/>
      <c r="AC964" s="253"/>
      <c r="AD964" s="253"/>
    </row>
    <row r="96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c r="AA965" s="253"/>
      <c r="AB965" s="253"/>
      <c r="AC965" s="253"/>
      <c r="AD965" s="253"/>
    </row>
    <row r="966">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c r="AA966" s="253"/>
      <c r="AB966" s="253"/>
      <c r="AC966" s="253"/>
      <c r="AD966" s="253"/>
    </row>
    <row r="967">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c r="AA967" s="253"/>
      <c r="AB967" s="253"/>
      <c r="AC967" s="253"/>
      <c r="AD967" s="253"/>
    </row>
    <row r="968">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c r="AA968" s="253"/>
      <c r="AB968" s="253"/>
      <c r="AC968" s="253"/>
      <c r="AD968" s="253"/>
    </row>
    <row r="969">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c r="AA969" s="253"/>
      <c r="AB969" s="253"/>
      <c r="AC969" s="253"/>
      <c r="AD969" s="253"/>
    </row>
    <row r="970">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c r="AA970" s="253"/>
      <c r="AB970" s="253"/>
      <c r="AC970" s="253"/>
      <c r="AD970" s="253"/>
    </row>
    <row r="971">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c r="AA971" s="253"/>
      <c r="AB971" s="253"/>
      <c r="AC971" s="253"/>
      <c r="AD971" s="253"/>
    </row>
    <row r="972">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c r="AA972" s="253"/>
      <c r="AB972" s="253"/>
      <c r="AC972" s="253"/>
      <c r="AD972" s="253"/>
    </row>
    <row r="973">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c r="AA973" s="253"/>
      <c r="AB973" s="253"/>
      <c r="AC973" s="253"/>
      <c r="AD973" s="253"/>
    </row>
    <row r="974">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c r="AA974" s="253"/>
      <c r="AB974" s="253"/>
      <c r="AC974" s="253"/>
      <c r="AD974" s="253"/>
    </row>
    <row r="97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c r="AA975" s="253"/>
      <c r="AB975" s="253"/>
      <c r="AC975" s="253"/>
      <c r="AD975" s="253"/>
    </row>
    <row r="976">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c r="AA976" s="253"/>
      <c r="AB976" s="253"/>
      <c r="AC976" s="253"/>
      <c r="AD976" s="253"/>
    </row>
    <row r="977">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c r="AA977" s="253"/>
      <c r="AB977" s="253"/>
      <c r="AC977" s="253"/>
      <c r="AD977" s="253"/>
    </row>
    <row r="978">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c r="AA978" s="253"/>
      <c r="AB978" s="253"/>
      <c r="AC978" s="253"/>
      <c r="AD978" s="253"/>
    </row>
    <row r="979">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c r="AA979" s="253"/>
      <c r="AB979" s="253"/>
      <c r="AC979" s="253"/>
      <c r="AD979" s="253"/>
    </row>
    <row r="980">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c r="AA980" s="253"/>
      <c r="AB980" s="253"/>
      <c r="AC980" s="253"/>
      <c r="AD980" s="253"/>
    </row>
    <row r="981">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c r="AA981" s="253"/>
      <c r="AB981" s="253"/>
      <c r="AC981" s="253"/>
      <c r="AD981" s="253"/>
    </row>
    <row r="982">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c r="AA982" s="253"/>
      <c r="AB982" s="253"/>
      <c r="AC982" s="253"/>
      <c r="AD982" s="253"/>
    </row>
    <row r="983">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c r="AA983" s="253"/>
      <c r="AB983" s="253"/>
      <c r="AC983" s="253"/>
      <c r="AD983" s="253"/>
    </row>
    <row r="984">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c r="AA984" s="253"/>
      <c r="AB984" s="253"/>
      <c r="AC984" s="253"/>
      <c r="AD984" s="253"/>
    </row>
    <row r="98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c r="AA985" s="253"/>
      <c r="AB985" s="253"/>
      <c r="AC985" s="253"/>
      <c r="AD985" s="253"/>
    </row>
    <row r="986">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c r="AA986" s="253"/>
      <c r="AB986" s="253"/>
      <c r="AC986" s="253"/>
      <c r="AD986" s="253"/>
    </row>
    <row r="987">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c r="AA987" s="253"/>
      <c r="AB987" s="253"/>
      <c r="AC987" s="253"/>
      <c r="AD987" s="253"/>
    </row>
    <row r="988">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c r="AA988" s="253"/>
      <c r="AB988" s="253"/>
      <c r="AC988" s="253"/>
      <c r="AD988" s="253"/>
    </row>
    <row r="989">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c r="AA989" s="253"/>
      <c r="AB989" s="253"/>
      <c r="AC989" s="253"/>
      <c r="AD989" s="253"/>
    </row>
    <row r="990">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c r="AA990" s="253"/>
      <c r="AB990" s="253"/>
      <c r="AC990" s="253"/>
      <c r="AD990" s="253"/>
    </row>
    <row r="991">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c r="AA991" s="253"/>
      <c r="AB991" s="253"/>
      <c r="AC991" s="253"/>
      <c r="AD991" s="253"/>
    </row>
    <row r="992">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c r="AA992" s="253"/>
      <c r="AB992" s="253"/>
      <c r="AC992" s="253"/>
      <c r="AD992" s="253"/>
    </row>
    <row r="993">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c r="AA993" s="253"/>
      <c r="AB993" s="253"/>
      <c r="AC993" s="253"/>
      <c r="AD993" s="253"/>
    </row>
    <row r="994">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c r="AA994" s="253"/>
      <c r="AB994" s="253"/>
      <c r="AC994" s="253"/>
      <c r="AD994" s="253"/>
    </row>
    <row r="99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c r="AA995" s="253"/>
      <c r="AB995" s="253"/>
      <c r="AC995" s="253"/>
      <c r="AD995" s="253"/>
    </row>
    <row r="996">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c r="AA996" s="253"/>
      <c r="AB996" s="253"/>
      <c r="AC996" s="253"/>
      <c r="AD996" s="253"/>
    </row>
    <row r="997">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c r="AA997" s="253"/>
      <c r="AB997" s="253"/>
      <c r="AC997" s="253"/>
      <c r="AD997" s="253"/>
    </row>
    <row r="998">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c r="AA998" s="253"/>
      <c r="AB998" s="253"/>
      <c r="AC998" s="253"/>
      <c r="AD998" s="253"/>
    </row>
    <row r="999">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c r="AA999" s="253"/>
      <c r="AB999" s="253"/>
      <c r="AC999" s="253"/>
      <c r="AD999" s="253"/>
    </row>
    <row r="1000">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c r="AA1000" s="253"/>
      <c r="AB1000" s="253"/>
      <c r="AC1000" s="253"/>
      <c r="AD1000" s="2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149.0</v>
      </c>
      <c r="M21" s="22">
        <v>597.0</v>
      </c>
      <c r="N21" s="22">
        <v>630.0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707.0</v>
      </c>
      <c r="N22" s="22">
        <v>751.0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954.0</v>
      </c>
      <c r="N23" s="22">
        <v>1015.0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188.0</v>
      </c>
      <c r="M24" s="22">
        <v>1142.0</v>
      </c>
      <c r="N24" s="22">
        <v>1216.0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1264.0</v>
      </c>
      <c r="N25" s="22">
        <v>1352.0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258.0</v>
      </c>
      <c r="M26" s="22">
        <v>1522.0</v>
      </c>
      <c r="N26" s="22">
        <v>1635.0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162.0</v>
      </c>
      <c r="M27" s="22">
        <v>1684.0</v>
      </c>
      <c r="N27" s="22">
        <v>1813.0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230.0</v>
      </c>
      <c r="M28" s="22">
        <v>1914.0</v>
      </c>
      <c r="N28" s="22">
        <v>2062.0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167.0</v>
      </c>
      <c r="M29" s="22">
        <v>2081.0</v>
      </c>
      <c r="N29" s="22">
        <v>2257.0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170.0</v>
      </c>
      <c r="M30" s="22">
        <v>2251.0</v>
      </c>
      <c r="N30" s="22">
        <v>2468.0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198.0</v>
      </c>
      <c r="M31" s="22">
        <v>2449.0</v>
      </c>
      <c r="N31" s="22">
        <v>2697.0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2689.0</v>
      </c>
      <c r="N32" s="22">
        <v>3001.0</v>
      </c>
      <c r="O32" s="23">
        <v>10.0</v>
      </c>
      <c r="P32" s="23">
        <v>89.0</v>
      </c>
      <c r="Q32" s="23">
        <v>2.0</v>
      </c>
      <c r="R32" s="23">
        <v>15.0</v>
      </c>
      <c r="S32" s="23">
        <v>1.0</v>
      </c>
      <c r="T32" s="22">
        <v>2.0</v>
      </c>
      <c r="U32" s="22">
        <v>72.0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310.0</v>
      </c>
      <c r="M33" s="22">
        <v>2999.0</v>
      </c>
      <c r="N33" s="22">
        <v>3416.0</v>
      </c>
      <c r="O33" s="23">
        <v>8.0</v>
      </c>
      <c r="P33" s="23">
        <v>97.0</v>
      </c>
      <c r="Q33" s="23">
        <v>3.0</v>
      </c>
      <c r="R33" s="23">
        <v>18.0</v>
      </c>
      <c r="S33" s="23">
        <v>1.0</v>
      </c>
      <c r="T33" s="22">
        <v>3.0</v>
      </c>
      <c r="U33" s="22">
        <v>76.0</v>
      </c>
      <c r="V33" s="22">
        <v>71.0</v>
      </c>
      <c r="W33" s="24">
        <v>17.0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3180.0</v>
      </c>
      <c r="N34" s="22">
        <v>3675.0</v>
      </c>
      <c r="O34" s="23">
        <v>19.0</v>
      </c>
      <c r="P34" s="23">
        <v>116.0</v>
      </c>
      <c r="Q34" s="23">
        <v>5.0</v>
      </c>
      <c r="R34" s="23">
        <v>23.0</v>
      </c>
      <c r="S34" s="23">
        <v>0.0</v>
      </c>
      <c r="T34" s="22">
        <v>3.0</v>
      </c>
      <c r="U34" s="22">
        <v>90.0</v>
      </c>
      <c r="V34" s="22">
        <v>79.0</v>
      </c>
      <c r="W34" s="24">
        <v>18.0</v>
      </c>
      <c r="X34" s="24">
        <v>10.0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3474.0</v>
      </c>
      <c r="N35" s="22">
        <v>4042.0</v>
      </c>
      <c r="O35" s="23">
        <v>11.0</v>
      </c>
      <c r="P35" s="23">
        <v>127.0</v>
      </c>
      <c r="Q35" s="23">
        <v>7.0</v>
      </c>
      <c r="R35" s="23">
        <v>30.0</v>
      </c>
      <c r="S35" s="23">
        <v>1.0</v>
      </c>
      <c r="T35" s="22">
        <v>4.0</v>
      </c>
      <c r="U35" s="22">
        <v>93.0</v>
      </c>
      <c r="V35" s="22">
        <v>86.0</v>
      </c>
      <c r="W35" s="24">
        <v>20.0</v>
      </c>
      <c r="X35" s="24">
        <v>12.0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629.0</v>
      </c>
      <c r="M36" s="22">
        <v>4103.0</v>
      </c>
      <c r="N36" s="22">
        <v>4771.0</v>
      </c>
      <c r="O36" s="23">
        <v>18.0</v>
      </c>
      <c r="P36" s="23">
        <v>145.0</v>
      </c>
      <c r="Q36" s="23">
        <v>7.0</v>
      </c>
      <c r="R36" s="23">
        <v>37.0</v>
      </c>
      <c r="S36" s="23">
        <v>0.0</v>
      </c>
      <c r="T36" s="22">
        <v>4.0</v>
      </c>
      <c r="U36" s="22">
        <v>104.0</v>
      </c>
      <c r="V36" s="22">
        <v>96.0</v>
      </c>
      <c r="W36" s="24">
        <v>28.0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427.0</v>
      </c>
      <c r="M37" s="22">
        <v>4530.0</v>
      </c>
      <c r="N37" s="22">
        <v>5260.0</v>
      </c>
      <c r="O37" s="23">
        <v>22.0</v>
      </c>
      <c r="P37" s="23">
        <v>167.0</v>
      </c>
      <c r="Q37" s="23">
        <v>6.0</v>
      </c>
      <c r="R37" s="23">
        <v>43.0</v>
      </c>
      <c r="S37" s="23">
        <v>2.0</v>
      </c>
      <c r="T37" s="22">
        <v>6.0</v>
      </c>
      <c r="U37" s="22">
        <v>118.0</v>
      </c>
      <c r="V37" s="22">
        <v>105.0</v>
      </c>
      <c r="W37" s="24">
        <v>34.0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699.0</v>
      </c>
      <c r="M38" s="22">
        <v>5229.0</v>
      </c>
      <c r="N38" s="22">
        <v>6059.0</v>
      </c>
      <c r="O38" s="23">
        <v>23.0</v>
      </c>
      <c r="P38" s="23">
        <v>190.0</v>
      </c>
      <c r="Q38" s="23">
        <v>7.0</v>
      </c>
      <c r="R38" s="23">
        <v>50.0</v>
      </c>
      <c r="S38" s="23">
        <v>0.0</v>
      </c>
      <c r="T38" s="22">
        <v>6.0</v>
      </c>
      <c r="U38" s="22">
        <v>134.0</v>
      </c>
      <c r="V38" s="22">
        <v>119.0</v>
      </c>
      <c r="W38" s="24">
        <v>41.0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606.0</v>
      </c>
      <c r="M39" s="22">
        <v>5835.0</v>
      </c>
      <c r="N39" s="22">
        <v>6803.0</v>
      </c>
      <c r="O39" s="23">
        <v>22.0</v>
      </c>
      <c r="P39" s="23">
        <v>212.0</v>
      </c>
      <c r="Q39" s="23">
        <v>4.0</v>
      </c>
      <c r="R39" s="23">
        <v>54.0</v>
      </c>
      <c r="S39" s="23">
        <v>5.0</v>
      </c>
      <c r="T39" s="22">
        <v>11.0</v>
      </c>
      <c r="U39" s="22">
        <v>147.0</v>
      </c>
      <c r="V39" s="22">
        <v>133.0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1043.0</v>
      </c>
      <c r="M40" s="22">
        <v>6878.0</v>
      </c>
      <c r="N40" s="22">
        <v>8027.0</v>
      </c>
      <c r="O40" s="23">
        <v>20.0</v>
      </c>
      <c r="P40" s="23">
        <v>232.0</v>
      </c>
      <c r="Q40" s="23">
        <v>9.0</v>
      </c>
      <c r="R40" s="23">
        <v>63.0</v>
      </c>
      <c r="S40" s="23">
        <v>1.0</v>
      </c>
      <c r="T40" s="22">
        <v>12.0</v>
      </c>
      <c r="U40" s="22">
        <v>157.0</v>
      </c>
      <c r="V40" s="22">
        <v>146.0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1521.0</v>
      </c>
      <c r="M41" s="22">
        <v>8399.0</v>
      </c>
      <c r="N41" s="22">
        <v>9755.0</v>
      </c>
      <c r="O41" s="23">
        <v>26.0</v>
      </c>
      <c r="P41" s="23">
        <v>258.0</v>
      </c>
      <c r="Q41" s="23">
        <v>6.0</v>
      </c>
      <c r="R41" s="23">
        <v>69.0</v>
      </c>
      <c r="S41" s="23">
        <v>0.0</v>
      </c>
      <c r="T41" s="22">
        <v>12.0</v>
      </c>
      <c r="U41" s="22">
        <v>177.0</v>
      </c>
      <c r="V41" s="22">
        <v>160.0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1459.0</v>
      </c>
      <c r="M42" s="22">
        <v>9858.0</v>
      </c>
      <c r="N42" s="22">
        <v>11475.0</v>
      </c>
      <c r="O42" s="23">
        <v>20.0</v>
      </c>
      <c r="P42" s="23">
        <v>278.0</v>
      </c>
      <c r="Q42" s="23">
        <v>4.0</v>
      </c>
      <c r="R42" s="23">
        <v>73.0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1524.0</v>
      </c>
      <c r="M43" s="22">
        <v>11382.0</v>
      </c>
      <c r="N43" s="22">
        <v>13270.0</v>
      </c>
      <c r="O43" s="23">
        <v>19.0</v>
      </c>
      <c r="P43" s="23">
        <v>297.0</v>
      </c>
      <c r="Q43" s="23">
        <v>7.0</v>
      </c>
      <c r="R43" s="23">
        <v>80.0</v>
      </c>
      <c r="S43" s="23">
        <v>6.0</v>
      </c>
      <c r="T43" s="22">
        <v>20.0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1338.0</v>
      </c>
      <c r="M44" s="22">
        <v>12720.0</v>
      </c>
      <c r="N44" s="22">
        <v>14885.0</v>
      </c>
      <c r="O44" s="23">
        <v>32.0</v>
      </c>
      <c r="P44" s="23">
        <v>329.0</v>
      </c>
      <c r="Q44" s="23">
        <v>8.0</v>
      </c>
      <c r="R44" s="23">
        <v>88.0</v>
      </c>
      <c r="S44" s="23">
        <v>4.0</v>
      </c>
      <c r="T44" s="22">
        <v>24.0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2329.0</v>
      </c>
      <c r="M45" s="22">
        <v>15049.0</v>
      </c>
      <c r="N45" s="22">
        <v>17614.0</v>
      </c>
      <c r="O45" s="23">
        <v>29.0</v>
      </c>
      <c r="P45" s="23">
        <v>358.0</v>
      </c>
      <c r="Q45" s="23">
        <v>17.0</v>
      </c>
      <c r="R45" s="23">
        <v>105.0</v>
      </c>
      <c r="S45" s="23">
        <v>5.0</v>
      </c>
      <c r="T45" s="22">
        <v>29.0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1691.0</v>
      </c>
      <c r="M46" s="22">
        <v>16740.0</v>
      </c>
      <c r="N46" s="22">
        <v>19586.0</v>
      </c>
      <c r="O46" s="23">
        <v>29.0</v>
      </c>
      <c r="P46" s="23">
        <v>387.0</v>
      </c>
      <c r="Q46" s="23">
        <v>11.0</v>
      </c>
      <c r="R46" s="23">
        <v>116.0</v>
      </c>
      <c r="S46" s="23">
        <v>2.0</v>
      </c>
      <c r="T46" s="22">
        <v>31.0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1403.0</v>
      </c>
      <c r="M47" s="22">
        <v>18143.0</v>
      </c>
      <c r="N47" s="22">
        <v>21274.0</v>
      </c>
      <c r="O47" s="23">
        <v>35.0</v>
      </c>
      <c r="P47" s="23">
        <v>422.0</v>
      </c>
      <c r="Q47" s="23">
        <v>13.0</v>
      </c>
      <c r="R47" s="23">
        <v>129.0</v>
      </c>
      <c r="S47" s="23">
        <v>5.0</v>
      </c>
      <c r="T47" s="22">
        <v>36.0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828.0</v>
      </c>
      <c r="M48" s="22">
        <v>18971.0</v>
      </c>
      <c r="N48" s="22">
        <v>22289.0</v>
      </c>
      <c r="O48" s="23">
        <v>35.0</v>
      </c>
      <c r="P48" s="23">
        <v>457.0</v>
      </c>
      <c r="Q48" s="23">
        <v>13.0</v>
      </c>
      <c r="R48" s="23">
        <v>142.0</v>
      </c>
      <c r="S48" s="23">
        <v>3.0</v>
      </c>
      <c r="T48" s="22">
        <v>39.0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1498.0</v>
      </c>
      <c r="M49" s="22">
        <v>20469.0</v>
      </c>
      <c r="N49" s="22">
        <v>24049.0</v>
      </c>
      <c r="O49" s="23">
        <v>27.0</v>
      </c>
      <c r="P49" s="23">
        <v>484.0</v>
      </c>
      <c r="Q49" s="23">
        <v>18.0</v>
      </c>
      <c r="R49" s="23">
        <v>160.0</v>
      </c>
      <c r="S49" s="23">
        <v>5.0</v>
      </c>
      <c r="T49" s="22">
        <v>44.0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1521.0</v>
      </c>
      <c r="M50" s="22">
        <v>21990.0</v>
      </c>
      <c r="N50" s="22">
        <v>25876.0</v>
      </c>
      <c r="O50" s="23">
        <v>31.0</v>
      </c>
      <c r="P50" s="23">
        <v>515.0</v>
      </c>
      <c r="Q50" s="23">
        <v>20.0</v>
      </c>
      <c r="R50" s="23">
        <v>180.0</v>
      </c>
      <c r="S50" s="23">
        <v>3.0</v>
      </c>
      <c r="T50" s="22">
        <v>47.0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2043.0</v>
      </c>
      <c r="M51" s="22">
        <v>24033.0</v>
      </c>
      <c r="N51" s="22">
        <v>28306.0</v>
      </c>
      <c r="O51" s="23">
        <v>36.0</v>
      </c>
      <c r="P51" s="23">
        <v>551.0</v>
      </c>
      <c r="Q51" s="23">
        <v>25.0</v>
      </c>
      <c r="R51" s="23">
        <v>205.0</v>
      </c>
      <c r="S51" s="23">
        <v>6.0</v>
      </c>
      <c r="T51" s="22">
        <v>53.0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1418.0</v>
      </c>
      <c r="M52" s="22">
        <v>25451.0</v>
      </c>
      <c r="N52" s="22">
        <v>30014.0</v>
      </c>
      <c r="O52" s="23">
        <v>32.0</v>
      </c>
      <c r="P52" s="23">
        <v>583.0</v>
      </c>
      <c r="Q52" s="23">
        <v>20.0</v>
      </c>
      <c r="R52" s="23">
        <v>225.0</v>
      </c>
      <c r="S52" s="23">
        <v>7.0</v>
      </c>
      <c r="T52" s="22">
        <v>60.0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1300.0</v>
      </c>
      <c r="M53" s="22">
        <v>26751.0</v>
      </c>
      <c r="N53" s="22">
        <v>31598.0</v>
      </c>
      <c r="O53" s="23">
        <v>26.0</v>
      </c>
      <c r="P53" s="23">
        <v>609.0</v>
      </c>
      <c r="Q53" s="23">
        <v>18.0</v>
      </c>
      <c r="R53" s="23">
        <v>243.0</v>
      </c>
      <c r="S53" s="23">
        <v>4.0</v>
      </c>
      <c r="T53" s="22">
        <v>64.0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1707.0</v>
      </c>
      <c r="M54" s="22">
        <v>28458.0</v>
      </c>
      <c r="N54" s="22">
        <v>33642.0</v>
      </c>
      <c r="O54" s="23">
        <v>23.0</v>
      </c>
      <c r="P54" s="23">
        <v>632.0</v>
      </c>
      <c r="Q54" s="23">
        <v>26.0</v>
      </c>
      <c r="R54" s="23">
        <v>269.0</v>
      </c>
      <c r="S54" s="23">
        <v>1.0</v>
      </c>
      <c r="T54" s="22">
        <v>65.0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1550.0</v>
      </c>
      <c r="M55" s="22">
        <v>30008.0</v>
      </c>
      <c r="N55" s="22">
        <v>35568.0</v>
      </c>
      <c r="O55" s="23">
        <v>46.0</v>
      </c>
      <c r="P55" s="23">
        <v>678.0</v>
      </c>
      <c r="Q55" s="23">
        <v>29.0</v>
      </c>
      <c r="R55" s="23">
        <v>298.0</v>
      </c>
      <c r="S55" s="23">
        <v>2.0</v>
      </c>
      <c r="T55" s="22">
        <v>67.0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1672.0</v>
      </c>
      <c r="M56" s="22">
        <v>31680.0</v>
      </c>
      <c r="N56" s="22">
        <v>37623.0</v>
      </c>
      <c r="O56" s="23">
        <v>45.0</v>
      </c>
      <c r="P56" s="23">
        <v>723.0</v>
      </c>
      <c r="Q56" s="23">
        <v>32.0</v>
      </c>
      <c r="R56" s="23">
        <v>330.0</v>
      </c>
      <c r="S56" s="23">
        <v>5.0</v>
      </c>
      <c r="T56" s="22">
        <v>72.0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1880.0</v>
      </c>
      <c r="M57" s="22">
        <v>33560.0</v>
      </c>
      <c r="N57" s="22">
        <v>39882.0</v>
      </c>
      <c r="O57" s="23">
        <v>41.0</v>
      </c>
      <c r="P57" s="23">
        <v>764.0</v>
      </c>
      <c r="Q57" s="23">
        <v>32.0</v>
      </c>
      <c r="R57" s="23">
        <v>362.0</v>
      </c>
      <c r="S57" s="23">
        <v>5.0</v>
      </c>
      <c r="T57" s="22">
        <v>77.0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1829.0</v>
      </c>
      <c r="M58" s="22">
        <v>35389.0</v>
      </c>
      <c r="N58" s="22">
        <v>42123.0</v>
      </c>
      <c r="O58" s="23">
        <v>32.0</v>
      </c>
      <c r="P58" s="23">
        <v>796.0</v>
      </c>
      <c r="Q58" s="23">
        <v>28.0</v>
      </c>
      <c r="R58" s="23">
        <v>390.0</v>
      </c>
      <c r="S58" s="23">
        <v>5.0</v>
      </c>
      <c r="T58" s="22">
        <v>82.0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2571.0</v>
      </c>
      <c r="M59" s="22">
        <v>37960.0</v>
      </c>
      <c r="N59" s="22">
        <v>45101.0</v>
      </c>
      <c r="O59" s="23">
        <v>35.0</v>
      </c>
      <c r="P59" s="23">
        <v>831.0</v>
      </c>
      <c r="Q59" s="23">
        <v>26.0</v>
      </c>
      <c r="R59" s="23">
        <v>416.0</v>
      </c>
      <c r="S59" s="23">
        <v>4.0</v>
      </c>
      <c r="T59" s="22">
        <v>86.0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7440.0</v>
      </c>
      <c r="L60" s="22">
        <v>1731.0</v>
      </c>
      <c r="M60" s="22">
        <v>39691.0</v>
      </c>
      <c r="N60" s="22">
        <v>47131.0</v>
      </c>
      <c r="O60" s="23">
        <v>34.0</v>
      </c>
      <c r="P60" s="23">
        <v>865.0</v>
      </c>
      <c r="Q60" s="23">
        <v>17.0</v>
      </c>
      <c r="R60" s="23">
        <v>433.0</v>
      </c>
      <c r="S60" s="23">
        <v>5.0</v>
      </c>
      <c r="T60" s="22">
        <v>91.0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7714.0</v>
      </c>
      <c r="L61" s="22">
        <v>1845.0</v>
      </c>
      <c r="M61" s="22">
        <v>41536.0</v>
      </c>
      <c r="N61" s="22">
        <v>49250.0</v>
      </c>
      <c r="O61" s="23">
        <v>33.0</v>
      </c>
      <c r="P61" s="23">
        <v>898.0</v>
      </c>
      <c r="Q61" s="23">
        <v>15.0</v>
      </c>
      <c r="R61" s="23">
        <v>448.0</v>
      </c>
      <c r="S61" s="23">
        <v>3.0</v>
      </c>
      <c r="T61" s="22">
        <v>94.0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7920.0</v>
      </c>
      <c r="L62" s="22">
        <v>1140.0</v>
      </c>
      <c r="M62" s="22">
        <v>42676.0</v>
      </c>
      <c r="N62" s="22">
        <v>50596.0</v>
      </c>
      <c r="O62" s="23">
        <v>29.0</v>
      </c>
      <c r="P62" s="23">
        <v>927.0</v>
      </c>
      <c r="Q62" s="23">
        <v>21.0</v>
      </c>
      <c r="R62" s="23">
        <v>469.0</v>
      </c>
      <c r="S62" s="23">
        <v>4.0</v>
      </c>
      <c r="T62" s="22">
        <v>98.0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8252.0</v>
      </c>
      <c r="L63" s="22">
        <v>1699.0</v>
      </c>
      <c r="M63" s="22">
        <v>44375.0</v>
      </c>
      <c r="N63" s="22">
        <v>52627.0</v>
      </c>
      <c r="O63" s="23">
        <v>44.0</v>
      </c>
      <c r="P63" s="23">
        <v>971.0</v>
      </c>
      <c r="Q63" s="23">
        <v>24.0</v>
      </c>
      <c r="R63" s="23">
        <v>493.0</v>
      </c>
      <c r="S63" s="23">
        <v>3.0</v>
      </c>
      <c r="T63" s="22">
        <v>101.0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2363.0</v>
      </c>
      <c r="M64" s="22">
        <v>46738.0</v>
      </c>
      <c r="N64" s="22">
        <v>55361.0</v>
      </c>
      <c r="O64" s="23">
        <v>36.0</v>
      </c>
      <c r="P64" s="23">
        <v>1007.0</v>
      </c>
      <c r="Q64" s="23">
        <v>38.0</v>
      </c>
      <c r="R64" s="23">
        <v>531.0</v>
      </c>
      <c r="S64" s="23">
        <v>11.0</v>
      </c>
      <c r="T64" s="22">
        <v>112.0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1861.0</v>
      </c>
      <c r="M65" s="22">
        <v>48599.0</v>
      </c>
      <c r="N65" s="22">
        <v>57572.0</v>
      </c>
      <c r="O65" s="23">
        <v>33.0</v>
      </c>
      <c r="P65" s="23">
        <v>1040.0</v>
      </c>
      <c r="Q65" s="23">
        <v>38.0</v>
      </c>
      <c r="R65" s="23">
        <v>569.0</v>
      </c>
      <c r="S65" s="23">
        <v>6.0</v>
      </c>
      <c r="T65" s="22">
        <v>118.0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9296.0</v>
      </c>
      <c r="L66" s="22">
        <v>2121.0</v>
      </c>
      <c r="M66" s="22">
        <v>50720.0</v>
      </c>
      <c r="N66" s="22">
        <v>60016.0</v>
      </c>
      <c r="O66" s="23">
        <v>51.0</v>
      </c>
      <c r="P66" s="23">
        <v>1091.0</v>
      </c>
      <c r="Q66" s="23">
        <v>39.0</v>
      </c>
      <c r="R66" s="23">
        <v>608.0</v>
      </c>
      <c r="S66" s="23">
        <v>3.0</v>
      </c>
      <c r="T66" s="22">
        <v>121.0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9488.0</v>
      </c>
      <c r="L67" s="22">
        <v>1247.0</v>
      </c>
      <c r="M67" s="22">
        <v>51967.0</v>
      </c>
      <c r="N67" s="22">
        <v>61455.0</v>
      </c>
      <c r="O67" s="23">
        <v>36.0</v>
      </c>
      <c r="P67" s="23">
        <v>1127.0</v>
      </c>
      <c r="Q67" s="23">
        <v>38.0</v>
      </c>
      <c r="R67" s="23">
        <v>646.0</v>
      </c>
      <c r="S67" s="23">
        <v>5.0</v>
      </c>
      <c r="T67" s="22">
        <v>126.0</v>
      </c>
      <c r="U67" s="22">
        <v>355.0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9671.0</v>
      </c>
      <c r="L68" s="22">
        <v>1542.0</v>
      </c>
      <c r="M68" s="22">
        <v>53509.0</v>
      </c>
      <c r="N68" s="22">
        <v>63180.0</v>
      </c>
      <c r="O68" s="23">
        <v>31.0</v>
      </c>
      <c r="P68" s="23">
        <v>1158.0</v>
      </c>
      <c r="Q68" s="23">
        <v>26.0</v>
      </c>
      <c r="R68" s="23">
        <v>672.0</v>
      </c>
      <c r="S68" s="23">
        <v>8.0</v>
      </c>
      <c r="T68" s="22">
        <v>134.0</v>
      </c>
      <c r="U68" s="22">
        <v>352.0</v>
      </c>
      <c r="V68" s="22">
        <v>356.0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9961.0</v>
      </c>
      <c r="L69" s="22">
        <v>1532.0</v>
      </c>
      <c r="M69" s="22">
        <v>55041.0</v>
      </c>
      <c r="N69" s="22">
        <v>65002.0</v>
      </c>
      <c r="O69" s="23">
        <v>30.0</v>
      </c>
      <c r="P69" s="23">
        <v>1188.0</v>
      </c>
      <c r="Q69" s="23">
        <v>31.0</v>
      </c>
      <c r="R69" s="23">
        <v>703.0</v>
      </c>
      <c r="S69" s="23">
        <v>6.0</v>
      </c>
      <c r="T69" s="22">
        <v>140.0</v>
      </c>
      <c r="U69" s="22">
        <v>345.0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10261.0</v>
      </c>
      <c r="L70" s="22">
        <v>1927.0</v>
      </c>
      <c r="M70" s="22">
        <v>56968.0</v>
      </c>
      <c r="N70" s="22">
        <v>67229.0</v>
      </c>
      <c r="O70" s="23">
        <v>29.0</v>
      </c>
      <c r="P70" s="23">
        <v>1217.0</v>
      </c>
      <c r="Q70" s="23">
        <v>32.0</v>
      </c>
      <c r="R70" s="23">
        <v>735.0</v>
      </c>
      <c r="S70" s="23">
        <v>6.0</v>
      </c>
      <c r="T70" s="22">
        <v>146.0</v>
      </c>
      <c r="U70" s="22">
        <v>336.0</v>
      </c>
      <c r="V70" s="22">
        <v>344.0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10601.0</v>
      </c>
      <c r="L71" s="22">
        <v>1892.0</v>
      </c>
      <c r="M71" s="22">
        <v>58860.0</v>
      </c>
      <c r="N71" s="22">
        <v>69461.0</v>
      </c>
      <c r="O71" s="23">
        <v>28.0</v>
      </c>
      <c r="P71" s="23">
        <v>1245.0</v>
      </c>
      <c r="Q71" s="23">
        <v>44.0</v>
      </c>
      <c r="R71" s="23">
        <v>779.0</v>
      </c>
      <c r="S71" s="23">
        <v>9.0</v>
      </c>
      <c r="T71" s="22">
        <v>155.0</v>
      </c>
      <c r="U71" s="22">
        <v>311.0</v>
      </c>
      <c r="V71" s="22">
        <v>331.0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10870.0</v>
      </c>
      <c r="L72" s="22">
        <v>1932.0</v>
      </c>
      <c r="M72" s="22">
        <v>60792.0</v>
      </c>
      <c r="N72" s="22">
        <v>71662.0</v>
      </c>
      <c r="O72" s="23">
        <v>36.0</v>
      </c>
      <c r="P72" s="23">
        <v>1281.0</v>
      </c>
      <c r="Q72" s="23">
        <v>43.0</v>
      </c>
      <c r="R72" s="23">
        <v>822.0</v>
      </c>
      <c r="S72" s="23">
        <v>5.0</v>
      </c>
      <c r="T72" s="22">
        <v>160.0</v>
      </c>
      <c r="U72" s="22">
        <v>299.0</v>
      </c>
      <c r="V72" s="22">
        <v>315.0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11099.0</v>
      </c>
      <c r="L73" s="22">
        <v>1712.0</v>
      </c>
      <c r="M73" s="22">
        <v>62504.0</v>
      </c>
      <c r="N73" s="22">
        <v>73603.0</v>
      </c>
      <c r="O73" s="23">
        <v>30.0</v>
      </c>
      <c r="P73" s="23">
        <v>1311.0</v>
      </c>
      <c r="Q73" s="23">
        <v>29.0</v>
      </c>
      <c r="R73" s="23">
        <v>851.0</v>
      </c>
      <c r="S73" s="23">
        <v>5.0</v>
      </c>
      <c r="T73" s="22">
        <v>165.0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11389.0</v>
      </c>
      <c r="L74" s="22">
        <v>2206.0</v>
      </c>
      <c r="M74" s="22">
        <v>64710.0</v>
      </c>
      <c r="N74" s="22">
        <v>76099.0</v>
      </c>
      <c r="O74" s="23">
        <v>22.0</v>
      </c>
      <c r="P74" s="23">
        <v>1333.0</v>
      </c>
      <c r="Q74" s="23">
        <v>21.0</v>
      </c>
      <c r="R74" s="23">
        <v>872.0</v>
      </c>
      <c r="S74" s="23">
        <v>4.0</v>
      </c>
      <c r="T74" s="22">
        <v>169.0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11578.0</v>
      </c>
      <c r="L75" s="22">
        <v>1490.0</v>
      </c>
      <c r="M75" s="22">
        <v>66200.0</v>
      </c>
      <c r="N75" s="22">
        <v>77778.0</v>
      </c>
      <c r="O75" s="23">
        <v>20.0</v>
      </c>
      <c r="P75" s="23">
        <v>1353.0</v>
      </c>
      <c r="Q75" s="23">
        <v>23.0</v>
      </c>
      <c r="R75" s="23">
        <v>895.0</v>
      </c>
      <c r="S75" s="23">
        <v>6.0</v>
      </c>
      <c r="T75" s="22">
        <v>175.0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11752.0</v>
      </c>
      <c r="L76" s="22">
        <v>1277.0</v>
      </c>
      <c r="M76" s="22">
        <v>67477.0</v>
      </c>
      <c r="N76" s="22">
        <v>79229.0</v>
      </c>
      <c r="O76" s="23">
        <v>31.0</v>
      </c>
      <c r="P76" s="23">
        <v>1384.0</v>
      </c>
      <c r="Q76" s="23">
        <v>16.0</v>
      </c>
      <c r="R76" s="23">
        <v>911.0</v>
      </c>
      <c r="S76" s="23">
        <v>6.0</v>
      </c>
      <c r="T76" s="22">
        <v>181.0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11976.0</v>
      </c>
      <c r="L77" s="22">
        <v>1640.0</v>
      </c>
      <c r="M77" s="22">
        <v>69117.0</v>
      </c>
      <c r="N77" s="22">
        <v>81093.0</v>
      </c>
      <c r="O77" s="23">
        <v>23.0</v>
      </c>
      <c r="P77" s="23">
        <v>1407.0</v>
      </c>
      <c r="Q77" s="23">
        <v>18.0</v>
      </c>
      <c r="R77" s="23">
        <v>929.0</v>
      </c>
      <c r="S77" s="23">
        <v>4.0</v>
      </c>
      <c r="T77" s="22">
        <v>185.0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12175.0</v>
      </c>
      <c r="L78" s="22">
        <v>1927.0</v>
      </c>
      <c r="M78" s="22">
        <v>71044.0</v>
      </c>
      <c r="N78" s="22">
        <v>83219.0</v>
      </c>
      <c r="O78" s="23">
        <v>23.0</v>
      </c>
      <c r="P78" s="23">
        <v>1430.0</v>
      </c>
      <c r="Q78" s="23">
        <v>25.0</v>
      </c>
      <c r="R78" s="23">
        <v>954.0</v>
      </c>
      <c r="S78" s="23">
        <v>1.0</v>
      </c>
      <c r="T78" s="22">
        <v>186.0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12407.0</v>
      </c>
      <c r="L79" s="22">
        <v>1970.0</v>
      </c>
      <c r="M79" s="22">
        <v>73014.0</v>
      </c>
      <c r="N79" s="22">
        <v>85421.0</v>
      </c>
      <c r="O79" s="23">
        <v>19.0</v>
      </c>
      <c r="P79" s="23">
        <v>1449.0</v>
      </c>
      <c r="Q79" s="23">
        <v>27.0</v>
      </c>
      <c r="R79" s="23">
        <v>981.0</v>
      </c>
      <c r="S79" s="23">
        <v>3.0</v>
      </c>
      <c r="T79" s="22">
        <v>189.0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12639.0</v>
      </c>
      <c r="L80" s="22">
        <v>1772.0</v>
      </c>
      <c r="M80" s="22">
        <v>74786.0</v>
      </c>
      <c r="N80" s="22">
        <v>87425.0</v>
      </c>
      <c r="O80" s="23">
        <v>24.0</v>
      </c>
      <c r="P80" s="23">
        <v>1473.0</v>
      </c>
      <c r="Q80" s="23">
        <v>41.0</v>
      </c>
      <c r="R80" s="23">
        <v>1022.0</v>
      </c>
      <c r="S80" s="23">
        <v>5.0</v>
      </c>
      <c r="T80" s="22">
        <v>194.0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12886.0</v>
      </c>
      <c r="L81" s="22">
        <v>1913.0</v>
      </c>
      <c r="M81" s="22">
        <v>76699.0</v>
      </c>
      <c r="N81" s="22">
        <v>89585.0</v>
      </c>
      <c r="O81" s="23">
        <v>25.0</v>
      </c>
      <c r="P81" s="23">
        <v>1498.0</v>
      </c>
      <c r="Q81" s="23">
        <v>15.0</v>
      </c>
      <c r="R81" s="23">
        <v>1037.0</v>
      </c>
      <c r="S81" s="23">
        <v>5.0</v>
      </c>
      <c r="T81" s="22">
        <v>199.0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1520.0</v>
      </c>
      <c r="M82" s="22">
        <v>78219.0</v>
      </c>
      <c r="N82" s="22">
        <v>91231.0</v>
      </c>
      <c r="O82" s="23">
        <v>17.0</v>
      </c>
      <c r="P82" s="23">
        <v>1515.0</v>
      </c>
      <c r="Q82" s="23">
        <v>9.0</v>
      </c>
      <c r="R82" s="23">
        <v>1046.0</v>
      </c>
      <c r="S82" s="23">
        <v>5.0</v>
      </c>
      <c r="T82" s="22">
        <v>204.0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1354.0</v>
      </c>
      <c r="M83" s="22">
        <v>79573.0</v>
      </c>
      <c r="N83" s="22">
        <v>92720.0</v>
      </c>
      <c r="O83" s="23">
        <v>19.0</v>
      </c>
      <c r="P83" s="23">
        <v>1534.0</v>
      </c>
      <c r="Q83" s="23">
        <v>16.0</v>
      </c>
      <c r="R83" s="23">
        <v>1062.0</v>
      </c>
      <c r="S83" s="23">
        <v>5.0</v>
      </c>
      <c r="T83" s="22">
        <v>209.0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1900.0</v>
      </c>
      <c r="M84" s="22">
        <v>81473.0</v>
      </c>
      <c r="N84" s="22">
        <v>94835.0</v>
      </c>
      <c r="O84" s="23">
        <v>23.0</v>
      </c>
      <c r="P84" s="23">
        <v>1557.0</v>
      </c>
      <c r="Q84" s="23">
        <v>33.0</v>
      </c>
      <c r="R84" s="23">
        <v>1095.0</v>
      </c>
      <c r="S84" s="23">
        <v>5.0</v>
      </c>
      <c r="T84" s="22">
        <v>214.0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13546.0</v>
      </c>
      <c r="L85" s="22">
        <v>1499.0</v>
      </c>
      <c r="M85" s="22">
        <v>82972.0</v>
      </c>
      <c r="N85" s="22">
        <v>96518.0</v>
      </c>
      <c r="O85" s="23">
        <v>19.0</v>
      </c>
      <c r="P85" s="23">
        <v>1576.0</v>
      </c>
      <c r="Q85" s="23">
        <v>23.0</v>
      </c>
      <c r="R85" s="23">
        <v>1118.0</v>
      </c>
      <c r="S85" s="23">
        <v>7.0</v>
      </c>
      <c r="T85" s="22">
        <v>221.0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1915.0</v>
      </c>
      <c r="M86" s="22">
        <v>84887.0</v>
      </c>
      <c r="N86" s="22">
        <v>98601.0</v>
      </c>
      <c r="O86" s="23">
        <v>25.0</v>
      </c>
      <c r="P86" s="23">
        <v>1601.0</v>
      </c>
      <c r="Q86" s="23">
        <v>15.0</v>
      </c>
      <c r="R86" s="23">
        <v>1133.0</v>
      </c>
      <c r="S86" s="23">
        <v>3.0</v>
      </c>
      <c r="T86" s="22">
        <v>224.0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1583.0</v>
      </c>
      <c r="M87" s="22">
        <v>86470.0</v>
      </c>
      <c r="N87" s="22">
        <v>100390.0</v>
      </c>
      <c r="O87" s="23">
        <v>20.0</v>
      </c>
      <c r="P87" s="23">
        <v>1621.0</v>
      </c>
      <c r="Q87" s="23">
        <v>28.0</v>
      </c>
      <c r="R87" s="23">
        <v>1161.0</v>
      </c>
      <c r="S87" s="23">
        <v>5.0</v>
      </c>
      <c r="T87" s="22">
        <v>229.0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1250.0</v>
      </c>
      <c r="M88" s="22">
        <v>87720.0</v>
      </c>
      <c r="N88" s="22">
        <v>101749.0</v>
      </c>
      <c r="O88" s="23">
        <v>19.0</v>
      </c>
      <c r="P88" s="23">
        <v>1640.0</v>
      </c>
      <c r="Q88" s="23">
        <v>11.0</v>
      </c>
      <c r="R88" s="23">
        <v>1172.0</v>
      </c>
      <c r="S88" s="23">
        <v>3.0</v>
      </c>
      <c r="T88" s="22">
        <v>232.0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14112.0</v>
      </c>
      <c r="L89" s="22">
        <v>765.0</v>
      </c>
      <c r="M89" s="22">
        <v>88485.0</v>
      </c>
      <c r="N89" s="22">
        <v>102597.0</v>
      </c>
      <c r="O89" s="23">
        <v>13.0</v>
      </c>
      <c r="P89" s="23">
        <v>1653.0</v>
      </c>
      <c r="Q89" s="23">
        <v>14.0</v>
      </c>
      <c r="R89" s="23">
        <v>1186.0</v>
      </c>
      <c r="S89" s="23">
        <v>2.0</v>
      </c>
      <c r="T89" s="22">
        <v>234.0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755.0</v>
      </c>
      <c r="M90" s="22">
        <v>89240.0</v>
      </c>
      <c r="N90" s="22">
        <v>103428.0</v>
      </c>
      <c r="O90" s="23">
        <v>14.0</v>
      </c>
      <c r="P90" s="23">
        <v>1667.0</v>
      </c>
      <c r="Q90" s="23">
        <v>14.0</v>
      </c>
      <c r="R90" s="23">
        <v>1200.0</v>
      </c>
      <c r="S90" s="23">
        <v>0.0</v>
      </c>
      <c r="T90" s="22">
        <v>234.0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14346.0</v>
      </c>
      <c r="L91" s="22">
        <v>1758.0</v>
      </c>
      <c r="M91" s="22">
        <v>90998.0</v>
      </c>
      <c r="N91" s="22">
        <v>105344.0</v>
      </c>
      <c r="O91" s="23">
        <v>24.0</v>
      </c>
      <c r="P91" s="23">
        <v>1691.0</v>
      </c>
      <c r="Q91" s="23">
        <v>21.0</v>
      </c>
      <c r="R91" s="23">
        <v>1221.0</v>
      </c>
      <c r="S91" s="23">
        <v>5.0</v>
      </c>
      <c r="T91" s="22">
        <v>239.0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1120.0</v>
      </c>
      <c r="M92" s="22">
        <v>92118.0</v>
      </c>
      <c r="N92" s="22">
        <v>106596.0</v>
      </c>
      <c r="O92" s="23">
        <v>20.0</v>
      </c>
      <c r="P92" s="23">
        <v>1711.0</v>
      </c>
      <c r="Q92" s="23">
        <v>18.0</v>
      </c>
      <c r="R92" s="23">
        <v>1239.0</v>
      </c>
      <c r="S92" s="23">
        <v>3.0</v>
      </c>
      <c r="T92" s="22">
        <v>242.0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1106.0</v>
      </c>
      <c r="M93" s="22">
        <v>93224.0</v>
      </c>
      <c r="N93" s="22">
        <v>107832.0</v>
      </c>
      <c r="O93" s="23">
        <v>17.0</v>
      </c>
      <c r="P93" s="23">
        <v>1728.0</v>
      </c>
      <c r="Q93" s="23">
        <v>29.0</v>
      </c>
      <c r="R93" s="23">
        <v>1268.0</v>
      </c>
      <c r="S93" s="23">
        <v>4.0</v>
      </c>
      <c r="T93" s="22">
        <v>246.0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14782.0</v>
      </c>
      <c r="L94" s="22">
        <v>1555.0</v>
      </c>
      <c r="M94" s="22">
        <v>94779.0</v>
      </c>
      <c r="N94" s="22">
        <v>109561.0</v>
      </c>
      <c r="O94" s="23">
        <v>19.0</v>
      </c>
      <c r="P94" s="23">
        <v>1747.0</v>
      </c>
      <c r="Q94" s="23">
        <v>26.0</v>
      </c>
      <c r="R94" s="23">
        <v>1294.0</v>
      </c>
      <c r="S94" s="23">
        <v>7.0</v>
      </c>
      <c r="T94" s="22">
        <v>253.0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14891.0</v>
      </c>
      <c r="L95" s="22">
        <v>1796.0</v>
      </c>
      <c r="M95" s="22">
        <v>96575.0</v>
      </c>
      <c r="N95" s="22">
        <v>111466.0</v>
      </c>
      <c r="O95" s="23">
        <v>16.0</v>
      </c>
      <c r="P95" s="23">
        <v>1763.0</v>
      </c>
      <c r="Q95" s="23">
        <v>19.0</v>
      </c>
      <c r="R95" s="23">
        <v>1313.0</v>
      </c>
      <c r="S95" s="23">
        <v>4.0</v>
      </c>
      <c r="T95" s="22">
        <v>257.0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14969.0</v>
      </c>
      <c r="L96" s="22">
        <v>849.0</v>
      </c>
      <c r="M96" s="22">
        <v>97424.0</v>
      </c>
      <c r="N96" s="22">
        <v>112393.0</v>
      </c>
      <c r="O96" s="23">
        <v>11.0</v>
      </c>
      <c r="P96" s="23">
        <v>1774.0</v>
      </c>
      <c r="Q96" s="23">
        <v>11.0</v>
      </c>
      <c r="R96" s="23">
        <v>1324.0</v>
      </c>
      <c r="S96" s="23">
        <v>1.0</v>
      </c>
      <c r="T96" s="22">
        <v>258.0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15062.0</v>
      </c>
      <c r="L97" s="22">
        <v>1369.0</v>
      </c>
      <c r="M97" s="22">
        <v>98793.0</v>
      </c>
      <c r="N97" s="22">
        <v>113855.0</v>
      </c>
      <c r="O97" s="26">
        <v>8.0</v>
      </c>
      <c r="P97" s="26">
        <v>1782.0</v>
      </c>
      <c r="Q97" s="26">
        <v>14.0</v>
      </c>
      <c r="R97" s="26">
        <v>1338.0</v>
      </c>
      <c r="S97" s="26">
        <v>1.0</v>
      </c>
      <c r="T97" s="26">
        <v>259.0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15160.0</v>
      </c>
      <c r="L98" s="22">
        <v>1419.0</v>
      </c>
      <c r="M98" s="22">
        <v>100212.0</v>
      </c>
      <c r="N98" s="22">
        <v>115372.0</v>
      </c>
      <c r="O98" s="26">
        <v>8.0</v>
      </c>
      <c r="P98" s="26">
        <v>1790.0</v>
      </c>
      <c r="Q98" s="26">
        <v>10.0</v>
      </c>
      <c r="R98" s="26">
        <v>1348.0</v>
      </c>
      <c r="S98" s="26">
        <v>3.0</v>
      </c>
      <c r="T98" s="26">
        <v>262.0</v>
      </c>
      <c r="U98" s="26">
        <v>180.0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15259.0</v>
      </c>
      <c r="L99" s="22">
        <v>1640.0</v>
      </c>
      <c r="M99" s="22">
        <v>101852.0</v>
      </c>
      <c r="N99" s="22">
        <v>117111.0</v>
      </c>
      <c r="O99" s="26">
        <v>14.0</v>
      </c>
      <c r="P99" s="26">
        <v>1804.0</v>
      </c>
      <c r="Q99" s="26">
        <v>18.0</v>
      </c>
      <c r="R99" s="26">
        <v>1366.0</v>
      </c>
      <c r="S99" s="26">
        <v>6.0</v>
      </c>
      <c r="T99" s="26">
        <v>268.0</v>
      </c>
      <c r="U99" s="26">
        <v>170.0</v>
      </c>
      <c r="V99" s="26">
        <v>178.0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15366.0</v>
      </c>
      <c r="L100" s="22">
        <v>2014.0</v>
      </c>
      <c r="M100" s="22">
        <v>103866.0</v>
      </c>
      <c r="N100" s="22">
        <v>119232.0</v>
      </c>
      <c r="O100" s="26">
        <v>7.0</v>
      </c>
      <c r="P100" s="26">
        <v>1811.0</v>
      </c>
      <c r="Q100" s="26">
        <v>26.0</v>
      </c>
      <c r="R100" s="26">
        <v>1392.0</v>
      </c>
      <c r="S100" s="26">
        <v>4.0</v>
      </c>
      <c r="T100" s="26">
        <v>272.0</v>
      </c>
      <c r="U100" s="26">
        <v>147.0</v>
      </c>
      <c r="V100" s="26">
        <v>166.0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15465.0</v>
      </c>
      <c r="L101" s="22">
        <v>1550.0</v>
      </c>
      <c r="M101" s="22">
        <v>105416.0</v>
      </c>
      <c r="N101" s="22">
        <v>120881.0</v>
      </c>
      <c r="O101" s="26">
        <v>15.0</v>
      </c>
      <c r="P101" s="26">
        <v>1826.0</v>
      </c>
      <c r="Q101" s="26">
        <v>13.0</v>
      </c>
      <c r="R101" s="26">
        <v>1405.0</v>
      </c>
      <c r="S101" s="26">
        <v>6.0</v>
      </c>
      <c r="T101" s="26">
        <v>278.0</v>
      </c>
      <c r="U101" s="26">
        <v>143.0</v>
      </c>
      <c r="V101" s="26">
        <v>153.0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15532.0</v>
      </c>
      <c r="L102" s="22">
        <v>1108.0</v>
      </c>
      <c r="M102" s="22">
        <v>106524.0</v>
      </c>
      <c r="N102" s="22">
        <v>122056.0</v>
      </c>
      <c r="O102" s="26">
        <v>10.0</v>
      </c>
      <c r="P102" s="26">
        <v>1836.0</v>
      </c>
      <c r="Q102" s="26">
        <v>7.0</v>
      </c>
      <c r="R102" s="26">
        <v>1412.0</v>
      </c>
      <c r="S102" s="26">
        <v>2.0</v>
      </c>
      <c r="T102" s="26">
        <v>280.0</v>
      </c>
      <c r="U102" s="26">
        <v>144.0</v>
      </c>
      <c r="V102" s="26">
        <v>145.0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15583.0</v>
      </c>
      <c r="L103" s="22">
        <v>777.0</v>
      </c>
      <c r="M103" s="22">
        <v>107301.0</v>
      </c>
      <c r="N103" s="22">
        <v>122884.0</v>
      </c>
      <c r="O103" s="26">
        <v>11.0</v>
      </c>
      <c r="P103" s="26">
        <v>1847.0</v>
      </c>
      <c r="Q103" s="26">
        <v>7.0</v>
      </c>
      <c r="R103" s="26">
        <v>1419.0</v>
      </c>
      <c r="S103" s="26">
        <v>1.0</v>
      </c>
      <c r="T103" s="26">
        <v>281.0</v>
      </c>
      <c r="U103" s="26">
        <v>147.0</v>
      </c>
      <c r="V103" s="26">
        <v>145.0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15628.0</v>
      </c>
      <c r="L104" s="28">
        <v>949.0</v>
      </c>
      <c r="M104" s="28">
        <v>108250.0</v>
      </c>
      <c r="N104" s="28">
        <v>123878.0</v>
      </c>
      <c r="O104" s="28">
        <v>15.0</v>
      </c>
      <c r="P104" s="30">
        <v>1862.0</v>
      </c>
      <c r="Q104" s="30">
        <v>13.0</v>
      </c>
      <c r="R104" s="30">
        <v>1432.0</v>
      </c>
      <c r="S104" s="30">
        <v>2.0</v>
      </c>
      <c r="T104" s="30">
        <v>283.0</v>
      </c>
      <c r="U104" s="30">
        <v>147.0</v>
      </c>
      <c r="V104" s="30">
        <v>146.0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15692.0</v>
      </c>
      <c r="L105" s="28">
        <v>1243.0</v>
      </c>
      <c r="M105" s="28">
        <v>109493.0</v>
      </c>
      <c r="N105" s="28">
        <v>125185.0</v>
      </c>
      <c r="O105" s="28">
        <v>10.0</v>
      </c>
      <c r="P105" s="30">
        <v>1872.0</v>
      </c>
      <c r="Q105" s="30">
        <v>19.0</v>
      </c>
      <c r="R105" s="30">
        <v>1451.0</v>
      </c>
      <c r="S105" s="30">
        <v>0.0</v>
      </c>
      <c r="T105" s="30">
        <v>283.0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101.0</v>
      </c>
      <c r="J106" s="28">
        <v>70.0</v>
      </c>
      <c r="K106" s="28">
        <v>15793.0</v>
      </c>
      <c r="L106" s="28">
        <v>1450.0</v>
      </c>
      <c r="M106" s="28">
        <v>110943.0</v>
      </c>
      <c r="N106" s="28">
        <v>126736.0</v>
      </c>
      <c r="O106" s="28">
        <v>13.0</v>
      </c>
      <c r="P106" s="30">
        <v>1885.0</v>
      </c>
      <c r="Q106" s="30">
        <v>12.0</v>
      </c>
      <c r="R106" s="30">
        <v>1463.0</v>
      </c>
      <c r="S106" s="30">
        <v>2.0</v>
      </c>
      <c r="T106" s="30">
        <v>285.0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15881.0</v>
      </c>
      <c r="L107" s="28">
        <v>1515.0</v>
      </c>
      <c r="M107" s="28">
        <v>112458.0</v>
      </c>
      <c r="N107" s="28">
        <v>128339.0</v>
      </c>
      <c r="O107" s="28">
        <v>7.0</v>
      </c>
      <c r="P107" s="30">
        <v>1892.0</v>
      </c>
      <c r="Q107" s="30">
        <v>15.0</v>
      </c>
      <c r="R107" s="30">
        <v>1478.0</v>
      </c>
      <c r="S107" s="30">
        <v>1.0</v>
      </c>
      <c r="T107" s="30">
        <v>286.0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15959.0</v>
      </c>
      <c r="L108" s="28">
        <v>2160.0</v>
      </c>
      <c r="M108" s="28">
        <v>114618.0</v>
      </c>
      <c r="N108" s="28">
        <v>130577.0</v>
      </c>
      <c r="O108" s="28">
        <v>9.0</v>
      </c>
      <c r="P108" s="30">
        <v>1901.0</v>
      </c>
      <c r="Q108" s="30">
        <v>16.0</v>
      </c>
      <c r="R108" s="30">
        <v>1494.0</v>
      </c>
      <c r="S108" s="30">
        <v>1.0</v>
      </c>
      <c r="T108" s="30">
        <v>287.0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16008.0</v>
      </c>
      <c r="L109" s="28">
        <v>1359.0</v>
      </c>
      <c r="M109" s="28">
        <v>115977.0</v>
      </c>
      <c r="N109" s="28">
        <v>131985.0</v>
      </c>
      <c r="O109" s="28">
        <v>6.0</v>
      </c>
      <c r="P109" s="30">
        <v>1907.0</v>
      </c>
      <c r="Q109" s="30">
        <v>5.0</v>
      </c>
      <c r="R109" s="30">
        <v>1499.0</v>
      </c>
      <c r="S109" s="30">
        <v>0.0</v>
      </c>
      <c r="T109" s="30">
        <v>287.0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16041.0</v>
      </c>
      <c r="L110" s="28">
        <v>960.0</v>
      </c>
      <c r="M110" s="28">
        <v>116937.0</v>
      </c>
      <c r="N110" s="28">
        <v>132978.0</v>
      </c>
      <c r="O110" s="28">
        <v>7.0</v>
      </c>
      <c r="P110" s="30">
        <v>1914.0</v>
      </c>
      <c r="Q110" s="30">
        <v>8.0</v>
      </c>
      <c r="R110" s="30">
        <v>1507.0</v>
      </c>
      <c r="S110" s="30">
        <v>1.0</v>
      </c>
      <c r="T110" s="30">
        <v>288.0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16116.0</v>
      </c>
      <c r="L111" s="28">
        <v>1771.0</v>
      </c>
      <c r="M111" s="28">
        <v>118708.0</v>
      </c>
      <c r="N111" s="28">
        <v>134824.0</v>
      </c>
      <c r="O111" s="28">
        <v>14.0</v>
      </c>
      <c r="P111" s="30">
        <v>1928.0</v>
      </c>
      <c r="Q111" s="30">
        <v>19.0</v>
      </c>
      <c r="R111" s="30">
        <v>1526.0</v>
      </c>
      <c r="S111" s="30">
        <v>0.0</v>
      </c>
      <c r="T111" s="30">
        <v>288.0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16166.0</v>
      </c>
      <c r="L112" s="28">
        <v>1520.0</v>
      </c>
      <c r="M112" s="28">
        <v>120228.0</v>
      </c>
      <c r="N112" s="28">
        <v>136394.0</v>
      </c>
      <c r="O112" s="28">
        <v>11.0</v>
      </c>
      <c r="P112" s="30">
        <v>1939.0</v>
      </c>
      <c r="Q112" s="30">
        <v>9.0</v>
      </c>
      <c r="R112" s="30">
        <v>1535.0</v>
      </c>
      <c r="S112" s="30">
        <v>1.0</v>
      </c>
      <c r="T112" s="30">
        <v>289.0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16216.0</v>
      </c>
      <c r="L113" s="28">
        <v>1299.0</v>
      </c>
      <c r="M113" s="28">
        <v>121527.0</v>
      </c>
      <c r="N113" s="28">
        <v>137743.0</v>
      </c>
      <c r="O113" s="28">
        <v>15.0</v>
      </c>
      <c r="P113" s="30">
        <v>1954.0</v>
      </c>
      <c r="Q113" s="30">
        <v>21.0</v>
      </c>
      <c r="R113" s="30">
        <v>1556.0</v>
      </c>
      <c r="S113" s="30">
        <v>4.0</v>
      </c>
      <c r="T113" s="30">
        <v>293.0</v>
      </c>
      <c r="U113" s="30">
        <v>105.0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16286.0</v>
      </c>
      <c r="L114" s="28">
        <v>1306.0</v>
      </c>
      <c r="M114" s="28">
        <v>122833.0</v>
      </c>
      <c r="N114" s="28">
        <v>139119.0</v>
      </c>
      <c r="O114" s="28">
        <v>9.0</v>
      </c>
      <c r="P114" s="30">
        <v>1963.0</v>
      </c>
      <c r="Q114" s="30">
        <v>15.0</v>
      </c>
      <c r="R114" s="30">
        <v>1571.0</v>
      </c>
      <c r="S114" s="30">
        <v>1.0</v>
      </c>
      <c r="T114" s="30">
        <v>294.0</v>
      </c>
      <c r="U114" s="30">
        <v>98.0</v>
      </c>
      <c r="V114" s="30">
        <v>106.0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16345.0</v>
      </c>
      <c r="L115" s="28">
        <v>1348.0</v>
      </c>
      <c r="M115" s="28">
        <v>124181.0</v>
      </c>
      <c r="N115" s="28">
        <v>140526.0</v>
      </c>
      <c r="O115" s="28">
        <v>12.0</v>
      </c>
      <c r="P115" s="30">
        <v>1975.0</v>
      </c>
      <c r="Q115" s="30">
        <v>12.0</v>
      </c>
      <c r="R115" s="30">
        <v>1583.0</v>
      </c>
      <c r="S115" s="30">
        <v>1.0</v>
      </c>
      <c r="T115" s="30">
        <v>295.0</v>
      </c>
      <c r="U115" s="30">
        <v>97.0</v>
      </c>
      <c r="V115" s="30">
        <v>100.0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16381.0</v>
      </c>
      <c r="L116" s="28">
        <v>809.0</v>
      </c>
      <c r="M116" s="28">
        <v>124990.0</v>
      </c>
      <c r="N116" s="28">
        <v>141371.0</v>
      </c>
      <c r="O116" s="28">
        <v>9.0</v>
      </c>
      <c r="P116" s="30">
        <v>1984.0</v>
      </c>
      <c r="Q116" s="30">
        <v>12.0</v>
      </c>
      <c r="R116" s="30">
        <v>1595.0</v>
      </c>
      <c r="S116" s="30">
        <v>0.0</v>
      </c>
      <c r="T116" s="30">
        <v>295.0</v>
      </c>
      <c r="U116" s="30">
        <v>94.0</v>
      </c>
      <c r="V116" s="30">
        <v>96.0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16411.0</v>
      </c>
      <c r="L117" s="28">
        <v>685.0</v>
      </c>
      <c r="M117" s="28">
        <v>125675.0</v>
      </c>
      <c r="N117" s="28">
        <v>142086.0</v>
      </c>
      <c r="O117" s="28">
        <v>8.0</v>
      </c>
      <c r="P117" s="30">
        <v>1992.0</v>
      </c>
      <c r="Q117" s="30">
        <v>5.0</v>
      </c>
      <c r="R117" s="30">
        <v>1600.0</v>
      </c>
      <c r="S117" s="30">
        <v>0.0</v>
      </c>
      <c r="T117" s="30">
        <v>295.0</v>
      </c>
      <c r="U117" s="30">
        <v>97.0</v>
      </c>
      <c r="V117" s="30">
        <v>96.0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16476.0</v>
      </c>
      <c r="L118" s="28">
        <v>1692.0</v>
      </c>
      <c r="M118" s="28">
        <v>127367.0</v>
      </c>
      <c r="N118" s="28">
        <v>143843.0</v>
      </c>
      <c r="O118" s="28">
        <v>12.0</v>
      </c>
      <c r="P118" s="30">
        <v>2004.0</v>
      </c>
      <c r="Q118" s="30">
        <v>17.0</v>
      </c>
      <c r="R118" s="30">
        <v>1617.0</v>
      </c>
      <c r="S118" s="30">
        <v>0.0</v>
      </c>
      <c r="T118" s="30">
        <v>295.0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82.0</v>
      </c>
      <c r="J119" s="28">
        <v>59.0</v>
      </c>
      <c r="K119" s="28">
        <v>16558.0</v>
      </c>
      <c r="L119" s="28">
        <v>1763.0</v>
      </c>
      <c r="M119" s="28">
        <v>129130.0</v>
      </c>
      <c r="N119" s="28">
        <v>145688.0</v>
      </c>
      <c r="O119" s="28">
        <v>3.0</v>
      </c>
      <c r="P119" s="30">
        <v>2007.0</v>
      </c>
      <c r="Q119" s="30">
        <v>13.0</v>
      </c>
      <c r="R119" s="30">
        <v>1630.0</v>
      </c>
      <c r="S119" s="30">
        <v>3.0</v>
      </c>
      <c r="T119" s="30">
        <v>298.0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64.0</v>
      </c>
      <c r="K120" s="28">
        <v>16602.0</v>
      </c>
      <c r="L120" s="28">
        <v>1667.0</v>
      </c>
      <c r="M120" s="28">
        <v>130797.0</v>
      </c>
      <c r="N120" s="28">
        <v>147399.0</v>
      </c>
      <c r="O120" s="28">
        <v>9.0</v>
      </c>
      <c r="P120" s="30">
        <v>2016.0</v>
      </c>
      <c r="Q120" s="30">
        <v>11.0</v>
      </c>
      <c r="R120" s="30">
        <v>1641.0</v>
      </c>
      <c r="S120" s="30">
        <v>1.0</v>
      </c>
      <c r="T120" s="30">
        <v>299.0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59.0</v>
      </c>
      <c r="K121" s="28">
        <v>16652.0</v>
      </c>
      <c r="L121" s="28">
        <v>1489.0</v>
      </c>
      <c r="M121" s="28">
        <v>132286.0</v>
      </c>
      <c r="N121" s="28">
        <v>148938.0</v>
      </c>
      <c r="O121" s="28">
        <v>6.0</v>
      </c>
      <c r="P121" s="30">
        <v>2022.0</v>
      </c>
      <c r="Q121" s="30">
        <v>14.0</v>
      </c>
      <c r="R121" s="30">
        <v>1655.0</v>
      </c>
      <c r="S121" s="30">
        <v>1.0</v>
      </c>
      <c r="T121" s="30">
        <v>300.0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16712.0</v>
      </c>
      <c r="L122" s="28">
        <v>1316.0</v>
      </c>
      <c r="M122" s="28">
        <v>133602.0</v>
      </c>
      <c r="N122" s="28">
        <v>150314.0</v>
      </c>
      <c r="O122" s="28">
        <v>2.0</v>
      </c>
      <c r="P122" s="30">
        <v>2024.0</v>
      </c>
      <c r="Q122" s="30">
        <v>10.0</v>
      </c>
      <c r="R122" s="30">
        <v>1665.0</v>
      </c>
      <c r="S122" s="30">
        <v>0.0</v>
      </c>
      <c r="T122" s="30">
        <v>300.0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16749.0</v>
      </c>
      <c r="L123" s="28">
        <v>1202.0</v>
      </c>
      <c r="M123" s="28">
        <v>134804.0</v>
      </c>
      <c r="N123" s="28">
        <v>151553.0</v>
      </c>
      <c r="O123" s="28">
        <v>5.0</v>
      </c>
      <c r="P123" s="30">
        <v>2029.0</v>
      </c>
      <c r="Q123" s="30">
        <v>3.0</v>
      </c>
      <c r="R123" s="30">
        <v>1668.0</v>
      </c>
      <c r="S123" s="30">
        <v>1.0</v>
      </c>
      <c r="T123" s="30">
        <v>301.0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16766.0</v>
      </c>
      <c r="L124" s="28">
        <v>590.0</v>
      </c>
      <c r="M124" s="28">
        <v>135394.0</v>
      </c>
      <c r="N124" s="28">
        <v>152160.0</v>
      </c>
      <c r="O124" s="28">
        <v>4.0</v>
      </c>
      <c r="P124" s="30">
        <v>2033.0</v>
      </c>
      <c r="Q124" s="30">
        <v>4.0</v>
      </c>
      <c r="R124" s="30">
        <v>1672.0</v>
      </c>
      <c r="S124" s="30">
        <v>4.0</v>
      </c>
      <c r="T124" s="30">
        <v>305.0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16805.0</v>
      </c>
      <c r="L125" s="28">
        <v>1338.0</v>
      </c>
      <c r="M125" s="28">
        <v>136732.0</v>
      </c>
      <c r="N125" s="28">
        <v>153537.0</v>
      </c>
      <c r="O125" s="28">
        <v>4.0</v>
      </c>
      <c r="P125" s="30">
        <v>2037.0</v>
      </c>
      <c r="Q125" s="30">
        <v>5.0</v>
      </c>
      <c r="R125" s="30">
        <v>1677.0</v>
      </c>
      <c r="S125" s="30">
        <v>0.0</v>
      </c>
      <c r="T125" s="30">
        <v>305.0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16838.0</v>
      </c>
      <c r="L126" s="28">
        <v>988.0</v>
      </c>
      <c r="M126" s="28">
        <v>137720.0</v>
      </c>
      <c r="N126" s="28">
        <v>154558.0</v>
      </c>
      <c r="O126" s="28">
        <v>1.0</v>
      </c>
      <c r="P126" s="30">
        <v>2038.0</v>
      </c>
      <c r="Q126" s="30">
        <v>5.0</v>
      </c>
      <c r="R126" s="30">
        <v>1682.0</v>
      </c>
      <c r="S126" s="30">
        <v>1.0</v>
      </c>
      <c r="T126" s="30">
        <v>306.0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16917.0</v>
      </c>
      <c r="L127" s="28">
        <v>1909.0</v>
      </c>
      <c r="M127" s="28">
        <v>139629.0</v>
      </c>
      <c r="N127" s="28">
        <v>156546.0</v>
      </c>
      <c r="O127" s="28">
        <v>8.0</v>
      </c>
      <c r="P127" s="30">
        <v>2046.0</v>
      </c>
      <c r="Q127" s="30">
        <v>10.0</v>
      </c>
      <c r="R127" s="30">
        <v>1692.0</v>
      </c>
      <c r="S127" s="30">
        <v>0.0</v>
      </c>
      <c r="T127" s="30">
        <v>306.0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16976.0</v>
      </c>
      <c r="L128" s="28">
        <v>1074.0</v>
      </c>
      <c r="M128" s="28">
        <v>140703.0</v>
      </c>
      <c r="N128" s="28">
        <v>157679.0</v>
      </c>
      <c r="O128" s="28">
        <v>5.0</v>
      </c>
      <c r="P128" s="30">
        <v>2051.0</v>
      </c>
      <c r="Q128" s="30">
        <v>5.0</v>
      </c>
      <c r="R128" s="30">
        <v>1697.0</v>
      </c>
      <c r="S128" s="30">
        <v>1.0</v>
      </c>
      <c r="T128" s="30">
        <v>307.0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17001.0</v>
      </c>
      <c r="L129" s="28">
        <v>776.0</v>
      </c>
      <c r="M129" s="28">
        <v>141479.0</v>
      </c>
      <c r="N129" s="28">
        <v>158480.0</v>
      </c>
      <c r="O129" s="28">
        <v>9.0</v>
      </c>
      <c r="P129" s="30">
        <v>2060.0</v>
      </c>
      <c r="Q129" s="30">
        <v>6.0</v>
      </c>
      <c r="R129" s="30">
        <v>1703.0</v>
      </c>
      <c r="S129" s="30">
        <v>0.0</v>
      </c>
      <c r="T129" s="30">
        <v>307.0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17034.0</v>
      </c>
      <c r="L130" s="28">
        <v>994.0</v>
      </c>
      <c r="M130" s="28">
        <v>142473.0</v>
      </c>
      <c r="N130" s="28">
        <v>159507.0</v>
      </c>
      <c r="O130" s="28">
        <v>2.0</v>
      </c>
      <c r="P130" s="30">
        <v>2062.0</v>
      </c>
      <c r="Q130" s="30">
        <v>4.0</v>
      </c>
      <c r="R130" s="30">
        <v>1707.0</v>
      </c>
      <c r="S130" s="30">
        <v>1.0</v>
      </c>
      <c r="T130" s="30">
        <v>308.0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17060.0</v>
      </c>
      <c r="L131" s="28">
        <v>1425.0</v>
      </c>
      <c r="M131" s="28">
        <v>143898.0</v>
      </c>
      <c r="N131" s="28">
        <v>160958.0</v>
      </c>
      <c r="O131" s="28">
        <v>1.0</v>
      </c>
      <c r="P131" s="30">
        <v>2063.0</v>
      </c>
      <c r="Q131" s="30">
        <v>2.0</v>
      </c>
      <c r="R131" s="30">
        <v>1709.0</v>
      </c>
      <c r="S131" s="30">
        <v>1.0</v>
      </c>
      <c r="T131" s="30">
        <v>309.0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17117.0</v>
      </c>
      <c r="L132" s="28">
        <v>1534.0</v>
      </c>
      <c r="M132" s="28">
        <v>145432.0</v>
      </c>
      <c r="N132" s="28">
        <v>162549.0</v>
      </c>
      <c r="O132" s="28">
        <v>6.0</v>
      </c>
      <c r="P132" s="30">
        <v>2069.0</v>
      </c>
      <c r="Q132" s="30">
        <v>6.0</v>
      </c>
      <c r="R132" s="30">
        <v>1715.0</v>
      </c>
      <c r="S132" s="30">
        <v>0.0</v>
      </c>
      <c r="T132" s="30">
        <v>309.0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17164.0</v>
      </c>
      <c r="L133" s="28">
        <v>1529.0</v>
      </c>
      <c r="M133" s="28">
        <v>146961.0</v>
      </c>
      <c r="N133" s="28">
        <v>164125.0</v>
      </c>
      <c r="O133" s="28">
        <v>5.0</v>
      </c>
      <c r="P133" s="30">
        <v>2074.0</v>
      </c>
      <c r="Q133" s="30">
        <v>7.0</v>
      </c>
      <c r="R133" s="30">
        <v>1722.0</v>
      </c>
      <c r="S133" s="30">
        <v>0.0</v>
      </c>
      <c r="T133" s="30">
        <v>309.0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17228.0</v>
      </c>
      <c r="L134" s="28">
        <v>1411.0</v>
      </c>
      <c r="M134" s="28">
        <v>148372.0</v>
      </c>
      <c r="N134" s="28">
        <v>165600.0</v>
      </c>
      <c r="O134" s="28">
        <v>4.0</v>
      </c>
      <c r="P134" s="30">
        <v>2078.0</v>
      </c>
      <c r="Q134" s="30">
        <v>2.0</v>
      </c>
      <c r="R134" s="30">
        <v>1724.0</v>
      </c>
      <c r="S134" s="30">
        <v>0.0</v>
      </c>
      <c r="T134" s="30">
        <v>309.0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17278.0</v>
      </c>
      <c r="L135" s="28">
        <v>1604.0</v>
      </c>
      <c r="M135" s="28">
        <v>149976.0</v>
      </c>
      <c r="N135" s="28">
        <v>167254.0</v>
      </c>
      <c r="O135" s="28">
        <v>9.0</v>
      </c>
      <c r="P135" s="30">
        <v>2087.0</v>
      </c>
      <c r="Q135" s="30">
        <v>3.0</v>
      </c>
      <c r="R135" s="30">
        <v>1727.0</v>
      </c>
      <c r="S135" s="30">
        <v>0.0</v>
      </c>
      <c r="T135" s="30">
        <v>309.0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17358.0</v>
      </c>
      <c r="L136" s="28">
        <v>2058.0</v>
      </c>
      <c r="M136" s="28">
        <v>152034.0</v>
      </c>
      <c r="N136" s="28">
        <v>169392.0</v>
      </c>
      <c r="O136" s="28">
        <v>6.0</v>
      </c>
      <c r="P136" s="30">
        <v>2093.0</v>
      </c>
      <c r="Q136" s="30">
        <v>3.0</v>
      </c>
      <c r="R136" s="30">
        <v>1730.0</v>
      </c>
      <c r="S136" s="30">
        <v>2.0</v>
      </c>
      <c r="T136" s="30">
        <v>311.0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17394.0</v>
      </c>
      <c r="L137" s="28">
        <v>1308.0</v>
      </c>
      <c r="M137" s="28">
        <v>153342.0</v>
      </c>
      <c r="N137" s="28">
        <v>170736.0</v>
      </c>
      <c r="O137" s="28">
        <v>6.0</v>
      </c>
      <c r="P137" s="30">
        <v>2099.0</v>
      </c>
      <c r="Q137" s="30">
        <v>3.0</v>
      </c>
      <c r="R137" s="30">
        <v>1733.0</v>
      </c>
      <c r="S137" s="30">
        <v>1.0</v>
      </c>
      <c r="T137" s="30">
        <v>312.0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17428.0</v>
      </c>
      <c r="L138" s="28">
        <v>936.0</v>
      </c>
      <c r="M138" s="28">
        <v>154278.0</v>
      </c>
      <c r="N138" s="28">
        <v>171706.0</v>
      </c>
      <c r="O138" s="28">
        <v>1.0</v>
      </c>
      <c r="P138" s="30">
        <v>2100.0</v>
      </c>
      <c r="Q138" s="30">
        <v>3.0</v>
      </c>
      <c r="R138" s="30">
        <v>1736.0</v>
      </c>
      <c r="S138" s="30">
        <v>1.0</v>
      </c>
      <c r="T138" s="30">
        <v>313.0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17489.0</v>
      </c>
      <c r="L139" s="28">
        <v>1492.0</v>
      </c>
      <c r="M139" s="28">
        <v>155770.0</v>
      </c>
      <c r="N139" s="28">
        <v>173259.0</v>
      </c>
      <c r="O139" s="28">
        <v>8.0</v>
      </c>
      <c r="P139" s="30">
        <v>2108.0</v>
      </c>
      <c r="Q139" s="30">
        <v>10.0</v>
      </c>
      <c r="R139" s="30">
        <v>1746.0</v>
      </c>
      <c r="S139" s="30">
        <v>0.0</v>
      </c>
      <c r="T139" s="30">
        <v>313.0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17533.0</v>
      </c>
      <c r="L140" s="28">
        <v>1366.0</v>
      </c>
      <c r="M140" s="28">
        <v>157136.0</v>
      </c>
      <c r="N140" s="28">
        <v>174669.0</v>
      </c>
      <c r="O140" s="28">
        <v>7.0</v>
      </c>
      <c r="P140" s="30">
        <v>2115.0</v>
      </c>
      <c r="Q140" s="30">
        <v>4.0</v>
      </c>
      <c r="R140" s="30">
        <v>1750.0</v>
      </c>
      <c r="S140" s="30">
        <v>0.0</v>
      </c>
      <c r="T140" s="30">
        <v>313.0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17633.0</v>
      </c>
      <c r="L141" s="28">
        <v>1739.0</v>
      </c>
      <c r="M141" s="28">
        <v>158875.0</v>
      </c>
      <c r="N141" s="28">
        <v>176508.0</v>
      </c>
      <c r="O141" s="28">
        <v>5.0</v>
      </c>
      <c r="P141" s="30">
        <v>2120.0</v>
      </c>
      <c r="Q141" s="30">
        <v>7.0</v>
      </c>
      <c r="R141" s="30">
        <v>1757.0</v>
      </c>
      <c r="S141" s="30">
        <v>0.0</v>
      </c>
      <c r="T141" s="30">
        <v>313.0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17709.0</v>
      </c>
      <c r="L142" s="28">
        <v>1606.0</v>
      </c>
      <c r="M142" s="28">
        <v>160481.0</v>
      </c>
      <c r="N142" s="28">
        <v>178190.0</v>
      </c>
      <c r="O142" s="28">
        <v>6.0</v>
      </c>
      <c r="P142" s="30">
        <v>2126.0</v>
      </c>
      <c r="Q142" s="30">
        <v>9.0</v>
      </c>
      <c r="R142" s="30">
        <v>1766.0</v>
      </c>
      <c r="S142" s="30">
        <v>0.0</v>
      </c>
      <c r="T142" s="30">
        <v>313.0</v>
      </c>
      <c r="U142" s="30">
        <v>47.0</v>
      </c>
      <c r="V142" s="30">
        <v>50.0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17788.0</v>
      </c>
      <c r="L143" s="28">
        <v>1836.0</v>
      </c>
      <c r="M143" s="28">
        <v>162317.0</v>
      </c>
      <c r="N143" s="28">
        <v>180105.0</v>
      </c>
      <c r="O143" s="28">
        <v>14.0</v>
      </c>
      <c r="P143" s="30">
        <v>2140.0</v>
      </c>
      <c r="Q143" s="30">
        <v>3.0</v>
      </c>
      <c r="R143" s="30">
        <v>1769.0</v>
      </c>
      <c r="S143" s="30">
        <v>1.0</v>
      </c>
      <c r="T143" s="30">
        <v>314.0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17858.0</v>
      </c>
      <c r="L144" s="28">
        <v>1386.0</v>
      </c>
      <c r="M144" s="28">
        <v>163703.0</v>
      </c>
      <c r="N144" s="28">
        <v>181561.0</v>
      </c>
      <c r="O144" s="28">
        <v>5.0</v>
      </c>
      <c r="P144" s="30">
        <v>2145.0</v>
      </c>
      <c r="Q144" s="30">
        <v>9.0</v>
      </c>
      <c r="R144" s="30">
        <v>1778.0</v>
      </c>
      <c r="S144" s="30">
        <v>1.0</v>
      </c>
      <c r="T144" s="30">
        <v>315.0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17915.0</v>
      </c>
      <c r="L145" s="28">
        <v>1142.0</v>
      </c>
      <c r="M145" s="28">
        <v>164845.0</v>
      </c>
      <c r="N145" s="28">
        <v>182760.0</v>
      </c>
      <c r="O145" s="28">
        <v>7.0</v>
      </c>
      <c r="P145" s="30">
        <v>2152.0</v>
      </c>
      <c r="Q145" s="30">
        <v>3.0</v>
      </c>
      <c r="R145" s="30">
        <v>1781.0</v>
      </c>
      <c r="S145" s="30">
        <v>0.0</v>
      </c>
      <c r="T145" s="30">
        <v>315.0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17983.0</v>
      </c>
      <c r="L146" s="28">
        <v>1444.0</v>
      </c>
      <c r="M146" s="28">
        <v>166289.0</v>
      </c>
      <c r="N146" s="28">
        <v>184272.0</v>
      </c>
      <c r="O146" s="28">
        <v>9.0</v>
      </c>
      <c r="P146" s="30">
        <v>2161.0</v>
      </c>
      <c r="Q146" s="30">
        <v>7.0</v>
      </c>
      <c r="R146" s="30">
        <v>1788.0</v>
      </c>
      <c r="S146" s="30">
        <v>0.0</v>
      </c>
      <c r="T146" s="30">
        <v>315.0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18091.0</v>
      </c>
      <c r="L147" s="28">
        <v>1903.0</v>
      </c>
      <c r="M147" s="28">
        <v>168192.0</v>
      </c>
      <c r="N147" s="28">
        <v>186283.0</v>
      </c>
      <c r="O147" s="28">
        <v>9.0</v>
      </c>
      <c r="P147" s="30">
        <v>2170.0</v>
      </c>
      <c r="Q147" s="30">
        <v>11.0</v>
      </c>
      <c r="R147" s="30">
        <v>1799.0</v>
      </c>
      <c r="S147" s="30">
        <v>0.0</v>
      </c>
      <c r="T147" s="30">
        <v>315.0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18177.0</v>
      </c>
      <c r="L148" s="28">
        <v>1666.0</v>
      </c>
      <c r="M148" s="28">
        <v>169858.0</v>
      </c>
      <c r="N148" s="28">
        <v>188035.0</v>
      </c>
      <c r="O148" s="28">
        <v>7.0</v>
      </c>
      <c r="P148" s="30">
        <v>2177.0</v>
      </c>
      <c r="Q148" s="30">
        <v>8.0</v>
      </c>
      <c r="R148" s="30">
        <v>1807.0</v>
      </c>
      <c r="S148" s="30">
        <v>1.0</v>
      </c>
      <c r="T148" s="30">
        <v>316.0</v>
      </c>
      <c r="U148" s="30">
        <v>54.0</v>
      </c>
      <c r="V148" s="30">
        <v>56.0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18292.0</v>
      </c>
      <c r="L149" s="28">
        <v>1957.0</v>
      </c>
      <c r="M149" s="28">
        <v>171815.0</v>
      </c>
      <c r="N149" s="28">
        <v>190107.0</v>
      </c>
      <c r="O149" s="28">
        <v>8.0</v>
      </c>
      <c r="P149" s="30">
        <v>2185.0</v>
      </c>
      <c r="Q149" s="30">
        <v>6.0</v>
      </c>
      <c r="R149" s="30">
        <v>1813.0</v>
      </c>
      <c r="S149" s="30">
        <v>0.0</v>
      </c>
      <c r="T149" s="30">
        <v>316.0</v>
      </c>
      <c r="U149" s="30">
        <v>56.0</v>
      </c>
      <c r="V149" s="30">
        <v>55.0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18411.0</v>
      </c>
      <c r="L150" s="28">
        <v>2300.0</v>
      </c>
      <c r="M150" s="28">
        <v>174115.0</v>
      </c>
      <c r="N150" s="28">
        <v>192526.0</v>
      </c>
      <c r="O150" s="28">
        <v>14.0</v>
      </c>
      <c r="P150" s="30">
        <v>2199.0</v>
      </c>
      <c r="Q150" s="30">
        <v>12.0</v>
      </c>
      <c r="R150" s="30">
        <v>1825.0</v>
      </c>
      <c r="S150" s="30">
        <v>0.0</v>
      </c>
      <c r="T150" s="30">
        <v>316.0</v>
      </c>
      <c r="U150" s="30">
        <v>58.0</v>
      </c>
      <c r="V150" s="30">
        <v>56.0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18519.0</v>
      </c>
      <c r="L151" s="28">
        <v>2077.0</v>
      </c>
      <c r="M151" s="28">
        <v>176192.0</v>
      </c>
      <c r="N151" s="28">
        <v>194711.0</v>
      </c>
      <c r="O151" s="28">
        <v>7.0</v>
      </c>
      <c r="P151" s="30">
        <v>2206.0</v>
      </c>
      <c r="Q151" s="30">
        <v>7.0</v>
      </c>
      <c r="R151" s="30">
        <v>1832.0</v>
      </c>
      <c r="S151" s="30">
        <v>0.0</v>
      </c>
      <c r="T151" s="30">
        <v>316.0</v>
      </c>
      <c r="U151" s="30">
        <v>58.0</v>
      </c>
      <c r="V151" s="30">
        <v>57.0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18573.0</v>
      </c>
      <c r="L152" s="28">
        <v>1327.0</v>
      </c>
      <c r="M152" s="28">
        <v>177519.0</v>
      </c>
      <c r="N152" s="28">
        <v>196092.0</v>
      </c>
      <c r="O152" s="28">
        <v>8.0</v>
      </c>
      <c r="P152" s="30">
        <v>2214.0</v>
      </c>
      <c r="Q152" s="30">
        <v>9.0</v>
      </c>
      <c r="R152" s="30">
        <v>1841.0</v>
      </c>
      <c r="S152" s="30">
        <v>0.0</v>
      </c>
      <c r="T152" s="30">
        <v>316.0</v>
      </c>
      <c r="U152" s="30">
        <v>57.0</v>
      </c>
      <c r="V152" s="30">
        <v>58.0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18711.0</v>
      </c>
      <c r="L153" s="28">
        <v>2328.0</v>
      </c>
      <c r="M153" s="28">
        <v>179847.0</v>
      </c>
      <c r="N153" s="28">
        <v>198558.0</v>
      </c>
      <c r="O153" s="28">
        <v>12.0</v>
      </c>
      <c r="P153" s="30">
        <v>2226.0</v>
      </c>
      <c r="Q153" s="30">
        <v>7.0</v>
      </c>
      <c r="R153" s="30">
        <v>1848.0</v>
      </c>
      <c r="S153" s="30">
        <v>0.0</v>
      </c>
      <c r="T153" s="30">
        <v>316.0</v>
      </c>
      <c r="U153" s="30">
        <v>62.0</v>
      </c>
      <c r="V153" s="30">
        <v>59.0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18806.0</v>
      </c>
      <c r="L154" s="28">
        <v>1624.0</v>
      </c>
      <c r="M154" s="28">
        <v>181471.0</v>
      </c>
      <c r="N154" s="28">
        <v>200277.0</v>
      </c>
      <c r="O154" s="28">
        <v>5.0</v>
      </c>
      <c r="P154" s="30">
        <v>2231.0</v>
      </c>
      <c r="Q154" s="30">
        <v>5.0</v>
      </c>
      <c r="R154" s="30">
        <v>1853.0</v>
      </c>
      <c r="S154" s="30">
        <v>0.0</v>
      </c>
      <c r="T154" s="30">
        <v>316.0</v>
      </c>
      <c r="U154" s="30">
        <v>62.0</v>
      </c>
      <c r="V154" s="30">
        <v>60.0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18960.0</v>
      </c>
      <c r="L155" s="28">
        <v>2289.0</v>
      </c>
      <c r="M155" s="28">
        <v>183760.0</v>
      </c>
      <c r="N155" s="28">
        <v>202720.0</v>
      </c>
      <c r="O155" s="28">
        <v>9.0</v>
      </c>
      <c r="P155" s="30">
        <v>2240.0</v>
      </c>
      <c r="Q155" s="30">
        <v>10.0</v>
      </c>
      <c r="R155" s="30">
        <v>1863.0</v>
      </c>
      <c r="S155" s="30">
        <v>0.0</v>
      </c>
      <c r="T155" s="30">
        <v>316.0</v>
      </c>
      <c r="U155" s="30">
        <v>61.0</v>
      </c>
      <c r="V155" s="30">
        <v>62.0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19057.0</v>
      </c>
      <c r="L156" s="28">
        <v>1634.0</v>
      </c>
      <c r="M156" s="28">
        <v>185394.0</v>
      </c>
      <c r="N156" s="28">
        <v>204451.0</v>
      </c>
      <c r="O156" s="28">
        <v>6.0</v>
      </c>
      <c r="P156" s="30">
        <v>2246.0</v>
      </c>
      <c r="Q156" s="30">
        <v>2.0</v>
      </c>
      <c r="R156" s="30">
        <v>1865.0</v>
      </c>
      <c r="S156" s="30">
        <v>1.0</v>
      </c>
      <c r="T156" s="30">
        <v>317.0</v>
      </c>
      <c r="U156" s="30">
        <v>64.0</v>
      </c>
      <c r="V156" s="30">
        <v>62.0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19146.0</v>
      </c>
      <c r="L157" s="28">
        <v>1829.0</v>
      </c>
      <c r="M157" s="28">
        <v>187223.0</v>
      </c>
      <c r="N157" s="28">
        <v>206369.0</v>
      </c>
      <c r="O157" s="28">
        <v>7.0</v>
      </c>
      <c r="P157" s="30">
        <v>2253.0</v>
      </c>
      <c r="Q157" s="30">
        <v>9.0</v>
      </c>
      <c r="R157" s="30">
        <v>1874.0</v>
      </c>
      <c r="S157" s="30">
        <v>0.0</v>
      </c>
      <c r="T157" s="30">
        <v>317.0</v>
      </c>
      <c r="U157" s="30">
        <v>62.0</v>
      </c>
      <c r="V157" s="30">
        <v>62.0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19235.0</v>
      </c>
      <c r="L158" s="28">
        <v>1549.0</v>
      </c>
      <c r="M158" s="28">
        <v>188772.0</v>
      </c>
      <c r="N158" s="28">
        <v>208007.0</v>
      </c>
      <c r="O158" s="28">
        <v>7.0</v>
      </c>
      <c r="P158" s="30">
        <v>2260.0</v>
      </c>
      <c r="Q158" s="30">
        <v>2.0</v>
      </c>
      <c r="R158" s="30">
        <v>1876.0</v>
      </c>
      <c r="S158" s="30">
        <v>0.0</v>
      </c>
      <c r="T158" s="30">
        <v>317.0</v>
      </c>
      <c r="U158" s="30">
        <v>67.0</v>
      </c>
      <c r="V158" s="30">
        <v>64.0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19297.0</v>
      </c>
      <c r="L159" s="28">
        <v>1261.0</v>
      </c>
      <c r="M159" s="28">
        <v>190033.0</v>
      </c>
      <c r="N159" s="28">
        <v>209330.0</v>
      </c>
      <c r="O159" s="28">
        <v>12.0</v>
      </c>
      <c r="P159" s="30">
        <v>2272.0</v>
      </c>
      <c r="Q159" s="30">
        <v>12.0</v>
      </c>
      <c r="R159" s="30">
        <v>1888.0</v>
      </c>
      <c r="S159" s="30">
        <v>2.0</v>
      </c>
      <c r="T159" s="30">
        <v>319.0</v>
      </c>
      <c r="U159" s="30">
        <v>65.0</v>
      </c>
      <c r="V159" s="30">
        <v>65.0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19447.0</v>
      </c>
      <c r="L160" s="28">
        <v>2186.0</v>
      </c>
      <c r="M160" s="28">
        <v>192219.0</v>
      </c>
      <c r="N160" s="28">
        <v>211666.0</v>
      </c>
      <c r="O160" s="28">
        <v>11.0</v>
      </c>
      <c r="P160" s="30">
        <v>2283.0</v>
      </c>
      <c r="Q160" s="30">
        <v>10.0</v>
      </c>
      <c r="R160" s="30">
        <v>1898.0</v>
      </c>
      <c r="S160" s="30">
        <v>0.0</v>
      </c>
      <c r="T160" s="30">
        <v>319.0</v>
      </c>
      <c r="U160" s="30">
        <v>66.0</v>
      </c>
      <c r="V160" s="30">
        <v>66.0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19546.0</v>
      </c>
      <c r="L161" s="28">
        <v>1755.0</v>
      </c>
      <c r="M161" s="28">
        <v>193974.0</v>
      </c>
      <c r="N161" s="28">
        <v>213520.0</v>
      </c>
      <c r="O161" s="28">
        <v>8.0</v>
      </c>
      <c r="P161" s="30">
        <v>2291.0</v>
      </c>
      <c r="Q161" s="30">
        <v>5.0</v>
      </c>
      <c r="R161" s="30">
        <v>1903.0</v>
      </c>
      <c r="S161" s="30">
        <v>1.0</v>
      </c>
      <c r="T161" s="30">
        <v>320.0</v>
      </c>
      <c r="U161" s="30">
        <v>68.0</v>
      </c>
      <c r="V161" s="30">
        <v>66.0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19665.0</v>
      </c>
      <c r="L162" s="28">
        <v>2448.0</v>
      </c>
      <c r="M162" s="28">
        <v>196422.0</v>
      </c>
      <c r="N162" s="28">
        <v>216087.0</v>
      </c>
      <c r="O162" s="28">
        <v>11.0</v>
      </c>
      <c r="P162" s="30">
        <v>2302.0</v>
      </c>
      <c r="Q162" s="30">
        <v>9.0</v>
      </c>
      <c r="R162" s="30">
        <v>1912.0</v>
      </c>
      <c r="S162" s="30">
        <v>1.0</v>
      </c>
      <c r="T162" s="30">
        <v>321.0</v>
      </c>
      <c r="U162" s="30">
        <v>69.0</v>
      </c>
      <c r="V162" s="30">
        <v>68.0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19785.0</v>
      </c>
      <c r="L163" s="28">
        <v>2384.0</v>
      </c>
      <c r="M163" s="28">
        <v>198806.0</v>
      </c>
      <c r="N163" s="28">
        <v>218591.0</v>
      </c>
      <c r="O163" s="28">
        <v>7.0</v>
      </c>
      <c r="P163" s="30">
        <v>2309.0</v>
      </c>
      <c r="Q163" s="30">
        <v>9.0</v>
      </c>
      <c r="R163" s="30">
        <v>1921.0</v>
      </c>
      <c r="S163" s="30">
        <v>0.0</v>
      </c>
      <c r="T163" s="30">
        <v>321.0</v>
      </c>
      <c r="U163" s="30">
        <v>67.0</v>
      </c>
      <c r="V163" s="30">
        <v>68.0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19872.0</v>
      </c>
      <c r="L164" s="28">
        <v>2124.0</v>
      </c>
      <c r="M164" s="28">
        <v>200930.0</v>
      </c>
      <c r="N164" s="28">
        <v>220802.0</v>
      </c>
      <c r="O164" s="28">
        <v>12.0</v>
      </c>
      <c r="P164" s="30">
        <v>2321.0</v>
      </c>
      <c r="Q164" s="30">
        <v>9.0</v>
      </c>
      <c r="R164" s="30">
        <v>1930.0</v>
      </c>
      <c r="S164" s="30">
        <v>1.0</v>
      </c>
      <c r="T164" s="30">
        <v>322.0</v>
      </c>
      <c r="U164" s="30">
        <v>69.0</v>
      </c>
      <c r="V164" s="30">
        <v>68.0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19963.0</v>
      </c>
      <c r="L165" s="28">
        <v>1768.0</v>
      </c>
      <c r="M165" s="28">
        <v>202698.0</v>
      </c>
      <c r="N165" s="28">
        <v>222661.0</v>
      </c>
      <c r="O165" s="28">
        <v>19.0</v>
      </c>
      <c r="P165" s="30">
        <v>2340.0</v>
      </c>
      <c r="Q165" s="30">
        <v>6.0</v>
      </c>
      <c r="R165" s="30">
        <v>1936.0</v>
      </c>
      <c r="S165" s="30">
        <v>1.0</v>
      </c>
      <c r="T165" s="30">
        <v>323.0</v>
      </c>
      <c r="U165" s="30">
        <v>81.0</v>
      </c>
      <c r="V165" s="30">
        <v>72.0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19998.0</v>
      </c>
      <c r="L166" s="28">
        <v>1062.0</v>
      </c>
      <c r="M166" s="28">
        <v>203760.0</v>
      </c>
      <c r="N166" s="28">
        <v>223758.0</v>
      </c>
      <c r="O166" s="28">
        <v>6.0</v>
      </c>
      <c r="P166" s="30">
        <v>2346.0</v>
      </c>
      <c r="Q166" s="30">
        <v>8.0</v>
      </c>
      <c r="R166" s="30">
        <v>1944.0</v>
      </c>
      <c r="S166" s="30">
        <v>0.0</v>
      </c>
      <c r="T166" s="30">
        <v>323.0</v>
      </c>
      <c r="U166" s="30">
        <v>79.0</v>
      </c>
      <c r="V166" s="30">
        <v>76.0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20111.0</v>
      </c>
      <c r="L167" s="28">
        <v>2007.0</v>
      </c>
      <c r="M167" s="28">
        <v>205767.0</v>
      </c>
      <c r="N167" s="28">
        <v>225878.0</v>
      </c>
      <c r="O167" s="28">
        <v>8.0</v>
      </c>
      <c r="P167" s="30">
        <v>2354.0</v>
      </c>
      <c r="Q167" s="30">
        <v>9.0</v>
      </c>
      <c r="R167" s="30">
        <v>1953.0</v>
      </c>
      <c r="S167" s="30">
        <v>0.0</v>
      </c>
      <c r="T167" s="30">
        <v>323.0</v>
      </c>
      <c r="U167" s="30">
        <v>78.0</v>
      </c>
      <c r="V167" s="30">
        <v>79.0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20203.0</v>
      </c>
      <c r="L168" s="28">
        <v>2253.0</v>
      </c>
      <c r="M168" s="28">
        <v>208020.0</v>
      </c>
      <c r="N168" s="28">
        <v>228223.0</v>
      </c>
      <c r="O168" s="28">
        <v>5.0</v>
      </c>
      <c r="P168" s="30">
        <v>2359.0</v>
      </c>
      <c r="Q168" s="30">
        <v>13.0</v>
      </c>
      <c r="R168" s="30">
        <v>1966.0</v>
      </c>
      <c r="S168" s="30">
        <v>0.0</v>
      </c>
      <c r="T168" s="30">
        <v>323.0</v>
      </c>
      <c r="U168" s="30">
        <v>70.0</v>
      </c>
      <c r="V168" s="30">
        <v>76.0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20304.0</v>
      </c>
      <c r="L169" s="28">
        <v>2606.0</v>
      </c>
      <c r="M169" s="28">
        <v>210626.0</v>
      </c>
      <c r="N169" s="28">
        <v>230930.0</v>
      </c>
      <c r="O169" s="28">
        <v>8.0</v>
      </c>
      <c r="P169" s="30">
        <v>2367.0</v>
      </c>
      <c r="Q169" s="30">
        <v>11.0</v>
      </c>
      <c r="R169" s="30">
        <v>1977.0</v>
      </c>
      <c r="S169" s="30">
        <v>0.0</v>
      </c>
      <c r="T169" s="30">
        <v>323.0</v>
      </c>
      <c r="U169" s="30">
        <v>67.0</v>
      </c>
      <c r="V169" s="30">
        <v>72.0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20399.0</v>
      </c>
      <c r="L170" s="28">
        <v>1889.0</v>
      </c>
      <c r="M170" s="28">
        <v>212515.0</v>
      </c>
      <c r="N170" s="28">
        <v>232914.0</v>
      </c>
      <c r="O170" s="28">
        <v>13.0</v>
      </c>
      <c r="P170" s="30">
        <v>2380.0</v>
      </c>
      <c r="Q170" s="30">
        <v>12.0</v>
      </c>
      <c r="R170" s="30">
        <v>1989.0</v>
      </c>
      <c r="S170" s="30">
        <v>0.0</v>
      </c>
      <c r="T170" s="30">
        <v>323.0</v>
      </c>
      <c r="U170" s="30">
        <v>68.0</v>
      </c>
      <c r="V170" s="30">
        <v>68.0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20497.0</v>
      </c>
      <c r="L171" s="28">
        <v>1964.0</v>
      </c>
      <c r="M171" s="28">
        <v>214479.0</v>
      </c>
      <c r="N171" s="28">
        <v>234976.0</v>
      </c>
      <c r="O171" s="28">
        <v>13.0</v>
      </c>
      <c r="P171" s="30">
        <v>2393.0</v>
      </c>
      <c r="Q171" s="30">
        <v>11.0</v>
      </c>
      <c r="R171" s="30">
        <v>2000.0</v>
      </c>
      <c r="S171" s="30">
        <v>0.0</v>
      </c>
      <c r="T171" s="30">
        <v>323.0</v>
      </c>
      <c r="U171" s="30">
        <v>70.0</v>
      </c>
      <c r="V171" s="30">
        <v>68.0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20585.0</v>
      </c>
      <c r="L172" s="28">
        <v>1674.0</v>
      </c>
      <c r="M172" s="28">
        <v>216153.0</v>
      </c>
      <c r="N172" s="28">
        <v>236738.0</v>
      </c>
      <c r="O172" s="28">
        <v>9.0</v>
      </c>
      <c r="P172" s="30">
        <v>2402.0</v>
      </c>
      <c r="Q172" s="30">
        <v>11.0</v>
      </c>
      <c r="R172" s="30">
        <v>2011.0</v>
      </c>
      <c r="S172" s="30">
        <v>1.0</v>
      </c>
      <c r="T172" s="30">
        <v>324.0</v>
      </c>
      <c r="U172" s="30">
        <v>67.0</v>
      </c>
      <c r="V172" s="30">
        <v>68.0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20655.0</v>
      </c>
      <c r="L173" s="28">
        <v>954.0</v>
      </c>
      <c r="M173" s="28">
        <v>217107.0</v>
      </c>
      <c r="N173" s="28">
        <v>237762.0</v>
      </c>
      <c r="O173" s="28">
        <v>6.0</v>
      </c>
      <c r="P173" s="30">
        <v>2408.0</v>
      </c>
      <c r="Q173" s="30">
        <v>5.0</v>
      </c>
      <c r="R173" s="30">
        <v>2016.0</v>
      </c>
      <c r="S173" s="30">
        <v>4.0</v>
      </c>
      <c r="T173" s="30">
        <v>328.0</v>
      </c>
      <c r="U173" s="30">
        <v>64.0</v>
      </c>
      <c r="V173" s="30">
        <v>67.0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20742.0</v>
      </c>
      <c r="L174" s="28">
        <v>2370.0</v>
      </c>
      <c r="M174" s="28">
        <v>219477.0</v>
      </c>
      <c r="N174" s="28">
        <v>240219.0</v>
      </c>
      <c r="O174" s="28">
        <v>8.0</v>
      </c>
      <c r="P174" s="30">
        <v>2416.0</v>
      </c>
      <c r="Q174" s="30">
        <v>6.0</v>
      </c>
      <c r="R174" s="30">
        <v>2022.0</v>
      </c>
      <c r="S174" s="30">
        <v>0.0</v>
      </c>
      <c r="T174" s="30">
        <v>328.0</v>
      </c>
      <c r="U174" s="30">
        <v>66.0</v>
      </c>
      <c r="V174" s="30">
        <v>66.0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20836.0</v>
      </c>
      <c r="L175" s="28">
        <v>2737.0</v>
      </c>
      <c r="M175" s="28">
        <v>222214.0</v>
      </c>
      <c r="N175" s="28">
        <v>243050.0</v>
      </c>
      <c r="O175" s="28">
        <v>11.0</v>
      </c>
      <c r="P175" s="30">
        <v>2427.0</v>
      </c>
      <c r="Q175" s="30">
        <v>8.0</v>
      </c>
      <c r="R175" s="30">
        <v>2030.0</v>
      </c>
      <c r="S175" s="30">
        <v>1.0</v>
      </c>
      <c r="T175" s="30">
        <v>329.0</v>
      </c>
      <c r="U175" s="30">
        <v>68.0</v>
      </c>
      <c r="V175" s="30">
        <v>66.0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20926.0</v>
      </c>
      <c r="L176" s="28">
        <v>2627.0</v>
      </c>
      <c r="M176" s="28">
        <v>224841.0</v>
      </c>
      <c r="N176" s="28">
        <v>245767.0</v>
      </c>
      <c r="O176" s="28">
        <v>8.0</v>
      </c>
      <c r="P176" s="30">
        <v>2435.0</v>
      </c>
      <c r="Q176" s="30">
        <v>9.0</v>
      </c>
      <c r="R176" s="30">
        <v>2039.0</v>
      </c>
      <c r="S176" s="30">
        <v>1.0</v>
      </c>
      <c r="T176" s="30">
        <v>330.0</v>
      </c>
      <c r="U176" s="30">
        <v>66.0</v>
      </c>
      <c r="V176" s="30">
        <v>67.0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21065.0</v>
      </c>
      <c r="L177" s="28">
        <v>3491.0</v>
      </c>
      <c r="M177" s="28">
        <v>228332.0</v>
      </c>
      <c r="N177" s="28">
        <v>249397.0</v>
      </c>
      <c r="O177" s="28">
        <v>12.0</v>
      </c>
      <c r="P177" s="30">
        <v>2447.0</v>
      </c>
      <c r="Q177" s="30">
        <v>6.0</v>
      </c>
      <c r="R177" s="30">
        <v>2045.0</v>
      </c>
      <c r="S177" s="30">
        <v>2.0</v>
      </c>
      <c r="T177" s="30">
        <v>332.0</v>
      </c>
      <c r="U177" s="30">
        <v>70.0</v>
      </c>
      <c r="V177" s="30">
        <v>68.0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21190.0</v>
      </c>
      <c r="L178" s="28">
        <v>2928.0</v>
      </c>
      <c r="M178" s="28">
        <v>231260.0</v>
      </c>
      <c r="N178" s="28">
        <v>252450.0</v>
      </c>
      <c r="O178" s="28">
        <v>8.0</v>
      </c>
      <c r="P178" s="30">
        <v>2455.0</v>
      </c>
      <c r="Q178" s="30">
        <v>5.0</v>
      </c>
      <c r="R178" s="30">
        <v>2050.0</v>
      </c>
      <c r="S178" s="30">
        <v>1.0</v>
      </c>
      <c r="T178" s="30">
        <v>333.0</v>
      </c>
      <c r="U178" s="30">
        <v>72.0</v>
      </c>
      <c r="V178" s="30">
        <v>69.0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21274.0</v>
      </c>
      <c r="L179" s="28">
        <v>2582.0</v>
      </c>
      <c r="M179" s="28">
        <v>233842.0</v>
      </c>
      <c r="N179" s="28">
        <v>255116.0</v>
      </c>
      <c r="O179" s="28">
        <v>11.0</v>
      </c>
      <c r="P179" s="30">
        <v>2466.0</v>
      </c>
      <c r="Q179" s="30">
        <v>12.0</v>
      </c>
      <c r="R179" s="30">
        <v>2062.0</v>
      </c>
      <c r="S179" s="30">
        <v>0.0</v>
      </c>
      <c r="T179" s="30">
        <v>333.0</v>
      </c>
      <c r="U179" s="30">
        <v>71.0</v>
      </c>
      <c r="V179" s="30">
        <v>71.0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21330.0</v>
      </c>
      <c r="L180" s="28">
        <v>2464.0</v>
      </c>
      <c r="M180" s="28">
        <v>236306.0</v>
      </c>
      <c r="N180" s="28">
        <v>257636.0</v>
      </c>
      <c r="O180" s="28">
        <v>11.0</v>
      </c>
      <c r="P180" s="30">
        <v>2477.0</v>
      </c>
      <c r="Q180" s="30">
        <v>6.0</v>
      </c>
      <c r="R180" s="30">
        <v>2068.0</v>
      </c>
      <c r="S180" s="30">
        <v>0.0</v>
      </c>
      <c r="T180" s="30">
        <v>333.0</v>
      </c>
      <c r="U180" s="30">
        <v>76.0</v>
      </c>
      <c r="V180" s="30">
        <v>73.0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21407.0</v>
      </c>
      <c r="L181" s="28">
        <v>3137.0</v>
      </c>
      <c r="M181" s="28">
        <v>239443.0</v>
      </c>
      <c r="N181" s="28">
        <v>260850.0</v>
      </c>
      <c r="O181" s="28">
        <v>7.0</v>
      </c>
      <c r="P181" s="30">
        <v>2484.0</v>
      </c>
      <c r="Q181" s="30">
        <v>10.0</v>
      </c>
      <c r="R181" s="30">
        <v>2078.0</v>
      </c>
      <c r="S181" s="30">
        <v>1.0</v>
      </c>
      <c r="T181" s="30">
        <v>334.0</v>
      </c>
      <c r="U181" s="30">
        <v>72.0</v>
      </c>
      <c r="V181" s="30">
        <v>73.0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21499.0</v>
      </c>
      <c r="L182" s="28">
        <v>2274.0</v>
      </c>
      <c r="M182" s="28">
        <v>241717.0</v>
      </c>
      <c r="N182" s="28">
        <v>263216.0</v>
      </c>
      <c r="O182" s="28">
        <v>10.0</v>
      </c>
      <c r="P182" s="30">
        <v>2494.0</v>
      </c>
      <c r="Q182" s="30">
        <v>4.0</v>
      </c>
      <c r="R182" s="30">
        <v>2082.0</v>
      </c>
      <c r="S182" s="30">
        <v>1.0</v>
      </c>
      <c r="T182" s="30">
        <v>335.0</v>
      </c>
      <c r="U182" s="30">
        <v>77.0</v>
      </c>
      <c r="V182" s="30">
        <v>75.0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21626.0</v>
      </c>
      <c r="L183" s="28">
        <v>3070.0</v>
      </c>
      <c r="M183" s="28">
        <v>244787.0</v>
      </c>
      <c r="N183" s="28">
        <v>266413.0</v>
      </c>
      <c r="O183" s="28">
        <v>4.0</v>
      </c>
      <c r="P183" s="30">
        <v>2498.0</v>
      </c>
      <c r="Q183" s="30">
        <v>8.0</v>
      </c>
      <c r="R183" s="30">
        <v>2090.0</v>
      </c>
      <c r="S183" s="30">
        <v>0.0</v>
      </c>
      <c r="T183" s="30">
        <v>335.0</v>
      </c>
      <c r="U183" s="30">
        <v>73.0</v>
      </c>
      <c r="V183" s="30">
        <v>74.0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21696.0</v>
      </c>
      <c r="L184" s="28">
        <v>3136.0</v>
      </c>
      <c r="M184" s="28">
        <v>247923.0</v>
      </c>
      <c r="N184" s="28">
        <v>269619.0</v>
      </c>
      <c r="O184" s="28">
        <v>6.0</v>
      </c>
      <c r="P184" s="30">
        <v>2504.0</v>
      </c>
      <c r="Q184" s="30">
        <v>13.0</v>
      </c>
      <c r="R184" s="30">
        <v>2103.0</v>
      </c>
      <c r="S184" s="30">
        <v>1.0</v>
      </c>
      <c r="T184" s="30">
        <v>336.0</v>
      </c>
      <c r="U184" s="30">
        <v>65.0</v>
      </c>
      <c r="V184" s="30">
        <v>72.0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21783.0</v>
      </c>
      <c r="L185" s="28">
        <v>2421.0</v>
      </c>
      <c r="M185" s="28">
        <v>250344.0</v>
      </c>
      <c r="N185" s="28">
        <v>272127.0</v>
      </c>
      <c r="O185" s="28">
        <v>14.0</v>
      </c>
      <c r="P185" s="30">
        <v>2518.0</v>
      </c>
      <c r="Q185" s="30">
        <v>4.0</v>
      </c>
      <c r="R185" s="30">
        <v>2107.0</v>
      </c>
      <c r="S185" s="30">
        <v>0.0</v>
      </c>
      <c r="T185" s="30">
        <v>336.0</v>
      </c>
      <c r="U185" s="30">
        <v>75.0</v>
      </c>
      <c r="V185" s="30">
        <v>71.0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21834.0</v>
      </c>
      <c r="L186" s="28">
        <v>1904.0</v>
      </c>
      <c r="M186" s="28">
        <v>252248.0</v>
      </c>
      <c r="N186" s="28">
        <v>274082.0</v>
      </c>
      <c r="O186" s="28">
        <v>6.0</v>
      </c>
      <c r="P186" s="30">
        <v>2524.0</v>
      </c>
      <c r="Q186" s="30">
        <v>8.0</v>
      </c>
      <c r="R186" s="30">
        <v>2115.0</v>
      </c>
      <c r="S186" s="30">
        <v>1.0</v>
      </c>
      <c r="T186" s="30">
        <v>337.0</v>
      </c>
      <c r="U186" s="30">
        <v>72.0</v>
      </c>
      <c r="V186" s="30">
        <v>71.0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21882.0</v>
      </c>
      <c r="L187" s="28">
        <v>1986.0</v>
      </c>
      <c r="M187" s="28">
        <v>254234.0</v>
      </c>
      <c r="N187" s="28">
        <v>276116.0</v>
      </c>
      <c r="O187" s="28">
        <v>7.0</v>
      </c>
      <c r="P187" s="30">
        <v>2531.0</v>
      </c>
      <c r="Q187" s="30">
        <v>4.0</v>
      </c>
      <c r="R187" s="30">
        <v>2119.0</v>
      </c>
      <c r="S187" s="30">
        <v>0.0</v>
      </c>
      <c r="T187" s="30">
        <v>337.0</v>
      </c>
      <c r="U187" s="30">
        <v>75.0</v>
      </c>
      <c r="V187" s="30">
        <v>74.0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21963.0</v>
      </c>
      <c r="L188" s="28">
        <v>2174.0</v>
      </c>
      <c r="M188" s="28">
        <v>256408.0</v>
      </c>
      <c r="N188" s="28">
        <v>278371.0</v>
      </c>
      <c r="O188" s="28">
        <v>12.0</v>
      </c>
      <c r="P188" s="30">
        <v>2543.0</v>
      </c>
      <c r="Q188" s="30">
        <v>16.0</v>
      </c>
      <c r="R188" s="30">
        <v>2135.0</v>
      </c>
      <c r="S188" s="30">
        <v>0.0</v>
      </c>
      <c r="T188" s="30">
        <v>337.0</v>
      </c>
      <c r="U188" s="30">
        <v>71.0</v>
      </c>
      <c r="V188" s="30">
        <v>73.0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22029.0</v>
      </c>
      <c r="L189" s="28">
        <v>2365.0</v>
      </c>
      <c r="M189" s="28">
        <v>258773.0</v>
      </c>
      <c r="N189" s="28">
        <v>280802.0</v>
      </c>
      <c r="O189" s="28">
        <v>6.0</v>
      </c>
      <c r="P189" s="30">
        <v>2549.0</v>
      </c>
      <c r="Q189" s="30">
        <v>9.0</v>
      </c>
      <c r="R189" s="30">
        <v>2144.0</v>
      </c>
      <c r="S189" s="30">
        <v>1.0</v>
      </c>
      <c r="T189" s="30">
        <v>338.0</v>
      </c>
      <c r="U189" s="30">
        <v>67.0</v>
      </c>
      <c r="V189" s="30">
        <v>71.0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22133.0</v>
      </c>
      <c r="L190" s="28">
        <v>3034.0</v>
      </c>
      <c r="M190" s="28">
        <v>261807.0</v>
      </c>
      <c r="N190" s="28">
        <v>283940.0</v>
      </c>
      <c r="O190" s="28">
        <v>9.0</v>
      </c>
      <c r="P190" s="30">
        <v>2558.0</v>
      </c>
      <c r="Q190" s="30">
        <v>10.0</v>
      </c>
      <c r="R190" s="30">
        <v>2154.0</v>
      </c>
      <c r="S190" s="30">
        <v>1.0</v>
      </c>
      <c r="T190" s="30">
        <v>339.0</v>
      </c>
      <c r="U190" s="30">
        <v>65.0</v>
      </c>
      <c r="V190" s="30">
        <v>68.0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22206.0</v>
      </c>
      <c r="L191" s="28">
        <v>2573.0</v>
      </c>
      <c r="M191" s="28">
        <v>264380.0</v>
      </c>
      <c r="N191" s="28">
        <v>286586.0</v>
      </c>
      <c r="O191" s="28">
        <v>8.0</v>
      </c>
      <c r="P191" s="30">
        <v>2566.0</v>
      </c>
      <c r="Q191" s="30">
        <v>8.0</v>
      </c>
      <c r="R191" s="30">
        <v>2162.0</v>
      </c>
      <c r="S191" s="30">
        <v>0.0</v>
      </c>
      <c r="T191" s="30">
        <v>339.0</v>
      </c>
      <c r="U191" s="30">
        <v>65.0</v>
      </c>
      <c r="V191" s="30">
        <v>66.0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22289.0</v>
      </c>
      <c r="L192" s="28">
        <v>2363.0</v>
      </c>
      <c r="M192" s="28">
        <v>266743.0</v>
      </c>
      <c r="N192" s="28">
        <v>289032.0</v>
      </c>
      <c r="O192" s="28">
        <v>11.0</v>
      </c>
      <c r="P192" s="30">
        <v>2577.0</v>
      </c>
      <c r="Q192" s="30">
        <v>4.0</v>
      </c>
      <c r="R192" s="30">
        <v>2166.0</v>
      </c>
      <c r="S192" s="30">
        <v>0.0</v>
      </c>
      <c r="T192" s="30">
        <v>339.0</v>
      </c>
      <c r="U192" s="30">
        <v>72.0</v>
      </c>
      <c r="V192" s="30">
        <v>67.0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22331.0</v>
      </c>
      <c r="L193" s="28">
        <v>1593.0</v>
      </c>
      <c r="M193" s="28">
        <v>268336.0</v>
      </c>
      <c r="N193" s="28">
        <v>290667.0</v>
      </c>
      <c r="O193" s="28">
        <v>6.0</v>
      </c>
      <c r="P193" s="30">
        <v>2583.0</v>
      </c>
      <c r="Q193" s="30">
        <v>9.0</v>
      </c>
      <c r="R193" s="30">
        <v>2175.0</v>
      </c>
      <c r="S193" s="30">
        <v>0.0</v>
      </c>
      <c r="T193" s="30">
        <v>339.0</v>
      </c>
      <c r="U193" s="30">
        <v>69.0</v>
      </c>
      <c r="V193" s="30">
        <v>69.0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22396.0</v>
      </c>
      <c r="L194" s="28">
        <v>1942.0</v>
      </c>
      <c r="M194" s="28">
        <v>270278.0</v>
      </c>
      <c r="N194" s="28">
        <v>292674.0</v>
      </c>
      <c r="O194" s="28">
        <v>4.0</v>
      </c>
      <c r="P194" s="30">
        <v>2587.0</v>
      </c>
      <c r="Q194" s="30">
        <v>8.0</v>
      </c>
      <c r="R194" s="30">
        <v>2183.0</v>
      </c>
      <c r="S194" s="30">
        <v>1.0</v>
      </c>
      <c r="T194" s="30">
        <v>340.0</v>
      </c>
      <c r="U194" s="30">
        <v>64.0</v>
      </c>
      <c r="V194" s="30">
        <v>68.0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22422.0</v>
      </c>
      <c r="L195" s="28">
        <v>641.0</v>
      </c>
      <c r="M195" s="28">
        <v>270919.0</v>
      </c>
      <c r="N195" s="28">
        <v>293341.0</v>
      </c>
      <c r="O195" s="28">
        <v>11.0</v>
      </c>
      <c r="P195" s="30">
        <v>2598.0</v>
      </c>
      <c r="Q195" s="30">
        <v>3.0</v>
      </c>
      <c r="R195" s="30">
        <v>2186.0</v>
      </c>
      <c r="S195" s="30">
        <v>0.0</v>
      </c>
      <c r="T195" s="30">
        <v>340.0</v>
      </c>
      <c r="U195" s="30">
        <v>72.0</v>
      </c>
      <c r="V195" s="30">
        <v>68.0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22488.0</v>
      </c>
      <c r="L196" s="28">
        <v>1582.0</v>
      </c>
      <c r="M196" s="28">
        <v>272501.0</v>
      </c>
      <c r="N196" s="28">
        <v>294989.0</v>
      </c>
      <c r="O196" s="28">
        <v>6.0</v>
      </c>
      <c r="P196" s="30">
        <v>2604.0</v>
      </c>
      <c r="Q196" s="30">
        <v>12.0</v>
      </c>
      <c r="R196" s="30">
        <v>2198.0</v>
      </c>
      <c r="S196" s="30">
        <v>1.0</v>
      </c>
      <c r="T196" s="30">
        <v>341.0</v>
      </c>
      <c r="U196" s="30">
        <v>65.0</v>
      </c>
      <c r="V196" s="30">
        <v>67.0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22590.0</v>
      </c>
      <c r="L197" s="28">
        <v>2138.0</v>
      </c>
      <c r="M197" s="28">
        <v>274639.0</v>
      </c>
      <c r="N197" s="28">
        <v>297229.0</v>
      </c>
      <c r="O197" s="28">
        <v>10.0</v>
      </c>
      <c r="P197" s="30">
        <v>2614.0</v>
      </c>
      <c r="Q197" s="30">
        <v>5.0</v>
      </c>
      <c r="R197" s="30">
        <v>2203.0</v>
      </c>
      <c r="S197" s="30">
        <v>1.0</v>
      </c>
      <c r="T197" s="30">
        <v>342.0</v>
      </c>
      <c r="U197" s="30">
        <v>69.0</v>
      </c>
      <c r="V197" s="30">
        <v>69.0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22701.0</v>
      </c>
      <c r="L198" s="28">
        <v>2264.0</v>
      </c>
      <c r="M198" s="28">
        <v>276903.0</v>
      </c>
      <c r="N198" s="28">
        <v>299604.0</v>
      </c>
      <c r="O198" s="28">
        <v>9.0</v>
      </c>
      <c r="P198" s="30">
        <v>2623.0</v>
      </c>
      <c r="Q198" s="30">
        <v>8.0</v>
      </c>
      <c r="R198" s="30">
        <v>2211.0</v>
      </c>
      <c r="S198" s="30">
        <v>0.0</v>
      </c>
      <c r="T198" s="30">
        <v>342.0</v>
      </c>
      <c r="U198" s="30">
        <v>70.0</v>
      </c>
      <c r="V198" s="30">
        <v>68.0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22798.0</v>
      </c>
      <c r="L199" s="28">
        <v>1964.0</v>
      </c>
      <c r="M199" s="28">
        <v>278867.0</v>
      </c>
      <c r="N199" s="28">
        <v>301665.0</v>
      </c>
      <c r="O199" s="28">
        <v>11.0</v>
      </c>
      <c r="P199" s="30">
        <v>2634.0</v>
      </c>
      <c r="Q199" s="30">
        <v>11.0</v>
      </c>
      <c r="R199" s="30">
        <v>2222.0</v>
      </c>
      <c r="S199" s="30">
        <v>0.0</v>
      </c>
      <c r="T199" s="30">
        <v>342.0</v>
      </c>
      <c r="U199" s="30">
        <v>70.0</v>
      </c>
      <c r="V199" s="30">
        <v>70.0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22895.0</v>
      </c>
      <c r="L200" s="28">
        <v>1516.0</v>
      </c>
      <c r="M200" s="28">
        <v>280383.0</v>
      </c>
      <c r="N200" s="28">
        <v>303278.0</v>
      </c>
      <c r="O200" s="28">
        <v>8.0</v>
      </c>
      <c r="P200" s="30">
        <v>2642.0</v>
      </c>
      <c r="Q200" s="30">
        <v>5.0</v>
      </c>
      <c r="R200" s="30">
        <v>2227.0</v>
      </c>
      <c r="S200" s="30">
        <v>2.0</v>
      </c>
      <c r="T200" s="30">
        <v>344.0</v>
      </c>
      <c r="U200" s="30">
        <v>71.0</v>
      </c>
      <c r="V200" s="30">
        <v>70.0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22949.0</v>
      </c>
      <c r="L201" s="28">
        <v>861.0</v>
      </c>
      <c r="M201" s="28">
        <v>281244.0</v>
      </c>
      <c r="N201" s="28">
        <v>304193.0</v>
      </c>
      <c r="O201" s="28">
        <v>4.0</v>
      </c>
      <c r="P201" s="30">
        <v>2646.0</v>
      </c>
      <c r="Q201" s="30">
        <v>3.0</v>
      </c>
      <c r="R201" s="30">
        <v>2230.0</v>
      </c>
      <c r="S201" s="30">
        <v>0.0</v>
      </c>
      <c r="T201" s="30">
        <v>344.0</v>
      </c>
      <c r="U201" s="30">
        <v>72.0</v>
      </c>
      <c r="V201" s="30">
        <v>71.0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23044.0</v>
      </c>
      <c r="L202" s="28">
        <v>1728.0</v>
      </c>
      <c r="M202" s="28">
        <v>282972.0</v>
      </c>
      <c r="N202" s="28">
        <v>306016.0</v>
      </c>
      <c r="O202" s="28">
        <v>6.0</v>
      </c>
      <c r="P202" s="30">
        <v>2652.0</v>
      </c>
      <c r="Q202" s="30">
        <v>3.0</v>
      </c>
      <c r="R202" s="30">
        <v>2233.0</v>
      </c>
      <c r="S202" s="30">
        <v>2.0</v>
      </c>
      <c r="T202" s="30">
        <v>346.0</v>
      </c>
      <c r="U202" s="30">
        <v>73.0</v>
      </c>
      <c r="V202" s="30">
        <v>72.0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23168.0</v>
      </c>
      <c r="L203" s="28">
        <v>2188.0</v>
      </c>
      <c r="M203" s="28">
        <v>285160.0</v>
      </c>
      <c r="N203" s="28">
        <v>308328.0</v>
      </c>
      <c r="O203" s="28">
        <v>7.0</v>
      </c>
      <c r="P203" s="30">
        <v>2659.0</v>
      </c>
      <c r="Q203" s="30">
        <v>2.0</v>
      </c>
      <c r="R203" s="30">
        <v>2235.0</v>
      </c>
      <c r="S203" s="30">
        <v>1.0</v>
      </c>
      <c r="T203" s="30">
        <v>347.0</v>
      </c>
      <c r="U203" s="30">
        <v>77.0</v>
      </c>
      <c r="V203" s="30">
        <v>74.0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23286.0</v>
      </c>
      <c r="L204" s="28">
        <v>1965.0</v>
      </c>
      <c r="M204" s="28">
        <v>287125.0</v>
      </c>
      <c r="N204" s="28">
        <v>310411.0</v>
      </c>
      <c r="O204" s="28">
        <v>7.0</v>
      </c>
      <c r="P204" s="30">
        <v>2666.0</v>
      </c>
      <c r="Q204" s="30">
        <v>7.0</v>
      </c>
      <c r="R204" s="30">
        <v>2242.0</v>
      </c>
      <c r="S204" s="30">
        <v>2.0</v>
      </c>
      <c r="T204" s="30">
        <v>349.0</v>
      </c>
      <c r="U204" s="30">
        <v>75.0</v>
      </c>
      <c r="V204" s="30">
        <v>75.0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23440.0</v>
      </c>
      <c r="L205" s="28">
        <v>1942.0</v>
      </c>
      <c r="M205" s="28">
        <v>289067.0</v>
      </c>
      <c r="N205" s="28">
        <v>312507.0</v>
      </c>
      <c r="O205" s="28">
        <v>7.0</v>
      </c>
      <c r="P205" s="30">
        <v>2673.0</v>
      </c>
      <c r="Q205" s="30">
        <v>15.0</v>
      </c>
      <c r="R205" s="30">
        <v>2257.0</v>
      </c>
      <c r="S205" s="30">
        <v>0.0</v>
      </c>
      <c r="T205" s="30">
        <v>349.0</v>
      </c>
      <c r="U205" s="30">
        <v>67.0</v>
      </c>
      <c r="V205" s="30">
        <v>73.0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23572.0</v>
      </c>
      <c r="L206" s="28">
        <v>1922.0</v>
      </c>
      <c r="M206" s="28">
        <v>290989.0</v>
      </c>
      <c r="N206" s="28">
        <v>314561.0</v>
      </c>
      <c r="O206" s="28">
        <v>7.0</v>
      </c>
      <c r="P206" s="30">
        <v>2680.0</v>
      </c>
      <c r="Q206" s="30">
        <v>7.0</v>
      </c>
      <c r="R206" s="30">
        <v>2264.0</v>
      </c>
      <c r="S206" s="30">
        <v>1.0</v>
      </c>
      <c r="T206" s="30">
        <v>350.0</v>
      </c>
      <c r="U206" s="30">
        <v>66.0</v>
      </c>
      <c r="V206" s="30">
        <v>69.0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23684.0</v>
      </c>
      <c r="L207" s="28">
        <v>1688.0</v>
      </c>
      <c r="M207" s="28">
        <v>292677.0</v>
      </c>
      <c r="N207" s="28">
        <v>316361.0</v>
      </c>
      <c r="O207" s="28">
        <v>7.0</v>
      </c>
      <c r="P207" s="30">
        <v>2687.0</v>
      </c>
      <c r="Q207" s="30">
        <v>3.0</v>
      </c>
      <c r="R207" s="30">
        <v>2267.0</v>
      </c>
      <c r="S207" s="30">
        <v>0.0</v>
      </c>
      <c r="T207" s="30">
        <v>350.0</v>
      </c>
      <c r="U207" s="30">
        <v>70.0</v>
      </c>
      <c r="V207" s="30">
        <v>68.0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23733.0</v>
      </c>
      <c r="L208" s="28">
        <v>1322.0</v>
      </c>
      <c r="M208" s="28">
        <v>293999.0</v>
      </c>
      <c r="N208" s="28">
        <v>317732.0</v>
      </c>
      <c r="O208" s="28">
        <v>7.0</v>
      </c>
      <c r="P208" s="30">
        <v>2694.0</v>
      </c>
      <c r="Q208" s="30">
        <v>6.0</v>
      </c>
      <c r="R208" s="30">
        <v>2273.0</v>
      </c>
      <c r="S208" s="30">
        <v>2.0</v>
      </c>
      <c r="T208" s="30">
        <v>352.0</v>
      </c>
      <c r="U208" s="30">
        <v>69.0</v>
      </c>
      <c r="V208" s="30">
        <v>68.0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23827.0</v>
      </c>
      <c r="L209" s="28">
        <v>2401.0</v>
      </c>
      <c r="M209" s="28">
        <v>296400.0</v>
      </c>
      <c r="N209" s="28">
        <v>320227.0</v>
      </c>
      <c r="O209" s="28">
        <v>12.0</v>
      </c>
      <c r="P209" s="30">
        <v>2706.0</v>
      </c>
      <c r="Q209" s="30">
        <v>3.0</v>
      </c>
      <c r="R209" s="30">
        <v>2276.0</v>
      </c>
      <c r="S209" s="30">
        <v>2.0</v>
      </c>
      <c r="T209" s="30">
        <v>354.0</v>
      </c>
      <c r="U209" s="30">
        <v>76.0</v>
      </c>
      <c r="V209" s="30">
        <v>72.0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123.0</v>
      </c>
      <c r="J210" s="28">
        <v>89.0</v>
      </c>
      <c r="K210" s="28">
        <v>23950.0</v>
      </c>
      <c r="L210" s="28">
        <v>2199.0</v>
      </c>
      <c r="M210" s="28">
        <v>298599.0</v>
      </c>
      <c r="N210" s="28">
        <v>322549.0</v>
      </c>
      <c r="O210" s="28">
        <v>12.0</v>
      </c>
      <c r="P210" s="30">
        <v>2718.0</v>
      </c>
      <c r="Q210" s="30">
        <v>3.0</v>
      </c>
      <c r="R210" s="30">
        <v>2279.0</v>
      </c>
      <c r="S210" s="30">
        <v>1.0</v>
      </c>
      <c r="T210" s="30">
        <v>355.0</v>
      </c>
      <c r="U210" s="30">
        <v>84.0</v>
      </c>
      <c r="V210" s="30">
        <v>76.0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24077.0</v>
      </c>
      <c r="L211" s="28">
        <v>2211.0</v>
      </c>
      <c r="M211" s="28">
        <v>300810.0</v>
      </c>
      <c r="N211" s="28">
        <v>324887.0</v>
      </c>
      <c r="O211" s="28">
        <v>12.0</v>
      </c>
      <c r="P211" s="30">
        <v>2730.0</v>
      </c>
      <c r="Q211" s="30">
        <v>7.0</v>
      </c>
      <c r="R211" s="30">
        <v>2286.0</v>
      </c>
      <c r="S211" s="30">
        <v>0.0</v>
      </c>
      <c r="T211" s="30">
        <v>355.0</v>
      </c>
      <c r="U211" s="30">
        <v>89.0</v>
      </c>
      <c r="V211" s="30">
        <v>83.0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24198.0</v>
      </c>
      <c r="L212" s="28">
        <v>3162.0</v>
      </c>
      <c r="M212" s="28">
        <v>303972.0</v>
      </c>
      <c r="N212" s="28">
        <v>328170.0</v>
      </c>
      <c r="O212" s="28">
        <v>7.0</v>
      </c>
      <c r="P212" s="30">
        <v>2737.0</v>
      </c>
      <c r="Q212" s="30">
        <v>9.0</v>
      </c>
      <c r="R212" s="30">
        <v>2295.0</v>
      </c>
      <c r="S212" s="30">
        <v>1.0</v>
      </c>
      <c r="T212" s="30">
        <v>356.0</v>
      </c>
      <c r="U212" s="30">
        <v>86.0</v>
      </c>
      <c r="V212" s="30">
        <v>86.0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24340.0</v>
      </c>
      <c r="L213" s="28">
        <v>3000.0</v>
      </c>
      <c r="M213" s="28">
        <v>306972.0</v>
      </c>
      <c r="N213" s="28">
        <v>331312.0</v>
      </c>
      <c r="O213" s="28">
        <v>9.0</v>
      </c>
      <c r="P213" s="30">
        <v>2746.0</v>
      </c>
      <c r="Q213" s="30">
        <v>10.0</v>
      </c>
      <c r="R213" s="30">
        <v>2305.0</v>
      </c>
      <c r="S213" s="30">
        <v>0.0</v>
      </c>
      <c r="T213" s="30">
        <v>356.0</v>
      </c>
      <c r="U213" s="30">
        <v>85.0</v>
      </c>
      <c r="V213" s="30">
        <v>87.0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24459.0</v>
      </c>
      <c r="L214" s="28">
        <v>2417.0</v>
      </c>
      <c r="M214" s="28">
        <v>309389.0</v>
      </c>
      <c r="N214" s="28">
        <v>333848.0</v>
      </c>
      <c r="O214" s="28">
        <v>12.0</v>
      </c>
      <c r="P214" s="30">
        <v>2758.0</v>
      </c>
      <c r="Q214" s="30">
        <v>9.0</v>
      </c>
      <c r="R214" s="30">
        <v>2314.0</v>
      </c>
      <c r="S214" s="30">
        <v>0.0</v>
      </c>
      <c r="T214" s="30">
        <v>356.0</v>
      </c>
      <c r="U214" s="30">
        <v>88.0</v>
      </c>
      <c r="V214" s="30">
        <v>86.0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24493.0</v>
      </c>
      <c r="L215" s="28">
        <v>845.0</v>
      </c>
      <c r="M215" s="28">
        <v>310234.0</v>
      </c>
      <c r="N215" s="28">
        <v>334727.0</v>
      </c>
      <c r="O215" s="28">
        <v>7.0</v>
      </c>
      <c r="P215" s="30">
        <v>2765.0</v>
      </c>
      <c r="Q215" s="30">
        <v>5.0</v>
      </c>
      <c r="R215" s="30">
        <v>2319.0</v>
      </c>
      <c r="S215" s="30">
        <v>0.0</v>
      </c>
      <c r="T215" s="30">
        <v>356.0</v>
      </c>
      <c r="U215" s="30">
        <v>90.0</v>
      </c>
      <c r="V215" s="30">
        <v>88.0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24627.0</v>
      </c>
      <c r="L216" s="28">
        <v>2259.0</v>
      </c>
      <c r="M216" s="28">
        <v>312493.0</v>
      </c>
      <c r="N216" s="28">
        <v>337120.0</v>
      </c>
      <c r="O216" s="28">
        <v>7.0</v>
      </c>
      <c r="P216" s="30">
        <v>2772.0</v>
      </c>
      <c r="Q216" s="30">
        <v>7.0</v>
      </c>
      <c r="R216" s="30">
        <v>2326.0</v>
      </c>
      <c r="S216" s="30">
        <v>2.0</v>
      </c>
      <c r="T216" s="30">
        <v>358.0</v>
      </c>
      <c r="U216" s="30">
        <v>88.0</v>
      </c>
      <c r="V216" s="30">
        <v>89.0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24817.0</v>
      </c>
      <c r="L217" s="28">
        <v>2823.0</v>
      </c>
      <c r="M217" s="28">
        <v>315316.0</v>
      </c>
      <c r="N217" s="28">
        <v>340133.0</v>
      </c>
      <c r="O217" s="28">
        <v>12.0</v>
      </c>
      <c r="P217" s="30">
        <v>2784.0</v>
      </c>
      <c r="Q217" s="30">
        <v>18.0</v>
      </c>
      <c r="R217" s="30">
        <v>2344.0</v>
      </c>
      <c r="S217" s="30">
        <v>1.0</v>
      </c>
      <c r="T217" s="30">
        <v>359.0</v>
      </c>
      <c r="U217" s="30">
        <v>81.0</v>
      </c>
      <c r="V217" s="30">
        <v>86.0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25004.0</v>
      </c>
      <c r="L218" s="28">
        <v>2593.0</v>
      </c>
      <c r="M218" s="28">
        <v>317909.0</v>
      </c>
      <c r="N218" s="28">
        <v>342913.0</v>
      </c>
      <c r="O218" s="28">
        <v>6.0</v>
      </c>
      <c r="P218" s="30">
        <v>2790.0</v>
      </c>
      <c r="Q218" s="30">
        <v>6.0</v>
      </c>
      <c r="R218" s="30">
        <v>2350.0</v>
      </c>
      <c r="S218" s="30">
        <v>0.0</v>
      </c>
      <c r="T218" s="30">
        <v>359.0</v>
      </c>
      <c r="U218" s="30">
        <v>81.0</v>
      </c>
      <c r="V218" s="30">
        <v>83.0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25170.0</v>
      </c>
      <c r="L219" s="28">
        <v>2412.0</v>
      </c>
      <c r="M219" s="28">
        <v>320321.0</v>
      </c>
      <c r="N219" s="28">
        <v>345491.0</v>
      </c>
      <c r="O219" s="28">
        <v>17.0</v>
      </c>
      <c r="P219" s="30">
        <v>2807.0</v>
      </c>
      <c r="Q219" s="30">
        <v>13.0</v>
      </c>
      <c r="R219" s="30">
        <v>2363.0</v>
      </c>
      <c r="S219" s="30">
        <v>1.0</v>
      </c>
      <c r="T219" s="30">
        <v>360.0</v>
      </c>
      <c r="U219" s="30">
        <v>84.0</v>
      </c>
      <c r="V219" s="30">
        <v>82.0</v>
      </c>
      <c r="W219" s="30">
        <v>6.0</v>
      </c>
      <c r="X219" s="30">
        <v>4.0</v>
      </c>
      <c r="Y219" s="30">
        <v>2.0</v>
      </c>
      <c r="Z219" s="28">
        <v>1125.0</v>
      </c>
    </row>
    <row r="220" ht="14.25" customHeight="1">
      <c r="A220" s="27">
        <v>44106.0</v>
      </c>
      <c r="B220" s="28">
        <v>210.0</v>
      </c>
      <c r="C220" s="28">
        <v>205.0</v>
      </c>
      <c r="D220" s="28">
        <v>35356.0</v>
      </c>
      <c r="E220" s="28">
        <v>12153.0</v>
      </c>
      <c r="F220" s="29">
        <v>775450.0</v>
      </c>
      <c r="G220" s="29">
        <v>12363.0</v>
      </c>
      <c r="H220" s="29">
        <v>810806.0</v>
      </c>
      <c r="I220" s="28">
        <v>182.0</v>
      </c>
      <c r="J220" s="28">
        <v>178.0</v>
      </c>
      <c r="K220" s="28">
        <v>25352.0</v>
      </c>
      <c r="L220" s="28">
        <v>2499.0</v>
      </c>
      <c r="M220" s="28">
        <v>322820.0</v>
      </c>
      <c r="N220" s="28">
        <v>348172.0</v>
      </c>
      <c r="O220" s="28">
        <v>14.0</v>
      </c>
      <c r="P220" s="30">
        <v>2821.0</v>
      </c>
      <c r="Q220" s="30">
        <v>13.0</v>
      </c>
      <c r="R220" s="30">
        <v>2376.0</v>
      </c>
      <c r="S220" s="30">
        <v>1.0</v>
      </c>
      <c r="T220" s="30">
        <v>361.0</v>
      </c>
      <c r="U220" s="30">
        <v>84.0</v>
      </c>
      <c r="V220" s="30">
        <v>83.0</v>
      </c>
      <c r="W220" s="30">
        <v>8.0</v>
      </c>
      <c r="X220" s="30">
        <v>5.0</v>
      </c>
      <c r="Y220" s="30">
        <v>2.0</v>
      </c>
      <c r="Z220" s="28">
        <v>1127.0</v>
      </c>
    </row>
    <row r="221" ht="14.25" customHeight="1">
      <c r="A221" s="27">
        <v>44107.0</v>
      </c>
      <c r="B221" s="28">
        <v>157.0</v>
      </c>
      <c r="C221" s="28">
        <v>184.0</v>
      </c>
      <c r="D221" s="28">
        <v>35513.0</v>
      </c>
      <c r="E221" s="28">
        <v>9312.0</v>
      </c>
      <c r="F221" s="29">
        <v>784762.0</v>
      </c>
      <c r="G221" s="29">
        <v>9469.0</v>
      </c>
      <c r="H221" s="29">
        <v>820275.0</v>
      </c>
      <c r="I221" s="28">
        <v>131.0</v>
      </c>
      <c r="J221" s="28">
        <v>160.0</v>
      </c>
      <c r="K221" s="28">
        <v>25483.0</v>
      </c>
      <c r="L221" s="28">
        <v>2023.0</v>
      </c>
      <c r="M221" s="28">
        <v>324843.0</v>
      </c>
      <c r="N221" s="28">
        <v>350326.0</v>
      </c>
      <c r="O221" s="28">
        <v>9.0</v>
      </c>
      <c r="P221" s="30">
        <v>2830.0</v>
      </c>
      <c r="Q221" s="30">
        <v>9.0</v>
      </c>
      <c r="R221" s="30">
        <v>2385.0</v>
      </c>
      <c r="S221" s="30">
        <v>2.0</v>
      </c>
      <c r="T221" s="30">
        <v>363.0</v>
      </c>
      <c r="U221" s="30">
        <v>82.0</v>
      </c>
      <c r="V221" s="30">
        <v>83.0</v>
      </c>
      <c r="W221" s="30">
        <v>9.0</v>
      </c>
      <c r="X221" s="30">
        <v>4.0</v>
      </c>
      <c r="Y221" s="30">
        <v>2.0</v>
      </c>
      <c r="Z221" s="28">
        <v>1129.0</v>
      </c>
    </row>
    <row r="222" ht="14.25" customHeight="1">
      <c r="A222" s="27">
        <v>44108.0</v>
      </c>
      <c r="B222" s="28">
        <v>81.0</v>
      </c>
      <c r="C222" s="28">
        <v>149.0</v>
      </c>
      <c r="D222" s="28">
        <v>35594.0</v>
      </c>
      <c r="E222" s="28">
        <v>2369.0</v>
      </c>
      <c r="F222" s="29">
        <v>787131.0</v>
      </c>
      <c r="G222" s="29">
        <v>2450.0</v>
      </c>
      <c r="H222" s="29">
        <v>822725.0</v>
      </c>
      <c r="I222" s="28">
        <v>78.0</v>
      </c>
      <c r="J222" s="28">
        <v>130.0</v>
      </c>
      <c r="K222" s="28">
        <v>25561.0</v>
      </c>
      <c r="L222" s="28">
        <v>954.0</v>
      </c>
      <c r="M222" s="28">
        <v>325797.0</v>
      </c>
      <c r="N222" s="28">
        <v>351358.0</v>
      </c>
      <c r="O222" s="28">
        <v>11.0</v>
      </c>
      <c r="P222" s="30">
        <v>2841.0</v>
      </c>
      <c r="Q222" s="30">
        <v>9.0</v>
      </c>
      <c r="R222" s="30">
        <v>2394.0</v>
      </c>
      <c r="S222" s="30">
        <v>1.0</v>
      </c>
      <c r="T222" s="30">
        <v>364.0</v>
      </c>
      <c r="U222" s="30">
        <v>83.0</v>
      </c>
      <c r="V222" s="30">
        <v>83.0</v>
      </c>
      <c r="W222" s="30">
        <v>8.0</v>
      </c>
      <c r="X222" s="30">
        <v>5.0</v>
      </c>
      <c r="Y222" s="30">
        <v>2.0</v>
      </c>
      <c r="Z222" s="28">
        <v>1131.0</v>
      </c>
    </row>
    <row r="223" ht="14.25" customHeight="1">
      <c r="A223" s="27">
        <v>44109.0</v>
      </c>
      <c r="B223" s="28">
        <v>174.0</v>
      </c>
      <c r="C223" s="28">
        <v>137.0</v>
      </c>
      <c r="D223" s="28">
        <v>35768.0</v>
      </c>
      <c r="E223" s="28">
        <v>8982.0</v>
      </c>
      <c r="F223" s="29">
        <v>796113.0</v>
      </c>
      <c r="G223" s="29">
        <v>9156.0</v>
      </c>
      <c r="H223" s="29">
        <v>831881.0</v>
      </c>
      <c r="I223" s="28">
        <v>160.0</v>
      </c>
      <c r="J223" s="28">
        <v>123.0</v>
      </c>
      <c r="K223" s="28">
        <v>25721.0</v>
      </c>
      <c r="L223" s="28">
        <v>3033.0</v>
      </c>
      <c r="M223" s="28">
        <v>328830.0</v>
      </c>
      <c r="N223" s="28">
        <v>354551.0</v>
      </c>
      <c r="O223" s="28">
        <v>30.0</v>
      </c>
      <c r="P223" s="30">
        <v>2871.0</v>
      </c>
      <c r="Q223" s="30">
        <v>11.0</v>
      </c>
      <c r="R223" s="30">
        <v>2405.0</v>
      </c>
      <c r="S223" s="30">
        <v>2.0</v>
      </c>
      <c r="T223" s="30">
        <v>366.0</v>
      </c>
      <c r="U223" s="30">
        <v>100.0</v>
      </c>
      <c r="V223" s="30">
        <v>88.0</v>
      </c>
      <c r="W223" s="30">
        <v>9.0</v>
      </c>
      <c r="X223" s="30">
        <v>6.0</v>
      </c>
      <c r="Y223" s="30">
        <v>4.0</v>
      </c>
      <c r="Z223" s="28">
        <v>1135.0</v>
      </c>
    </row>
    <row r="224" ht="14.25" customHeight="1">
      <c r="A224" s="27">
        <v>44110.0</v>
      </c>
      <c r="B224" s="28">
        <v>177.0</v>
      </c>
      <c r="C224" s="28">
        <v>144.0</v>
      </c>
      <c r="D224" s="28">
        <v>35945.0</v>
      </c>
      <c r="E224" s="28">
        <v>11185.0</v>
      </c>
      <c r="F224" s="29">
        <v>807298.0</v>
      </c>
      <c r="G224" s="29">
        <v>11362.0</v>
      </c>
      <c r="H224" s="29">
        <v>843243.0</v>
      </c>
      <c r="I224" s="28">
        <v>186.0</v>
      </c>
      <c r="J224" s="28">
        <v>141.0</v>
      </c>
      <c r="K224" s="28">
        <v>25907.0</v>
      </c>
      <c r="L224" s="28">
        <v>2904.0</v>
      </c>
      <c r="M224" s="28">
        <v>331734.0</v>
      </c>
      <c r="N224" s="28">
        <v>357641.0</v>
      </c>
      <c r="O224" s="28">
        <v>11.0</v>
      </c>
      <c r="P224" s="30">
        <v>2882.0</v>
      </c>
      <c r="Q224" s="30">
        <v>5.0</v>
      </c>
      <c r="R224" s="30">
        <v>2410.0</v>
      </c>
      <c r="S224" s="30">
        <v>0.0</v>
      </c>
      <c r="T224" s="30">
        <v>366.0</v>
      </c>
      <c r="U224" s="30">
        <v>106.0</v>
      </c>
      <c r="V224" s="30">
        <v>96.0</v>
      </c>
      <c r="W224" s="30">
        <v>11.0</v>
      </c>
      <c r="X224" s="30">
        <v>7.0</v>
      </c>
      <c r="Y224" s="30">
        <v>0.0</v>
      </c>
      <c r="Z224" s="28">
        <v>1135.0</v>
      </c>
    </row>
    <row r="225" ht="14.25" customHeight="1">
      <c r="A225" s="27">
        <v>44111.0</v>
      </c>
      <c r="B225" s="28">
        <v>231.0</v>
      </c>
      <c r="C225" s="28">
        <v>194.0</v>
      </c>
      <c r="D225" s="28">
        <v>36176.0</v>
      </c>
      <c r="E225" s="28">
        <v>12440.0</v>
      </c>
      <c r="F225" s="29">
        <v>819738.0</v>
      </c>
      <c r="G225" s="29">
        <v>12671.0</v>
      </c>
      <c r="H225" s="29">
        <v>855914.0</v>
      </c>
      <c r="I225" s="28">
        <v>244.0</v>
      </c>
      <c r="J225" s="28">
        <v>197.0</v>
      </c>
      <c r="K225" s="28">
        <v>26151.0</v>
      </c>
      <c r="L225" s="28">
        <v>3541.0</v>
      </c>
      <c r="M225" s="28">
        <v>335275.0</v>
      </c>
      <c r="N225" s="28">
        <v>361426.0</v>
      </c>
      <c r="O225" s="28">
        <v>13.0</v>
      </c>
      <c r="P225" s="30">
        <v>2895.0</v>
      </c>
      <c r="Q225" s="30">
        <v>14.0</v>
      </c>
      <c r="R225" s="30">
        <v>2424.0</v>
      </c>
      <c r="S225" s="30">
        <v>2.0</v>
      </c>
      <c r="T225" s="30">
        <v>368.0</v>
      </c>
      <c r="U225" s="30">
        <v>103.0</v>
      </c>
      <c r="V225" s="30">
        <v>103.0</v>
      </c>
      <c r="W225" s="30">
        <v>9.0</v>
      </c>
      <c r="X225" s="30">
        <v>7.0</v>
      </c>
      <c r="Y225" s="30">
        <v>2.0</v>
      </c>
      <c r="Z225" s="28">
        <v>1137.0</v>
      </c>
    </row>
    <row r="226" ht="14.25" customHeight="1">
      <c r="A226" s="27">
        <v>44112.0</v>
      </c>
      <c r="B226" s="28">
        <v>262.0</v>
      </c>
      <c r="C226" s="28">
        <v>223.0</v>
      </c>
      <c r="D226" s="28">
        <v>36438.0</v>
      </c>
      <c r="E226" s="28">
        <v>15233.0</v>
      </c>
      <c r="F226" s="29">
        <v>834971.0</v>
      </c>
      <c r="G226" s="29">
        <v>15495.0</v>
      </c>
      <c r="H226" s="29">
        <v>871409.0</v>
      </c>
      <c r="I226" s="28">
        <v>274.0</v>
      </c>
      <c r="J226" s="28">
        <v>235.0</v>
      </c>
      <c r="K226" s="28">
        <v>26425.0</v>
      </c>
      <c r="L226" s="28">
        <v>4212.0</v>
      </c>
      <c r="M226" s="28">
        <v>339487.0</v>
      </c>
      <c r="N226" s="28">
        <v>365912.0</v>
      </c>
      <c r="O226" s="28">
        <v>17.0</v>
      </c>
      <c r="P226" s="30">
        <v>2912.0</v>
      </c>
      <c r="Q226" s="30">
        <v>13.0</v>
      </c>
      <c r="R226" s="30">
        <v>2437.0</v>
      </c>
      <c r="S226" s="30">
        <v>2.0</v>
      </c>
      <c r="T226" s="30">
        <v>370.0</v>
      </c>
      <c r="U226" s="30">
        <v>105.0</v>
      </c>
      <c r="V226" s="30">
        <v>105.0</v>
      </c>
      <c r="W226" s="30">
        <v>7.0</v>
      </c>
      <c r="X226" s="30">
        <v>5.0</v>
      </c>
      <c r="Y226" s="30">
        <v>4.0</v>
      </c>
      <c r="Z226" s="28">
        <v>1141.0</v>
      </c>
    </row>
    <row r="227" ht="14.25" customHeight="1">
      <c r="A227" s="27">
        <v>44113.0</v>
      </c>
      <c r="B227" s="28">
        <v>217.0</v>
      </c>
      <c r="C227" s="28">
        <v>237.0</v>
      </c>
      <c r="D227" s="28">
        <v>36655.0</v>
      </c>
      <c r="E227" s="28">
        <v>13745.0</v>
      </c>
      <c r="F227" s="29">
        <v>848716.0</v>
      </c>
      <c r="G227" s="29">
        <v>13962.0</v>
      </c>
      <c r="H227" s="29">
        <v>885371.0</v>
      </c>
      <c r="I227" s="28">
        <v>199.0</v>
      </c>
      <c r="J227" s="28">
        <v>239.0</v>
      </c>
      <c r="K227" s="28">
        <v>26624.0</v>
      </c>
      <c r="L227" s="28">
        <v>4333.0</v>
      </c>
      <c r="M227" s="28">
        <v>343820.0</v>
      </c>
      <c r="N227" s="28">
        <v>370444.0</v>
      </c>
      <c r="O227" s="28">
        <v>21.0</v>
      </c>
      <c r="P227" s="30">
        <v>2933.0</v>
      </c>
      <c r="Q227" s="30">
        <v>12.0</v>
      </c>
      <c r="R227" s="30">
        <v>2449.0</v>
      </c>
      <c r="S227" s="30">
        <v>0.0</v>
      </c>
      <c r="T227" s="30">
        <v>370.0</v>
      </c>
      <c r="U227" s="30">
        <v>114.0</v>
      </c>
      <c r="V227" s="30">
        <v>107.0</v>
      </c>
      <c r="W227" s="30">
        <v>10.0</v>
      </c>
      <c r="X227" s="30">
        <v>7.0</v>
      </c>
      <c r="Y227" s="30">
        <v>3.0</v>
      </c>
      <c r="Z227" s="28">
        <v>1144.0</v>
      </c>
    </row>
    <row r="228" ht="14.25" customHeight="1">
      <c r="A228" s="27">
        <v>44114.0</v>
      </c>
      <c r="B228" s="28">
        <v>229.0</v>
      </c>
      <c r="C228" s="28">
        <v>236.0</v>
      </c>
      <c r="D228" s="28">
        <v>36884.0</v>
      </c>
      <c r="E228" s="28">
        <v>13832.0</v>
      </c>
      <c r="F228" s="29">
        <v>862548.0</v>
      </c>
      <c r="G228" s="29">
        <v>14061.0</v>
      </c>
      <c r="H228" s="29">
        <v>899432.0</v>
      </c>
      <c r="I228" s="28">
        <v>194.0</v>
      </c>
      <c r="J228" s="28">
        <v>222.0</v>
      </c>
      <c r="K228" s="28">
        <v>26818.0</v>
      </c>
      <c r="L228" s="28">
        <v>3810.0</v>
      </c>
      <c r="M228" s="28">
        <v>347630.0</v>
      </c>
      <c r="N228" s="28">
        <v>374448.0</v>
      </c>
      <c r="O228" s="28">
        <v>19.0</v>
      </c>
      <c r="P228" s="30">
        <v>2952.0</v>
      </c>
      <c r="Q228" s="30">
        <v>10.0</v>
      </c>
      <c r="R228" s="30">
        <v>2459.0</v>
      </c>
      <c r="S228" s="30">
        <v>1.0</v>
      </c>
      <c r="T228" s="30">
        <v>371.0</v>
      </c>
      <c r="U228" s="30">
        <v>122.0</v>
      </c>
      <c r="V228" s="30">
        <v>114.0</v>
      </c>
      <c r="W228" s="30">
        <v>13.0</v>
      </c>
      <c r="X228" s="30">
        <v>7.0</v>
      </c>
      <c r="Y228" s="30">
        <v>2.0</v>
      </c>
      <c r="Z228" s="28">
        <v>1146.0</v>
      </c>
    </row>
    <row r="229" ht="14.25" customHeight="1">
      <c r="A229" s="27">
        <v>44115.0</v>
      </c>
      <c r="B229" s="28">
        <v>97.0</v>
      </c>
      <c r="C229" s="28">
        <v>181.0</v>
      </c>
      <c r="D229" s="28">
        <v>36981.0</v>
      </c>
      <c r="E229" s="28">
        <v>3263.0</v>
      </c>
      <c r="F229" s="29">
        <v>865811.0</v>
      </c>
      <c r="G229" s="29">
        <v>3360.0</v>
      </c>
      <c r="H229" s="29">
        <v>902792.0</v>
      </c>
      <c r="I229" s="28">
        <v>88.0</v>
      </c>
      <c r="J229" s="28">
        <v>160.0</v>
      </c>
      <c r="K229" s="28">
        <v>26906.0</v>
      </c>
      <c r="L229" s="28">
        <v>1166.0</v>
      </c>
      <c r="M229" s="28">
        <v>348796.0</v>
      </c>
      <c r="N229" s="28">
        <v>375702.0</v>
      </c>
      <c r="O229" s="28">
        <v>12.0</v>
      </c>
      <c r="P229" s="30">
        <v>2964.0</v>
      </c>
      <c r="Q229" s="30">
        <v>9.0</v>
      </c>
      <c r="R229" s="30">
        <v>2468.0</v>
      </c>
      <c r="S229" s="30">
        <v>1.0</v>
      </c>
      <c r="T229" s="30">
        <v>372.0</v>
      </c>
      <c r="U229" s="30">
        <v>124.0</v>
      </c>
      <c r="V229" s="30">
        <v>120.0</v>
      </c>
      <c r="W229" s="30">
        <v>14.0</v>
      </c>
      <c r="X229" s="30">
        <v>5.0</v>
      </c>
      <c r="Y229" s="30">
        <v>6.0</v>
      </c>
      <c r="Z229" s="28">
        <v>1152.0</v>
      </c>
    </row>
    <row r="230" ht="14.25" customHeight="1">
      <c r="A230" s="27">
        <v>44116.0</v>
      </c>
      <c r="B230" s="28">
        <v>169.0</v>
      </c>
      <c r="C230" s="28">
        <v>165.0</v>
      </c>
      <c r="D230" s="28">
        <v>37150.0</v>
      </c>
      <c r="E230" s="28">
        <v>6439.0</v>
      </c>
      <c r="F230" s="29">
        <v>872250.0</v>
      </c>
      <c r="G230" s="29">
        <v>6608.0</v>
      </c>
      <c r="H230" s="29">
        <v>909400.0</v>
      </c>
      <c r="I230" s="28">
        <v>159.0</v>
      </c>
      <c r="J230" s="28">
        <v>147.0</v>
      </c>
      <c r="K230" s="28">
        <v>27065.0</v>
      </c>
      <c r="L230" s="28">
        <v>1747.0</v>
      </c>
      <c r="M230" s="28">
        <v>350543.0</v>
      </c>
      <c r="N230" s="28">
        <v>377608.0</v>
      </c>
      <c r="O230" s="28">
        <v>19.0</v>
      </c>
      <c r="P230" s="30">
        <v>2983.0</v>
      </c>
      <c r="Q230" s="30">
        <v>15.0</v>
      </c>
      <c r="R230" s="30">
        <v>2483.0</v>
      </c>
      <c r="S230" s="30">
        <v>2.0</v>
      </c>
      <c r="T230" s="30">
        <v>374.0</v>
      </c>
      <c r="U230" s="30">
        <v>126.0</v>
      </c>
      <c r="V230" s="30">
        <v>124.0</v>
      </c>
      <c r="W230" s="30">
        <v>14.0</v>
      </c>
      <c r="X230" s="30">
        <v>5.0</v>
      </c>
      <c r="Y230" s="30">
        <v>4.0</v>
      </c>
      <c r="Z230" s="28">
        <v>1156.0</v>
      </c>
    </row>
    <row r="231" ht="14.25" customHeight="1">
      <c r="A231" s="27">
        <v>44117.0</v>
      </c>
      <c r="B231" s="28">
        <v>213.0</v>
      </c>
      <c r="C231" s="28">
        <v>160.0</v>
      </c>
      <c r="D231" s="28">
        <v>37363.0</v>
      </c>
      <c r="E231" s="28">
        <v>8521.0</v>
      </c>
      <c r="F231" s="29">
        <v>880771.0</v>
      </c>
      <c r="G231" s="29">
        <v>8734.0</v>
      </c>
      <c r="H231" s="29">
        <v>918134.0</v>
      </c>
      <c r="I231" s="28">
        <v>208.0</v>
      </c>
      <c r="J231" s="28">
        <v>152.0</v>
      </c>
      <c r="K231" s="28">
        <v>27273.0</v>
      </c>
      <c r="L231" s="28">
        <v>2310.0</v>
      </c>
      <c r="M231" s="28">
        <v>352853.0</v>
      </c>
      <c r="N231" s="28">
        <v>380126.0</v>
      </c>
      <c r="O231" s="28">
        <v>15.0</v>
      </c>
      <c r="P231" s="30">
        <v>2998.0</v>
      </c>
      <c r="Q231" s="30">
        <v>15.0</v>
      </c>
      <c r="R231" s="30">
        <v>2498.0</v>
      </c>
      <c r="S231" s="30">
        <v>4.0</v>
      </c>
      <c r="T231" s="30">
        <v>378.0</v>
      </c>
      <c r="U231" s="30">
        <v>122.0</v>
      </c>
      <c r="V231" s="30">
        <v>124.0</v>
      </c>
      <c r="W231" s="30">
        <v>13.0</v>
      </c>
      <c r="X231" s="30">
        <v>5.0</v>
      </c>
      <c r="Y231" s="30">
        <v>7.0</v>
      </c>
      <c r="Z231" s="28">
        <v>1163.0</v>
      </c>
    </row>
    <row r="232" ht="14.25" customHeight="1">
      <c r="A232" s="27">
        <v>44118.0</v>
      </c>
      <c r="B232" s="28">
        <v>322.0</v>
      </c>
      <c r="C232" s="28">
        <v>235.0</v>
      </c>
      <c r="D232" s="28">
        <v>37685.0</v>
      </c>
      <c r="E232" s="28">
        <v>15038.0</v>
      </c>
      <c r="F232" s="29">
        <v>895809.0</v>
      </c>
      <c r="G232" s="29">
        <v>15360.0</v>
      </c>
      <c r="H232" s="29">
        <v>933494.0</v>
      </c>
      <c r="I232" s="28">
        <v>304.0</v>
      </c>
      <c r="J232" s="28">
        <v>224.0</v>
      </c>
      <c r="K232" s="28">
        <v>27577.0</v>
      </c>
      <c r="L232" s="28">
        <v>4045.0</v>
      </c>
      <c r="M232" s="28">
        <v>356898.0</v>
      </c>
      <c r="N232" s="28">
        <v>384475.0</v>
      </c>
      <c r="O232" s="28">
        <v>17.0</v>
      </c>
      <c r="P232" s="30">
        <v>3015.0</v>
      </c>
      <c r="Q232" s="30">
        <v>7.0</v>
      </c>
      <c r="R232" s="30">
        <v>2505.0</v>
      </c>
      <c r="S232" s="30">
        <v>0.0</v>
      </c>
      <c r="T232" s="30">
        <v>378.0</v>
      </c>
      <c r="U232" s="30">
        <v>132.0</v>
      </c>
      <c r="V232" s="30">
        <v>127.0</v>
      </c>
      <c r="W232" s="30">
        <v>15.0</v>
      </c>
      <c r="X232" s="30">
        <v>5.0</v>
      </c>
      <c r="Y232" s="30">
        <v>2.0</v>
      </c>
      <c r="Z232" s="28">
        <v>1165.0</v>
      </c>
    </row>
    <row r="233" ht="14.25" customHeight="1">
      <c r="A233" s="27">
        <v>44119.0</v>
      </c>
      <c r="B233" s="28">
        <v>262.0</v>
      </c>
      <c r="C233" s="28">
        <v>266.0</v>
      </c>
      <c r="D233" s="28">
        <v>37947.0</v>
      </c>
      <c r="E233" s="28">
        <v>14640.0</v>
      </c>
      <c r="F233" s="29">
        <v>910449.0</v>
      </c>
      <c r="G233" s="29">
        <v>14902.0</v>
      </c>
      <c r="H233" s="29">
        <v>948396.0</v>
      </c>
      <c r="I233" s="28">
        <v>254.0</v>
      </c>
      <c r="J233" s="28">
        <v>255.0</v>
      </c>
      <c r="K233" s="28">
        <v>27831.0</v>
      </c>
      <c r="L233" s="28">
        <v>3590.0</v>
      </c>
      <c r="M233" s="28">
        <v>360488.0</v>
      </c>
      <c r="N233" s="28">
        <v>388319.0</v>
      </c>
      <c r="O233" s="28">
        <v>11.0</v>
      </c>
      <c r="P233" s="30">
        <v>3026.0</v>
      </c>
      <c r="Q233" s="30">
        <v>16.0</v>
      </c>
      <c r="R233" s="30">
        <v>2521.0</v>
      </c>
      <c r="S233" s="30">
        <v>1.0</v>
      </c>
      <c r="T233" s="30">
        <v>379.0</v>
      </c>
      <c r="U233" s="30">
        <v>126.0</v>
      </c>
      <c r="V233" s="30">
        <v>127.0</v>
      </c>
      <c r="W233" s="30">
        <v>13.0</v>
      </c>
      <c r="X233" s="30">
        <v>5.0</v>
      </c>
      <c r="Y233" s="30">
        <v>2.0</v>
      </c>
      <c r="Z233" s="28">
        <v>1167.0</v>
      </c>
    </row>
    <row r="234" ht="14.25" customHeight="1">
      <c r="A234" s="27">
        <v>44120.0</v>
      </c>
      <c r="B234" s="28">
        <v>279.0</v>
      </c>
      <c r="C234" s="28">
        <v>288.0</v>
      </c>
      <c r="D234" s="28">
        <v>38226.0</v>
      </c>
      <c r="E234" s="28">
        <v>15011.0</v>
      </c>
      <c r="F234" s="29">
        <v>925460.0</v>
      </c>
      <c r="G234" s="29">
        <v>15290.0</v>
      </c>
      <c r="H234" s="29">
        <v>963686.0</v>
      </c>
      <c r="I234" s="28">
        <v>275.0</v>
      </c>
      <c r="J234" s="28">
        <v>278.0</v>
      </c>
      <c r="K234" s="28">
        <v>28106.0</v>
      </c>
      <c r="L234" s="28">
        <v>3396.0</v>
      </c>
      <c r="M234" s="28">
        <v>363884.0</v>
      </c>
      <c r="N234" s="28">
        <v>391990.0</v>
      </c>
      <c r="O234" s="28">
        <v>13.0</v>
      </c>
      <c r="P234" s="30">
        <v>3039.0</v>
      </c>
      <c r="Q234" s="30">
        <v>20.0</v>
      </c>
      <c r="R234" s="30">
        <v>2541.0</v>
      </c>
      <c r="S234" s="30">
        <v>1.0</v>
      </c>
      <c r="T234" s="30">
        <v>380.0</v>
      </c>
      <c r="U234" s="30">
        <v>118.0</v>
      </c>
      <c r="V234" s="30">
        <v>125.0</v>
      </c>
      <c r="W234" s="30">
        <v>13.0</v>
      </c>
      <c r="X234" s="30">
        <v>4.0</v>
      </c>
      <c r="Y234" s="30">
        <v>2.0</v>
      </c>
      <c r="Z234" s="28">
        <v>1169.0</v>
      </c>
    </row>
    <row r="235" ht="14.25" customHeight="1">
      <c r="A235" s="27">
        <v>44121.0</v>
      </c>
      <c r="B235" s="28">
        <v>354.0</v>
      </c>
      <c r="C235" s="28">
        <v>298.0</v>
      </c>
      <c r="D235" s="28">
        <v>38580.0</v>
      </c>
      <c r="E235" s="28">
        <v>14068.0</v>
      </c>
      <c r="F235" s="29">
        <v>939528.0</v>
      </c>
      <c r="G235" s="29">
        <v>14422.0</v>
      </c>
      <c r="H235" s="29">
        <v>978108.0</v>
      </c>
      <c r="I235" s="28">
        <v>310.0</v>
      </c>
      <c r="J235" s="28">
        <v>280.0</v>
      </c>
      <c r="K235" s="28">
        <v>28416.0</v>
      </c>
      <c r="L235" s="28">
        <v>3274.0</v>
      </c>
      <c r="M235" s="28">
        <v>367158.0</v>
      </c>
      <c r="N235" s="28">
        <v>395574.0</v>
      </c>
      <c r="O235" s="28">
        <v>19.0</v>
      </c>
      <c r="P235" s="30">
        <v>3058.0</v>
      </c>
      <c r="Q235" s="30">
        <v>11.0</v>
      </c>
      <c r="R235" s="30">
        <v>2552.0</v>
      </c>
      <c r="S235" s="30">
        <v>1.0</v>
      </c>
      <c r="T235" s="30">
        <v>381.0</v>
      </c>
      <c r="U235" s="30">
        <v>125.0</v>
      </c>
      <c r="V235" s="30">
        <v>123.0</v>
      </c>
      <c r="W235" s="30">
        <v>17.0</v>
      </c>
      <c r="X235" s="30">
        <v>4.0</v>
      </c>
      <c r="Y235" s="30">
        <v>2.0</v>
      </c>
      <c r="Z235" s="28">
        <v>1171.0</v>
      </c>
    </row>
    <row r="236" ht="14.25" customHeight="1">
      <c r="A236" s="27">
        <v>44122.0</v>
      </c>
      <c r="B236" s="28">
        <v>155.0</v>
      </c>
      <c r="C236" s="28">
        <v>263.0</v>
      </c>
      <c r="D236" s="28">
        <v>38735.0</v>
      </c>
      <c r="E236" s="28">
        <v>4039.0</v>
      </c>
      <c r="F236" s="29">
        <v>943567.0</v>
      </c>
      <c r="G236" s="29">
        <v>4194.0</v>
      </c>
      <c r="H236" s="29">
        <v>982302.0</v>
      </c>
      <c r="I236" s="28">
        <v>129.0</v>
      </c>
      <c r="J236" s="28">
        <v>238.0</v>
      </c>
      <c r="K236" s="28">
        <v>28545.0</v>
      </c>
      <c r="L236" s="28">
        <v>1329.0</v>
      </c>
      <c r="M236" s="28">
        <v>368487.0</v>
      </c>
      <c r="N236" s="28">
        <v>397032.0</v>
      </c>
      <c r="O236" s="28">
        <v>18.0</v>
      </c>
      <c r="P236" s="30">
        <v>3076.0</v>
      </c>
      <c r="Q236" s="30">
        <v>11.0</v>
      </c>
      <c r="R236" s="30">
        <v>2563.0</v>
      </c>
      <c r="S236" s="30">
        <v>0.0</v>
      </c>
      <c r="T236" s="30">
        <v>381.0</v>
      </c>
      <c r="U236" s="30">
        <v>132.0</v>
      </c>
      <c r="V236" s="30">
        <v>125.0</v>
      </c>
      <c r="W236" s="30">
        <v>17.0</v>
      </c>
      <c r="X236" s="30">
        <v>6.0</v>
      </c>
      <c r="Y236" s="30">
        <v>2.0</v>
      </c>
      <c r="Z236" s="28">
        <v>1173.0</v>
      </c>
    </row>
    <row r="237" ht="14.25" customHeight="1">
      <c r="A237" s="27">
        <v>44123.0</v>
      </c>
      <c r="B237" s="28">
        <v>388.0</v>
      </c>
      <c r="C237" s="28">
        <v>299.0</v>
      </c>
      <c r="D237" s="28">
        <v>39123.0</v>
      </c>
      <c r="E237" s="28">
        <v>8489.0</v>
      </c>
      <c r="F237" s="29">
        <v>952056.0</v>
      </c>
      <c r="G237" s="29">
        <v>8877.0</v>
      </c>
      <c r="H237" s="29">
        <v>991179.0</v>
      </c>
      <c r="I237" s="28">
        <v>325.0</v>
      </c>
      <c r="J237" s="28">
        <v>255.0</v>
      </c>
      <c r="K237" s="28">
        <v>28870.0</v>
      </c>
      <c r="L237" s="28">
        <v>2573.0</v>
      </c>
      <c r="M237" s="28">
        <v>371060.0</v>
      </c>
      <c r="N237" s="28">
        <v>399930.0</v>
      </c>
      <c r="O237" s="28">
        <v>21.0</v>
      </c>
      <c r="P237" s="30">
        <v>3097.0</v>
      </c>
      <c r="Q237" s="30">
        <v>23.0</v>
      </c>
      <c r="R237" s="30">
        <v>2586.0</v>
      </c>
      <c r="S237" s="30">
        <v>2.0</v>
      </c>
      <c r="T237" s="30">
        <v>383.0</v>
      </c>
      <c r="U237" s="30">
        <v>128.0</v>
      </c>
      <c r="V237" s="30">
        <v>128.0</v>
      </c>
      <c r="W237" s="30">
        <v>15.0</v>
      </c>
      <c r="X237" s="30">
        <v>6.0</v>
      </c>
      <c r="Y237" s="30">
        <v>1.0</v>
      </c>
      <c r="Z237" s="28">
        <v>1174.0</v>
      </c>
    </row>
    <row r="238" ht="14.25" customHeight="1">
      <c r="A238" s="27">
        <v>44124.0</v>
      </c>
      <c r="B238" s="28">
        <v>439.0</v>
      </c>
      <c r="C238" s="28">
        <v>327.0</v>
      </c>
      <c r="D238" s="28">
        <v>39562.0</v>
      </c>
      <c r="E238" s="28">
        <v>13241.0</v>
      </c>
      <c r="F238" s="29">
        <v>965297.0</v>
      </c>
      <c r="G238" s="29">
        <v>13680.0</v>
      </c>
      <c r="H238" s="29">
        <v>1004859.0</v>
      </c>
      <c r="I238" s="28">
        <v>387.0</v>
      </c>
      <c r="J238" s="28">
        <v>280.0</v>
      </c>
      <c r="K238" s="28">
        <v>29257.0</v>
      </c>
      <c r="L238" s="28">
        <v>3018.0</v>
      </c>
      <c r="M238" s="28">
        <v>374078.0</v>
      </c>
      <c r="N238" s="28">
        <v>403335.0</v>
      </c>
      <c r="O238" s="28">
        <v>22.0</v>
      </c>
      <c r="P238" s="30">
        <v>3119.0</v>
      </c>
      <c r="Q238" s="30">
        <v>17.0</v>
      </c>
      <c r="R238" s="30">
        <v>2603.0</v>
      </c>
      <c r="S238" s="30">
        <v>0.0</v>
      </c>
      <c r="T238" s="30">
        <v>383.0</v>
      </c>
      <c r="U238" s="30">
        <v>133.0</v>
      </c>
      <c r="V238" s="30">
        <v>131.0</v>
      </c>
      <c r="W238" s="30">
        <v>14.0</v>
      </c>
      <c r="X238" s="30">
        <v>8.0</v>
      </c>
      <c r="Y238" s="30">
        <v>3.0</v>
      </c>
      <c r="Z238" s="28">
        <v>1177.0</v>
      </c>
    </row>
    <row r="239" ht="14.25" customHeight="1">
      <c r="A239" s="27">
        <v>44125.0</v>
      </c>
      <c r="B239" s="28">
        <v>544.0</v>
      </c>
      <c r="C239" s="28">
        <v>457.0</v>
      </c>
      <c r="D239" s="28">
        <v>40106.0</v>
      </c>
      <c r="E239" s="28">
        <v>17462.0</v>
      </c>
      <c r="F239" s="29">
        <v>982759.0</v>
      </c>
      <c r="G239" s="29">
        <v>18006.0</v>
      </c>
      <c r="H239" s="29">
        <v>1022865.0</v>
      </c>
      <c r="I239" s="28">
        <v>470.0</v>
      </c>
      <c r="J239" s="28">
        <v>394.0</v>
      </c>
      <c r="K239" s="28">
        <v>29727.0</v>
      </c>
      <c r="L239" s="28">
        <v>3533.0</v>
      </c>
      <c r="M239" s="28">
        <v>377611.0</v>
      </c>
      <c r="N239" s="28">
        <v>407338.0</v>
      </c>
      <c r="O239" s="28">
        <v>21.0</v>
      </c>
      <c r="P239" s="30">
        <v>3140.0</v>
      </c>
      <c r="Q239" s="30">
        <v>9.0</v>
      </c>
      <c r="R239" s="30">
        <v>2612.0</v>
      </c>
      <c r="S239" s="30">
        <v>2.0</v>
      </c>
      <c r="T239" s="30">
        <v>385.0</v>
      </c>
      <c r="U239" s="30">
        <v>143.0</v>
      </c>
      <c r="V239" s="30">
        <v>135.0</v>
      </c>
      <c r="W239" s="30">
        <v>15.0</v>
      </c>
      <c r="X239" s="30">
        <v>9.0</v>
      </c>
      <c r="Y239" s="30">
        <v>3.0</v>
      </c>
      <c r="Z239" s="28">
        <v>1180.0</v>
      </c>
    </row>
    <row r="240" ht="14.25" customHeight="1">
      <c r="A240" s="27">
        <v>44126.0</v>
      </c>
      <c r="B240" s="28">
        <v>538.0</v>
      </c>
      <c r="C240" s="28">
        <v>507.0</v>
      </c>
      <c r="D240" s="28">
        <v>40644.0</v>
      </c>
      <c r="E240" s="28">
        <v>15863.0</v>
      </c>
      <c r="F240" s="29">
        <v>998622.0</v>
      </c>
      <c r="G240" s="29">
        <v>16401.0</v>
      </c>
      <c r="H240" s="29">
        <v>1039266.0</v>
      </c>
      <c r="I240" s="28">
        <v>487.0</v>
      </c>
      <c r="J240" s="28">
        <v>448.0</v>
      </c>
      <c r="K240" s="28">
        <v>30214.0</v>
      </c>
      <c r="L240" s="28">
        <v>3209.0</v>
      </c>
      <c r="M240" s="28">
        <v>380820.0</v>
      </c>
      <c r="N240" s="28">
        <v>411034.0</v>
      </c>
      <c r="O240" s="28">
        <v>24.0</v>
      </c>
      <c r="P240" s="30">
        <v>3164.0</v>
      </c>
      <c r="Q240" s="30">
        <v>21.0</v>
      </c>
      <c r="R240" s="30">
        <v>2633.0</v>
      </c>
      <c r="S240" s="30">
        <v>3.0</v>
      </c>
      <c r="T240" s="30">
        <v>388.0</v>
      </c>
      <c r="U240" s="30">
        <v>143.0</v>
      </c>
      <c r="V240" s="30">
        <v>140.0</v>
      </c>
      <c r="W240" s="30">
        <v>14.0</v>
      </c>
      <c r="X240" s="30">
        <v>9.0</v>
      </c>
      <c r="Y240" s="30">
        <v>3.0</v>
      </c>
      <c r="Z240" s="28">
        <v>1183.0</v>
      </c>
    </row>
    <row r="241" ht="14.25" customHeight="1">
      <c r="A241" s="27">
        <v>44127.0</v>
      </c>
      <c r="B241" s="28">
        <v>514.0</v>
      </c>
      <c r="C241" s="28">
        <v>532.0</v>
      </c>
      <c r="D241" s="28">
        <v>41158.0</v>
      </c>
      <c r="E241" s="28">
        <v>16631.0</v>
      </c>
      <c r="F241" s="29">
        <v>1015253.0</v>
      </c>
      <c r="G241" s="29">
        <v>17145.0</v>
      </c>
      <c r="H241" s="29">
        <v>1056411.0</v>
      </c>
      <c r="I241" s="28">
        <v>453.0</v>
      </c>
      <c r="J241" s="28">
        <v>470.0</v>
      </c>
      <c r="K241" s="28">
        <v>30667.0</v>
      </c>
      <c r="L241" s="28">
        <v>2897.0</v>
      </c>
      <c r="M241" s="28">
        <v>383717.0</v>
      </c>
      <c r="N241" s="28">
        <v>414384.0</v>
      </c>
      <c r="O241" s="28">
        <v>22.0</v>
      </c>
      <c r="P241" s="30">
        <v>3186.0</v>
      </c>
      <c r="Q241" s="30">
        <v>26.0</v>
      </c>
      <c r="R241" s="30">
        <v>2659.0</v>
      </c>
      <c r="S241" s="30">
        <v>1.0</v>
      </c>
      <c r="T241" s="30">
        <v>389.0</v>
      </c>
      <c r="U241" s="30">
        <v>138.0</v>
      </c>
      <c r="V241" s="30">
        <v>141.0</v>
      </c>
      <c r="W241" s="30">
        <v>15.0</v>
      </c>
      <c r="X241" s="30">
        <v>9.0</v>
      </c>
      <c r="Y241" s="30">
        <v>3.0</v>
      </c>
      <c r="Z241" s="28">
        <v>1186.0</v>
      </c>
    </row>
    <row r="242" ht="14.25" customHeight="1">
      <c r="A242" s="27">
        <v>44128.0</v>
      </c>
      <c r="B242" s="28">
        <v>359.0</v>
      </c>
      <c r="C242" s="28">
        <v>470.0</v>
      </c>
      <c r="D242" s="28">
        <v>41517.0</v>
      </c>
      <c r="E242" s="28">
        <v>10248.0</v>
      </c>
      <c r="F242" s="29">
        <v>1025501.0</v>
      </c>
      <c r="G242" s="29">
        <v>10607.0</v>
      </c>
      <c r="H242" s="29">
        <v>1067018.0</v>
      </c>
      <c r="I242" s="28">
        <v>330.0</v>
      </c>
      <c r="J242" s="28">
        <v>423.0</v>
      </c>
      <c r="K242" s="28">
        <v>30997.0</v>
      </c>
      <c r="L242" s="28">
        <v>2272.0</v>
      </c>
      <c r="M242" s="28">
        <v>385989.0</v>
      </c>
      <c r="N242" s="28">
        <v>416986.0</v>
      </c>
      <c r="O242" s="28">
        <v>17.0</v>
      </c>
      <c r="P242" s="30">
        <v>3203.0</v>
      </c>
      <c r="Q242" s="30">
        <v>11.0</v>
      </c>
      <c r="R242" s="30">
        <v>2670.0</v>
      </c>
      <c r="S242" s="30">
        <v>0.0</v>
      </c>
      <c r="T242" s="30">
        <v>389.0</v>
      </c>
      <c r="U242" s="30">
        <v>144.0</v>
      </c>
      <c r="V242" s="30">
        <v>142.0</v>
      </c>
      <c r="W242" s="30">
        <v>14.0</v>
      </c>
      <c r="X242" s="30">
        <v>8.0</v>
      </c>
      <c r="Y242" s="30">
        <v>1.0</v>
      </c>
      <c r="Z242" s="28">
        <v>1187.0</v>
      </c>
    </row>
    <row r="243" ht="14.25" customHeight="1">
      <c r="A243" s="27">
        <v>44129.0</v>
      </c>
      <c r="B243" s="28">
        <v>233.0</v>
      </c>
      <c r="C243" s="28">
        <v>369.0</v>
      </c>
      <c r="D243" s="28">
        <v>41750.0</v>
      </c>
      <c r="E243" s="28">
        <v>4762.0</v>
      </c>
      <c r="F243" s="29">
        <v>1030263.0</v>
      </c>
      <c r="G243" s="29">
        <v>4995.0</v>
      </c>
      <c r="H243" s="29">
        <v>1072013.0</v>
      </c>
      <c r="I243" s="28">
        <v>205.0</v>
      </c>
      <c r="J243" s="28">
        <v>329.0</v>
      </c>
      <c r="K243" s="28">
        <v>31202.0</v>
      </c>
      <c r="L243" s="28">
        <v>1476.0</v>
      </c>
      <c r="M243" s="28">
        <v>387465.0</v>
      </c>
      <c r="N243" s="28">
        <v>418667.0</v>
      </c>
      <c r="O243" s="28">
        <v>16.0</v>
      </c>
      <c r="P243" s="30">
        <v>3219.0</v>
      </c>
      <c r="Q243" s="30">
        <v>15.0</v>
      </c>
      <c r="R243" s="30">
        <v>2685.0</v>
      </c>
      <c r="S243" s="30">
        <v>1.0</v>
      </c>
      <c r="T243" s="30">
        <v>390.0</v>
      </c>
      <c r="U243" s="30">
        <v>144.0</v>
      </c>
      <c r="V243" s="30">
        <v>142.0</v>
      </c>
      <c r="W243" s="30">
        <v>15.0</v>
      </c>
      <c r="X243" s="30">
        <v>8.0</v>
      </c>
      <c r="Y243" s="30">
        <v>2.0</v>
      </c>
      <c r="Z243" s="28">
        <v>1189.0</v>
      </c>
    </row>
    <row r="244" ht="14.25" customHeight="1">
      <c r="A244" s="27">
        <v>44130.0</v>
      </c>
      <c r="B244" s="28">
        <v>454.0</v>
      </c>
      <c r="C244" s="28">
        <v>349.0</v>
      </c>
      <c r="D244" s="28">
        <v>42204.0</v>
      </c>
      <c r="E244" s="28">
        <v>9174.0</v>
      </c>
      <c r="F244" s="29">
        <v>1039437.0</v>
      </c>
      <c r="G244" s="29">
        <v>9628.0</v>
      </c>
      <c r="H244" s="29">
        <v>1081641.0</v>
      </c>
      <c r="I244" s="28">
        <v>396.0</v>
      </c>
      <c r="J244" s="28">
        <v>310.0</v>
      </c>
      <c r="K244" s="28">
        <v>31598.0</v>
      </c>
      <c r="L244" s="28">
        <v>2981.0</v>
      </c>
      <c r="M244" s="28">
        <v>390446.0</v>
      </c>
      <c r="N244" s="28">
        <v>422044.0</v>
      </c>
      <c r="O244" s="28">
        <v>25.0</v>
      </c>
      <c r="P244" s="30">
        <v>3244.0</v>
      </c>
      <c r="Q244" s="30">
        <v>20.0</v>
      </c>
      <c r="R244" s="30">
        <v>2705.0</v>
      </c>
      <c r="S244" s="30">
        <v>2.0</v>
      </c>
      <c r="T244" s="30">
        <v>392.0</v>
      </c>
      <c r="U244" s="30">
        <v>147.0</v>
      </c>
      <c r="V244" s="30">
        <v>145.0</v>
      </c>
      <c r="W244" s="30">
        <v>18.0</v>
      </c>
      <c r="X244" s="30">
        <v>8.0</v>
      </c>
      <c r="Y244" s="30">
        <v>3.0</v>
      </c>
      <c r="Z244" s="28">
        <v>1192.0</v>
      </c>
    </row>
    <row r="245" ht="14.25" customHeight="1">
      <c r="A245" s="27">
        <v>44131.0</v>
      </c>
      <c r="B245" s="28">
        <v>517.0</v>
      </c>
      <c r="C245" s="28">
        <v>401.0</v>
      </c>
      <c r="D245" s="28">
        <v>42721.0</v>
      </c>
      <c r="E245" s="28">
        <v>13992.0</v>
      </c>
      <c r="F245" s="29">
        <v>1053429.0</v>
      </c>
      <c r="G245" s="29">
        <v>14509.0</v>
      </c>
      <c r="H245" s="29">
        <v>1096150.0</v>
      </c>
      <c r="I245" s="28">
        <v>452.0</v>
      </c>
      <c r="J245" s="28">
        <v>351.0</v>
      </c>
      <c r="K245" s="28">
        <v>32050.0</v>
      </c>
      <c r="L245" s="28">
        <v>2402.0</v>
      </c>
      <c r="M245" s="28">
        <v>392848.0</v>
      </c>
      <c r="N245" s="28">
        <v>424898.0</v>
      </c>
      <c r="O245" s="28">
        <v>28.0</v>
      </c>
      <c r="P245" s="30">
        <v>3272.0</v>
      </c>
      <c r="Q245" s="30">
        <v>11.0</v>
      </c>
      <c r="R245" s="30">
        <v>2716.0</v>
      </c>
      <c r="S245" s="30">
        <v>2.0</v>
      </c>
      <c r="T245" s="30">
        <v>394.0</v>
      </c>
      <c r="U245" s="30">
        <v>162.0</v>
      </c>
      <c r="V245" s="30">
        <v>151.0</v>
      </c>
      <c r="W245" s="30">
        <v>17.0</v>
      </c>
      <c r="X245" s="30">
        <v>9.0</v>
      </c>
      <c r="Y245" s="30">
        <v>4.0</v>
      </c>
      <c r="Z245" s="28">
        <v>1196.0</v>
      </c>
    </row>
    <row r="246" ht="14.25" customHeight="1">
      <c r="A246" s="27">
        <v>44132.0</v>
      </c>
      <c r="B246" s="28">
        <v>468.0</v>
      </c>
      <c r="C246" s="28">
        <v>480.0</v>
      </c>
      <c r="D246" s="28">
        <v>43189.0</v>
      </c>
      <c r="E246" s="28">
        <v>15229.0</v>
      </c>
      <c r="F246" s="29">
        <v>1068658.0</v>
      </c>
      <c r="G246" s="29">
        <v>15697.0</v>
      </c>
      <c r="H246" s="29">
        <v>1111847.0</v>
      </c>
      <c r="I246" s="28">
        <v>404.0</v>
      </c>
      <c r="J246" s="28">
        <v>417.0</v>
      </c>
      <c r="K246" s="28">
        <v>32454.0</v>
      </c>
      <c r="L246" s="28">
        <v>2715.0</v>
      </c>
      <c r="M246" s="28">
        <v>395563.0</v>
      </c>
      <c r="N246" s="28">
        <v>428017.0</v>
      </c>
      <c r="O246" s="28">
        <v>22.0</v>
      </c>
      <c r="P246" s="30">
        <v>3294.0</v>
      </c>
      <c r="Q246" s="30">
        <v>23.0</v>
      </c>
      <c r="R246" s="30">
        <v>2739.0</v>
      </c>
      <c r="S246" s="30">
        <v>1.0</v>
      </c>
      <c r="T246" s="30">
        <v>395.0</v>
      </c>
      <c r="U246" s="30">
        <v>160.0</v>
      </c>
      <c r="V246" s="30">
        <v>156.0</v>
      </c>
      <c r="W246" s="30">
        <v>16.0</v>
      </c>
      <c r="X246" s="30">
        <v>9.0</v>
      </c>
      <c r="Y246" s="30">
        <v>3.0</v>
      </c>
      <c r="Z246" s="28">
        <v>1199.0</v>
      </c>
    </row>
    <row r="247" ht="14.25" customHeight="1">
      <c r="A247" s="27">
        <v>44133.0</v>
      </c>
      <c r="B247" s="28">
        <v>609.0</v>
      </c>
      <c r="C247" s="28">
        <v>531.0</v>
      </c>
      <c r="D247" s="28">
        <v>43798.0</v>
      </c>
      <c r="E247" s="28">
        <v>16234.0</v>
      </c>
      <c r="F247" s="29">
        <v>1084892.0</v>
      </c>
      <c r="G247" s="29">
        <v>16843.0</v>
      </c>
      <c r="H247" s="29">
        <v>1128690.0</v>
      </c>
      <c r="I247" s="28">
        <v>529.0</v>
      </c>
      <c r="J247" s="28">
        <v>462.0</v>
      </c>
      <c r="K247" s="28">
        <v>32983.0</v>
      </c>
      <c r="L247" s="28">
        <v>3147.0</v>
      </c>
      <c r="M247" s="28">
        <v>398710.0</v>
      </c>
      <c r="N247" s="28">
        <v>431693.0</v>
      </c>
      <c r="O247" s="28">
        <v>20.0</v>
      </c>
      <c r="P247" s="30">
        <v>3314.0</v>
      </c>
      <c r="Q247" s="30">
        <v>18.0</v>
      </c>
      <c r="R247" s="30">
        <v>2757.0</v>
      </c>
      <c r="S247" s="30">
        <v>3.0</v>
      </c>
      <c r="T247" s="30">
        <v>398.0</v>
      </c>
      <c r="U247" s="30">
        <v>159.0</v>
      </c>
      <c r="V247" s="30">
        <v>160.0</v>
      </c>
      <c r="W247" s="30">
        <v>19.0</v>
      </c>
      <c r="X247" s="30">
        <v>11.0</v>
      </c>
      <c r="Y247" s="30">
        <v>4.0</v>
      </c>
      <c r="Z247" s="28">
        <v>1203.0</v>
      </c>
    </row>
    <row r="248" ht="14.25" customHeight="1">
      <c r="A248" s="27">
        <v>44134.0</v>
      </c>
      <c r="B248" s="28">
        <v>544.0</v>
      </c>
      <c r="C248" s="28">
        <v>540.0</v>
      </c>
      <c r="D248" s="28">
        <v>44342.0</v>
      </c>
      <c r="E248" s="28">
        <v>14318.0</v>
      </c>
      <c r="F248" s="29">
        <v>1099210.0</v>
      </c>
      <c r="G248" s="29">
        <v>14862.0</v>
      </c>
      <c r="H248" s="29">
        <v>1143552.0</v>
      </c>
      <c r="I248" s="28">
        <v>464.0</v>
      </c>
      <c r="J248" s="28">
        <v>466.0</v>
      </c>
      <c r="K248" s="28">
        <v>33447.0</v>
      </c>
      <c r="L248" s="28">
        <v>2964.0</v>
      </c>
      <c r="M248" s="28">
        <v>401674.0</v>
      </c>
      <c r="N248" s="28">
        <v>435121.0</v>
      </c>
      <c r="O248" s="28">
        <v>21.0</v>
      </c>
      <c r="P248" s="30">
        <v>3335.0</v>
      </c>
      <c r="Q248" s="30">
        <v>20.0</v>
      </c>
      <c r="R248" s="30">
        <v>2777.0</v>
      </c>
      <c r="S248" s="30">
        <v>5.0</v>
      </c>
      <c r="T248" s="30">
        <v>403.0</v>
      </c>
      <c r="U248" s="30">
        <v>155.0</v>
      </c>
      <c r="V248" s="30">
        <v>158.0</v>
      </c>
      <c r="W248" s="30">
        <v>19.0</v>
      </c>
      <c r="X248" s="30">
        <v>9.0</v>
      </c>
      <c r="Y248" s="30">
        <v>4.0</v>
      </c>
      <c r="Z248" s="28">
        <v>1207.0</v>
      </c>
    </row>
    <row r="249" ht="14.25" customHeight="1">
      <c r="A249" s="27">
        <v>44135.0</v>
      </c>
      <c r="B249" s="28">
        <v>585.0</v>
      </c>
      <c r="C249" s="28">
        <v>579.0</v>
      </c>
      <c r="D249" s="28">
        <v>44927.0</v>
      </c>
      <c r="E249" s="28">
        <v>11843.0</v>
      </c>
      <c r="F249" s="29">
        <v>1111053.0</v>
      </c>
      <c r="G249" s="29">
        <v>12428.0</v>
      </c>
      <c r="H249" s="29">
        <v>1155980.0</v>
      </c>
      <c r="I249" s="28">
        <v>488.0</v>
      </c>
      <c r="J249" s="28">
        <v>494.0</v>
      </c>
      <c r="K249" s="28">
        <v>33935.0</v>
      </c>
      <c r="L249" s="28">
        <v>2421.0</v>
      </c>
      <c r="M249" s="28">
        <v>404095.0</v>
      </c>
      <c r="N249" s="28">
        <v>438030.0</v>
      </c>
      <c r="O249" s="28">
        <v>31.0</v>
      </c>
      <c r="P249" s="30">
        <v>3366.0</v>
      </c>
      <c r="Q249" s="30">
        <v>12.0</v>
      </c>
      <c r="R249" s="30">
        <v>2789.0</v>
      </c>
      <c r="S249" s="30">
        <v>1.0</v>
      </c>
      <c r="T249" s="30">
        <v>404.0</v>
      </c>
      <c r="U249" s="30">
        <v>173.0</v>
      </c>
      <c r="V249" s="30">
        <v>162.0</v>
      </c>
      <c r="W249" s="30">
        <v>22.0</v>
      </c>
      <c r="X249" s="30">
        <v>9.0</v>
      </c>
      <c r="Y249" s="30">
        <v>3.0</v>
      </c>
      <c r="Z249" s="28">
        <v>1210.0</v>
      </c>
    </row>
    <row r="250" ht="14.25" customHeight="1">
      <c r="A250" s="27">
        <v>44136.0</v>
      </c>
      <c r="B250" s="28">
        <v>328.0</v>
      </c>
      <c r="C250" s="28">
        <v>486.0</v>
      </c>
      <c r="D250" s="28">
        <v>45255.0</v>
      </c>
      <c r="E250" s="28">
        <v>5073.0</v>
      </c>
      <c r="F250" s="29">
        <v>1116126.0</v>
      </c>
      <c r="G250" s="29">
        <v>5401.0</v>
      </c>
      <c r="H250" s="29">
        <v>1161381.0</v>
      </c>
      <c r="I250" s="28">
        <v>271.0</v>
      </c>
      <c r="J250" s="28">
        <v>408.0</v>
      </c>
      <c r="K250" s="28">
        <v>34206.0</v>
      </c>
      <c r="L250" s="28">
        <v>1261.0</v>
      </c>
      <c r="M250" s="28">
        <v>405356.0</v>
      </c>
      <c r="N250" s="28">
        <v>439562.0</v>
      </c>
      <c r="O250" s="28">
        <v>19.0</v>
      </c>
      <c r="P250" s="30">
        <v>3385.0</v>
      </c>
      <c r="Q250" s="30">
        <v>15.0</v>
      </c>
      <c r="R250" s="30">
        <v>2804.0</v>
      </c>
      <c r="S250" s="30">
        <v>1.0</v>
      </c>
      <c r="T250" s="30">
        <v>405.0</v>
      </c>
      <c r="U250" s="30">
        <v>176.0</v>
      </c>
      <c r="V250" s="30">
        <v>168.0</v>
      </c>
      <c r="W250" s="30">
        <v>25.0</v>
      </c>
      <c r="X250" s="30">
        <v>12.0</v>
      </c>
      <c r="Y250" s="30">
        <v>4.0</v>
      </c>
      <c r="Z250" s="28">
        <v>1214.0</v>
      </c>
    </row>
    <row r="251" ht="14.25" customHeight="1">
      <c r="A251" s="27">
        <v>44137.0</v>
      </c>
      <c r="B251" s="28">
        <v>520.0</v>
      </c>
      <c r="C251" s="28">
        <v>478.0</v>
      </c>
      <c r="D251" s="28">
        <v>45775.0</v>
      </c>
      <c r="E251" s="28">
        <v>9914.0</v>
      </c>
      <c r="F251" s="29">
        <v>1126040.0</v>
      </c>
      <c r="G251" s="29">
        <v>10434.0</v>
      </c>
      <c r="H251" s="29">
        <v>1171815.0</v>
      </c>
      <c r="I251" s="28">
        <v>453.0</v>
      </c>
      <c r="J251" s="28">
        <v>404.0</v>
      </c>
      <c r="K251" s="28">
        <v>34659.0</v>
      </c>
      <c r="L251" s="28">
        <v>2944.0</v>
      </c>
      <c r="M251" s="28">
        <v>408300.0</v>
      </c>
      <c r="N251" s="28">
        <v>442959.0</v>
      </c>
      <c r="O251" s="28">
        <v>34.0</v>
      </c>
      <c r="P251" s="30">
        <v>3419.0</v>
      </c>
      <c r="Q251" s="30">
        <v>27.0</v>
      </c>
      <c r="R251" s="30">
        <v>2831.0</v>
      </c>
      <c r="S251" s="30">
        <v>3.0</v>
      </c>
      <c r="T251" s="30">
        <v>408.0</v>
      </c>
      <c r="U251" s="30">
        <v>180.0</v>
      </c>
      <c r="V251" s="30">
        <v>176.0</v>
      </c>
      <c r="W251" s="30">
        <v>22.0</v>
      </c>
      <c r="X251" s="30">
        <v>11.0</v>
      </c>
      <c r="Y251" s="30">
        <v>5.0</v>
      </c>
      <c r="Z251" s="28">
        <v>1219.0</v>
      </c>
    </row>
    <row r="252" ht="14.25" customHeight="1">
      <c r="A252" s="27">
        <v>44138.0</v>
      </c>
      <c r="B252" s="28">
        <v>603.0</v>
      </c>
      <c r="C252" s="28">
        <v>484.0</v>
      </c>
      <c r="D252" s="28">
        <v>46378.0</v>
      </c>
      <c r="E252" s="28">
        <v>13058.0</v>
      </c>
      <c r="F252" s="29">
        <v>1139098.0</v>
      </c>
      <c r="G252" s="29">
        <v>13661.0</v>
      </c>
      <c r="H252" s="29">
        <v>1185476.0</v>
      </c>
      <c r="I252" s="28">
        <v>528.0</v>
      </c>
      <c r="J252" s="28">
        <v>417.0</v>
      </c>
      <c r="K252" s="28">
        <v>35187.0</v>
      </c>
      <c r="L252" s="28">
        <v>2541.0</v>
      </c>
      <c r="M252" s="28">
        <v>410841.0</v>
      </c>
      <c r="N252" s="28">
        <v>446028.0</v>
      </c>
      <c r="O252" s="28">
        <v>30.0</v>
      </c>
      <c r="P252" s="30">
        <v>3449.0</v>
      </c>
      <c r="Q252" s="30">
        <v>24.0</v>
      </c>
      <c r="R252" s="30">
        <v>2855.0</v>
      </c>
      <c r="S252" s="30">
        <v>1.0</v>
      </c>
      <c r="T252" s="30">
        <v>409.0</v>
      </c>
      <c r="U252" s="30">
        <v>185.0</v>
      </c>
      <c r="V252" s="30">
        <v>180.0</v>
      </c>
      <c r="W252" s="30">
        <v>21.0</v>
      </c>
      <c r="X252" s="30">
        <v>11.0</v>
      </c>
      <c r="Y252" s="30">
        <v>1.0</v>
      </c>
      <c r="Z252" s="28">
        <v>1220.0</v>
      </c>
    </row>
    <row r="253" ht="14.25" customHeight="1">
      <c r="A253" s="27">
        <v>44139.0</v>
      </c>
      <c r="B253" s="28">
        <v>679.0</v>
      </c>
      <c r="C253" s="28">
        <v>601.0</v>
      </c>
      <c r="D253" s="28">
        <v>47057.0</v>
      </c>
      <c r="E253" s="28">
        <v>16119.0</v>
      </c>
      <c r="F253" s="29">
        <v>1155217.0</v>
      </c>
      <c r="G253" s="29">
        <v>16798.0</v>
      </c>
      <c r="H253" s="29">
        <v>1202274.0</v>
      </c>
      <c r="I253" s="28">
        <v>632.0</v>
      </c>
      <c r="J253" s="28">
        <v>538.0</v>
      </c>
      <c r="K253" s="28">
        <v>35819.0</v>
      </c>
      <c r="L253" s="28">
        <v>2950.0</v>
      </c>
      <c r="M253" s="28">
        <v>413791.0</v>
      </c>
      <c r="N253" s="28">
        <v>449610.0</v>
      </c>
      <c r="O253" s="28">
        <v>32.0</v>
      </c>
      <c r="P253" s="30">
        <v>3481.0</v>
      </c>
      <c r="Q253" s="30">
        <v>23.0</v>
      </c>
      <c r="R253" s="30">
        <v>2878.0</v>
      </c>
      <c r="S253" s="30">
        <v>2.0</v>
      </c>
      <c r="T253" s="30">
        <v>411.0</v>
      </c>
      <c r="U253" s="30">
        <v>192.0</v>
      </c>
      <c r="V253" s="30">
        <v>186.0</v>
      </c>
      <c r="W253" s="30">
        <v>21.0</v>
      </c>
      <c r="X253" s="30">
        <v>11.0</v>
      </c>
      <c r="Y253" s="30">
        <v>3.0</v>
      </c>
      <c r="Z253" s="28">
        <v>1223.0</v>
      </c>
    </row>
    <row r="254" ht="14.25" customHeight="1">
      <c r="A254" s="27">
        <v>44140.0</v>
      </c>
      <c r="B254" s="28">
        <v>757.0</v>
      </c>
      <c r="C254" s="28">
        <v>680.0</v>
      </c>
      <c r="D254" s="28">
        <v>47814.0</v>
      </c>
      <c r="E254" s="28">
        <v>18879.0</v>
      </c>
      <c r="F254" s="29">
        <v>1174096.0</v>
      </c>
      <c r="G254" s="29">
        <v>19636.0</v>
      </c>
      <c r="H254" s="29">
        <v>1221910.0</v>
      </c>
      <c r="I254" s="28">
        <v>669.0</v>
      </c>
      <c r="J254" s="28">
        <v>610.0</v>
      </c>
      <c r="K254" s="28">
        <v>36488.0</v>
      </c>
      <c r="L254" s="28">
        <v>5184.0</v>
      </c>
      <c r="M254" s="28">
        <v>418975.0</v>
      </c>
      <c r="N254" s="28">
        <v>455463.0</v>
      </c>
      <c r="O254" s="28">
        <v>44.0</v>
      </c>
      <c r="P254" s="30">
        <v>3525.0</v>
      </c>
      <c r="Q254" s="30">
        <v>32.0</v>
      </c>
      <c r="R254" s="30">
        <v>2910.0</v>
      </c>
      <c r="S254" s="30">
        <v>1.0</v>
      </c>
      <c r="T254" s="30">
        <v>412.0</v>
      </c>
      <c r="U254" s="30">
        <v>203.0</v>
      </c>
      <c r="V254" s="30">
        <v>193.0</v>
      </c>
      <c r="W254" s="30">
        <v>20.0</v>
      </c>
      <c r="X254" s="30">
        <v>13.0</v>
      </c>
      <c r="Y254" s="30">
        <v>3.0</v>
      </c>
      <c r="Z254" s="28">
        <v>1226.0</v>
      </c>
    </row>
    <row r="255" ht="14.25" customHeight="1">
      <c r="A255" s="27">
        <v>44141.0</v>
      </c>
      <c r="B255" s="28">
        <v>774.0</v>
      </c>
      <c r="C255" s="28">
        <v>737.0</v>
      </c>
      <c r="D255" s="28">
        <v>48588.0</v>
      </c>
      <c r="E255" s="28">
        <v>17140.0</v>
      </c>
      <c r="F255" s="29">
        <v>1191236.0</v>
      </c>
      <c r="G255" s="29">
        <v>17914.0</v>
      </c>
      <c r="H255" s="29">
        <v>1239824.0</v>
      </c>
      <c r="I255" s="28">
        <v>687.0</v>
      </c>
      <c r="J255" s="28">
        <v>663.0</v>
      </c>
      <c r="K255" s="28">
        <v>37175.0</v>
      </c>
      <c r="L255" s="28">
        <v>4365.0</v>
      </c>
      <c r="M255" s="28">
        <v>423340.0</v>
      </c>
      <c r="N255" s="28">
        <v>460515.0</v>
      </c>
      <c r="O255" s="28">
        <v>33.0</v>
      </c>
      <c r="P255" s="30">
        <v>3558.0</v>
      </c>
      <c r="Q255" s="30">
        <v>25.0</v>
      </c>
      <c r="R255" s="30">
        <v>2935.0</v>
      </c>
      <c r="S255" s="30">
        <v>1.0</v>
      </c>
      <c r="T255" s="30">
        <v>413.0</v>
      </c>
      <c r="U255" s="30">
        <v>210.0</v>
      </c>
      <c r="V255" s="30">
        <v>202.0</v>
      </c>
      <c r="W255" s="30">
        <v>25.0</v>
      </c>
      <c r="X255" s="30">
        <v>16.0</v>
      </c>
      <c r="Y255" s="30">
        <v>5.0</v>
      </c>
      <c r="Z255" s="28">
        <v>1231.0</v>
      </c>
    </row>
    <row r="256" ht="14.25" customHeight="1">
      <c r="A256" s="27">
        <v>44142.0</v>
      </c>
      <c r="B256" s="28">
        <v>604.0</v>
      </c>
      <c r="C256" s="28">
        <v>712.0</v>
      </c>
      <c r="D256" s="28">
        <v>49192.0</v>
      </c>
      <c r="E256" s="28">
        <v>13236.0</v>
      </c>
      <c r="F256" s="29">
        <v>1204472.0</v>
      </c>
      <c r="G256" s="29">
        <v>13840.0</v>
      </c>
      <c r="H256" s="29">
        <v>1253664.0</v>
      </c>
      <c r="I256" s="28">
        <v>568.0</v>
      </c>
      <c r="J256" s="28">
        <v>641.0</v>
      </c>
      <c r="K256" s="28">
        <v>37743.0</v>
      </c>
      <c r="L256" s="28">
        <v>2501.0</v>
      </c>
      <c r="M256" s="28">
        <v>425841.0</v>
      </c>
      <c r="N256" s="28">
        <v>463584.0</v>
      </c>
      <c r="O256" s="28">
        <v>26.0</v>
      </c>
      <c r="P256" s="30">
        <v>3584.0</v>
      </c>
      <c r="Q256" s="30">
        <v>23.0</v>
      </c>
      <c r="R256" s="30">
        <v>2958.0</v>
      </c>
      <c r="S256" s="30">
        <v>1.0</v>
      </c>
      <c r="T256" s="30">
        <v>414.0</v>
      </c>
      <c r="U256" s="30">
        <v>212.0</v>
      </c>
      <c r="V256" s="30">
        <v>208.0</v>
      </c>
      <c r="W256" s="30">
        <v>27.0</v>
      </c>
      <c r="X256" s="30">
        <v>17.0</v>
      </c>
      <c r="Y256" s="30">
        <v>1.0</v>
      </c>
      <c r="Z256" s="28">
        <v>1232.0</v>
      </c>
    </row>
    <row r="257" ht="14.25" customHeight="1">
      <c r="A257" s="27">
        <v>44143.0</v>
      </c>
      <c r="B257" s="28">
        <v>304.0</v>
      </c>
      <c r="C257" s="28">
        <v>561.0</v>
      </c>
      <c r="D257" s="28">
        <v>49496.0</v>
      </c>
      <c r="E257" s="28">
        <v>3671.0</v>
      </c>
      <c r="F257" s="29">
        <v>1208143.0</v>
      </c>
      <c r="G257" s="29">
        <v>3975.0</v>
      </c>
      <c r="H257" s="29">
        <v>1257639.0</v>
      </c>
      <c r="I257" s="28">
        <v>266.0</v>
      </c>
      <c r="J257" s="28">
        <v>507.0</v>
      </c>
      <c r="K257" s="28">
        <v>38009.0</v>
      </c>
      <c r="L257" s="28">
        <v>1181.0</v>
      </c>
      <c r="M257" s="28">
        <v>427022.0</v>
      </c>
      <c r="N257" s="28">
        <v>465031.0</v>
      </c>
      <c r="O257" s="31"/>
      <c r="P257" s="32"/>
      <c r="Q257" s="32"/>
      <c r="R257" s="32"/>
      <c r="S257" s="32"/>
      <c r="T257" s="32"/>
      <c r="U257" s="32"/>
      <c r="V257" s="32"/>
      <c r="W257" s="32"/>
      <c r="X257" s="32"/>
      <c r="Y257" s="30">
        <v>1.0</v>
      </c>
      <c r="Z257" s="28">
        <v>1233.0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t="str">
        <f t="shared" ref="A1:O1" si="1">'Municipality Case Trends'!A5</f>
        <v>#REF!</v>
      </c>
      <c r="B1" s="236" t="str">
        <f t="shared" si="1"/>
        <v>#REF!</v>
      </c>
      <c r="C1" s="236" t="str">
        <f t="shared" si="1"/>
        <v>#REF!</v>
      </c>
      <c r="D1" s="236" t="str">
        <f t="shared" si="1"/>
        <v>#REF!</v>
      </c>
      <c r="E1" s="236" t="str">
        <f t="shared" si="1"/>
        <v>#REF!</v>
      </c>
      <c r="F1" s="236" t="str">
        <f t="shared" si="1"/>
        <v>#REF!</v>
      </c>
      <c r="G1" s="236" t="str">
        <f t="shared" si="1"/>
        <v>#REF!</v>
      </c>
      <c r="H1" s="236" t="str">
        <f t="shared" si="1"/>
        <v>#REF!</v>
      </c>
      <c r="I1" s="236" t="str">
        <f t="shared" si="1"/>
        <v>#REF!</v>
      </c>
      <c r="J1" s="236" t="str">
        <f t="shared" si="1"/>
        <v>#REF!</v>
      </c>
      <c r="K1" s="236" t="str">
        <f t="shared" si="1"/>
        <v>#REF!</v>
      </c>
      <c r="L1" s="236" t="str">
        <f t="shared" si="1"/>
        <v>#REF!</v>
      </c>
      <c r="M1" s="236" t="str">
        <f t="shared" si="1"/>
        <v>#REF!</v>
      </c>
      <c r="N1" s="236" t="str">
        <f t="shared" si="1"/>
        <v>#REF!</v>
      </c>
      <c r="O1" s="236" t="str">
        <f t="shared" si="1"/>
        <v>#REF!</v>
      </c>
      <c r="P1" s="236" t="str">
        <f t="shared" ref="P1:Z1" si="2">#REF!</f>
        <v>#REF!</v>
      </c>
      <c r="Q1" s="236" t="str">
        <f t="shared" si="2"/>
        <v>#REF!</v>
      </c>
      <c r="R1" s="236" t="str">
        <f t="shared" si="2"/>
        <v>#REF!</v>
      </c>
      <c r="S1" s="236" t="str">
        <f t="shared" si="2"/>
        <v>#REF!</v>
      </c>
      <c r="T1" s="236" t="str">
        <f t="shared" si="2"/>
        <v>#REF!</v>
      </c>
      <c r="U1" s="236" t="str">
        <f t="shared" si="2"/>
        <v>#REF!</v>
      </c>
      <c r="V1" s="236" t="str">
        <f t="shared" si="2"/>
        <v>#REF!</v>
      </c>
      <c r="W1" s="236" t="str">
        <f t="shared" si="2"/>
        <v>#REF!</v>
      </c>
      <c r="X1" s="236" t="str">
        <f t="shared" si="2"/>
        <v>#REF!</v>
      </c>
      <c r="Y1" s="236" t="str">
        <f t="shared" si="2"/>
        <v>#REF!</v>
      </c>
      <c r="Z1" s="236" t="str">
        <f t="shared" si="2"/>
        <v>#REF!</v>
      </c>
    </row>
    <row r="2">
      <c r="A2" s="236" t="str">
        <f t="shared" ref="A2:O2" si="3">'Municipality Case Trends'!A6</f>
        <v>#REF!</v>
      </c>
      <c r="B2" s="236" t="str">
        <f t="shared" si="3"/>
        <v>#REF!</v>
      </c>
      <c r="C2" s="236" t="str">
        <f t="shared" si="3"/>
        <v>#REF!</v>
      </c>
      <c r="D2" s="236" t="str">
        <f t="shared" si="3"/>
        <v>#REF!</v>
      </c>
      <c r="E2" s="236" t="str">
        <f t="shared" si="3"/>
        <v>#REF!</v>
      </c>
      <c r="F2" s="236" t="str">
        <f t="shared" si="3"/>
        <v>#REF!</v>
      </c>
      <c r="G2" s="236" t="str">
        <f t="shared" si="3"/>
        <v>#REF!</v>
      </c>
      <c r="H2" s="236" t="str">
        <f t="shared" si="3"/>
        <v>#REF!</v>
      </c>
      <c r="I2" s="236" t="str">
        <f t="shared" si="3"/>
        <v>#REF!</v>
      </c>
      <c r="J2" s="236" t="str">
        <f t="shared" si="3"/>
        <v>#REF!</v>
      </c>
      <c r="K2" s="236" t="str">
        <f t="shared" si="3"/>
        <v>#REF!</v>
      </c>
      <c r="L2" s="236" t="str">
        <f t="shared" si="3"/>
        <v>#REF!</v>
      </c>
      <c r="M2" s="236" t="str">
        <f t="shared" si="3"/>
        <v>#REF!</v>
      </c>
      <c r="N2" s="236" t="str">
        <f t="shared" si="3"/>
        <v>#REF!</v>
      </c>
      <c r="O2" s="236" t="str">
        <f t="shared" si="3"/>
        <v>#REF!</v>
      </c>
      <c r="P2" s="236" t="str">
        <f t="shared" ref="P2:X2" si="4">#REF!</f>
        <v>#REF!</v>
      </c>
      <c r="Q2" s="236" t="str">
        <f t="shared" si="4"/>
        <v>#REF!</v>
      </c>
      <c r="R2" s="236" t="str">
        <f t="shared" si="4"/>
        <v>#REF!</v>
      </c>
      <c r="S2" s="236" t="str">
        <f t="shared" si="4"/>
        <v>#REF!</v>
      </c>
      <c r="T2" s="236" t="str">
        <f t="shared" si="4"/>
        <v>#REF!</v>
      </c>
      <c r="U2" s="236" t="str">
        <f t="shared" si="4"/>
        <v>#REF!</v>
      </c>
      <c r="V2" s="236" t="str">
        <f t="shared" si="4"/>
        <v>#REF!</v>
      </c>
      <c r="W2" s="236" t="str">
        <f t="shared" si="4"/>
        <v>#REF!</v>
      </c>
      <c r="X2" s="236" t="str">
        <f t="shared" si="4"/>
        <v>#REF!</v>
      </c>
    </row>
    <row r="3">
      <c r="A3" s="236" t="str">
        <f t="shared" ref="A3:O3" si="5">'Municipality Case Trends'!A7</f>
        <v>#REF!</v>
      </c>
      <c r="B3" s="236" t="str">
        <f t="shared" si="5"/>
        <v>#REF!</v>
      </c>
      <c r="C3" s="236" t="str">
        <f t="shared" si="5"/>
        <v>#REF!</v>
      </c>
      <c r="D3" s="236" t="str">
        <f t="shared" si="5"/>
        <v>#REF!</v>
      </c>
      <c r="E3" s="236" t="str">
        <f t="shared" si="5"/>
        <v>#REF!</v>
      </c>
      <c r="F3" s="236" t="str">
        <f t="shared" si="5"/>
        <v>#REF!</v>
      </c>
      <c r="G3" s="236" t="str">
        <f t="shared" si="5"/>
        <v>#REF!</v>
      </c>
      <c r="H3" s="236" t="str">
        <f t="shared" si="5"/>
        <v>#REF!</v>
      </c>
      <c r="I3" s="236" t="str">
        <f t="shared" si="5"/>
        <v>#REF!</v>
      </c>
      <c r="J3" s="236" t="str">
        <f t="shared" si="5"/>
        <v>#REF!</v>
      </c>
      <c r="K3" s="236" t="str">
        <f t="shared" si="5"/>
        <v>#REF!</v>
      </c>
      <c r="L3" s="236" t="str">
        <f t="shared" si="5"/>
        <v>#REF!</v>
      </c>
      <c r="M3" s="236" t="str">
        <f t="shared" si="5"/>
        <v>#REF!</v>
      </c>
      <c r="N3" s="236" t="str">
        <f t="shared" si="5"/>
        <v>#REF!</v>
      </c>
      <c r="O3" s="236" t="str">
        <f t="shared" si="5"/>
        <v>#REF!</v>
      </c>
      <c r="P3" s="236" t="str">
        <f t="shared" ref="P3:X3" si="6">#REF!</f>
        <v>#REF!</v>
      </c>
      <c r="Q3" s="236" t="str">
        <f t="shared" si="6"/>
        <v>#REF!</v>
      </c>
      <c r="R3" s="236" t="str">
        <f t="shared" si="6"/>
        <v>#REF!</v>
      </c>
      <c r="S3" s="236" t="str">
        <f t="shared" si="6"/>
        <v>#REF!</v>
      </c>
      <c r="T3" s="236" t="str">
        <f t="shared" si="6"/>
        <v>#REF!</v>
      </c>
      <c r="U3" s="236" t="str">
        <f t="shared" si="6"/>
        <v>#REF!</v>
      </c>
      <c r="V3" s="236" t="str">
        <f t="shared" si="6"/>
        <v>#REF!</v>
      </c>
      <c r="W3" s="236" t="str">
        <f t="shared" si="6"/>
        <v>#REF!</v>
      </c>
      <c r="X3" s="236" t="str">
        <f t="shared" si="6"/>
        <v>#REF!</v>
      </c>
    </row>
    <row r="4">
      <c r="A4" s="236" t="str">
        <f t="shared" ref="A4:O4" si="7">'Municipality Case Trends'!A8</f>
        <v>#REF!</v>
      </c>
      <c r="B4" s="236" t="str">
        <f t="shared" si="7"/>
        <v>#REF!</v>
      </c>
      <c r="C4" s="236" t="str">
        <f t="shared" si="7"/>
        <v>#REF!</v>
      </c>
      <c r="D4" s="236" t="str">
        <f t="shared" si="7"/>
        <v>#REF!</v>
      </c>
      <c r="E4" s="236" t="str">
        <f t="shared" si="7"/>
        <v>#REF!</v>
      </c>
      <c r="F4" s="236" t="str">
        <f t="shared" si="7"/>
        <v>#REF!</v>
      </c>
      <c r="G4" s="236" t="str">
        <f t="shared" si="7"/>
        <v>#REF!</v>
      </c>
      <c r="H4" s="236" t="str">
        <f t="shared" si="7"/>
        <v>#REF!</v>
      </c>
      <c r="I4" s="236" t="str">
        <f t="shared" si="7"/>
        <v>#REF!</v>
      </c>
      <c r="J4" s="236" t="str">
        <f t="shared" si="7"/>
        <v>#REF!</v>
      </c>
      <c r="K4" s="236" t="str">
        <f t="shared" si="7"/>
        <v>#REF!</v>
      </c>
      <c r="L4" s="236" t="str">
        <f t="shared" si="7"/>
        <v>#REF!</v>
      </c>
      <c r="M4" s="236" t="str">
        <f t="shared" si="7"/>
        <v>#REF!</v>
      </c>
      <c r="N4" s="236" t="str">
        <f t="shared" si="7"/>
        <v>#REF!</v>
      </c>
      <c r="O4" s="236" t="str">
        <f t="shared" si="7"/>
        <v>#REF!</v>
      </c>
      <c r="P4" s="236" t="str">
        <f t="shared" ref="P4:X4" si="8">#REF!</f>
        <v>#REF!</v>
      </c>
      <c r="Q4" s="236" t="str">
        <f t="shared" si="8"/>
        <v>#REF!</v>
      </c>
      <c r="R4" s="236" t="str">
        <f t="shared" si="8"/>
        <v>#REF!</v>
      </c>
      <c r="S4" s="236" t="str">
        <f t="shared" si="8"/>
        <v>#REF!</v>
      </c>
      <c r="T4" s="236" t="str">
        <f t="shared" si="8"/>
        <v>#REF!</v>
      </c>
      <c r="U4" s="236" t="str">
        <f t="shared" si="8"/>
        <v>#REF!</v>
      </c>
      <c r="V4" s="236" t="str">
        <f t="shared" si="8"/>
        <v>#REF!</v>
      </c>
      <c r="W4" s="236" t="str">
        <f t="shared" si="8"/>
        <v>#REF!</v>
      </c>
      <c r="X4" s="236" t="str">
        <f t="shared" si="8"/>
        <v>#REF!</v>
      </c>
    </row>
    <row r="5">
      <c r="A5" s="236" t="str">
        <f t="shared" ref="A5:O5" si="9">'Municipality Case Trends'!A9</f>
        <v>#REF!</v>
      </c>
      <c r="B5" s="236" t="str">
        <f t="shared" si="9"/>
        <v>#REF!</v>
      </c>
      <c r="C5" s="236" t="str">
        <f t="shared" si="9"/>
        <v>#REF!</v>
      </c>
      <c r="D5" s="236" t="str">
        <f t="shared" si="9"/>
        <v>#REF!</v>
      </c>
      <c r="E5" s="236" t="str">
        <f t="shared" si="9"/>
        <v>#REF!</v>
      </c>
      <c r="F5" s="236" t="str">
        <f t="shared" si="9"/>
        <v>#REF!</v>
      </c>
      <c r="G5" s="236" t="str">
        <f t="shared" si="9"/>
        <v>#REF!</v>
      </c>
      <c r="H5" s="236" t="str">
        <f t="shared" si="9"/>
        <v>#REF!</v>
      </c>
      <c r="I5" s="236" t="str">
        <f t="shared" si="9"/>
        <v>#REF!</v>
      </c>
      <c r="J5" s="236" t="str">
        <f t="shared" si="9"/>
        <v>#REF!</v>
      </c>
      <c r="K5" s="236" t="str">
        <f t="shared" si="9"/>
        <v>#REF!</v>
      </c>
      <c r="L5" s="236" t="str">
        <f t="shared" si="9"/>
        <v>#REF!</v>
      </c>
      <c r="M5" s="236" t="str">
        <f t="shared" si="9"/>
        <v>#REF!</v>
      </c>
      <c r="N5" s="236" t="str">
        <f t="shared" si="9"/>
        <v>#REF!</v>
      </c>
      <c r="O5" s="236" t="str">
        <f t="shared" si="9"/>
        <v>#REF!</v>
      </c>
      <c r="P5" s="236" t="str">
        <f t="shared" ref="P5:X5" si="10">#REF!</f>
        <v>#REF!</v>
      </c>
      <c r="Q5" s="236" t="str">
        <f t="shared" si="10"/>
        <v>#REF!</v>
      </c>
      <c r="R5" s="236" t="str">
        <f t="shared" si="10"/>
        <v>#REF!</v>
      </c>
      <c r="S5" s="236" t="str">
        <f t="shared" si="10"/>
        <v>#REF!</v>
      </c>
      <c r="T5" s="236" t="str">
        <f t="shared" si="10"/>
        <v>#REF!</v>
      </c>
      <c r="U5" s="236" t="str">
        <f t="shared" si="10"/>
        <v>#REF!</v>
      </c>
      <c r="V5" s="236" t="str">
        <f t="shared" si="10"/>
        <v>#REF!</v>
      </c>
      <c r="W5" s="236" t="str">
        <f t="shared" si="10"/>
        <v>#REF!</v>
      </c>
      <c r="X5" s="236" t="str">
        <f t="shared" si="10"/>
        <v>#REF!</v>
      </c>
    </row>
    <row r="6">
      <c r="A6" s="236" t="str">
        <f t="shared" ref="A6:O6" si="11">'Municipality Case Trends'!A10</f>
        <v>#REF!</v>
      </c>
      <c r="B6" s="236" t="str">
        <f t="shared" si="11"/>
        <v>#REF!</v>
      </c>
      <c r="C6" s="236" t="str">
        <f t="shared" si="11"/>
        <v>#REF!</v>
      </c>
      <c r="D6" s="236" t="str">
        <f t="shared" si="11"/>
        <v>#REF!</v>
      </c>
      <c r="E6" s="236" t="str">
        <f t="shared" si="11"/>
        <v>#REF!</v>
      </c>
      <c r="F6" s="236" t="str">
        <f t="shared" si="11"/>
        <v>#REF!</v>
      </c>
      <c r="G6" s="236" t="str">
        <f t="shared" si="11"/>
        <v>#REF!</v>
      </c>
      <c r="H6" s="236" t="str">
        <f t="shared" si="11"/>
        <v>#REF!</v>
      </c>
      <c r="I6" s="236" t="str">
        <f t="shared" si="11"/>
        <v>#REF!</v>
      </c>
      <c r="J6" s="236" t="str">
        <f t="shared" si="11"/>
        <v>#REF!</v>
      </c>
      <c r="K6" s="236" t="str">
        <f t="shared" si="11"/>
        <v>#REF!</v>
      </c>
      <c r="L6" s="236" t="str">
        <f t="shared" si="11"/>
        <v>#REF!</v>
      </c>
      <c r="M6" s="236" t="str">
        <f t="shared" si="11"/>
        <v>#REF!</v>
      </c>
      <c r="N6" s="236" t="str">
        <f t="shared" si="11"/>
        <v>#REF!</v>
      </c>
      <c r="O6" s="236" t="str">
        <f t="shared" si="11"/>
        <v>#REF!</v>
      </c>
      <c r="P6" s="236" t="str">
        <f t="shared" ref="P6:X6" si="12">#REF!</f>
        <v>#REF!</v>
      </c>
      <c r="Q6" s="236" t="str">
        <f t="shared" si="12"/>
        <v>#REF!</v>
      </c>
      <c r="R6" s="236" t="str">
        <f t="shared" si="12"/>
        <v>#REF!</v>
      </c>
      <c r="S6" s="236" t="str">
        <f t="shared" si="12"/>
        <v>#REF!</v>
      </c>
      <c r="T6" s="236" t="str">
        <f t="shared" si="12"/>
        <v>#REF!</v>
      </c>
      <c r="U6" s="236" t="str">
        <f t="shared" si="12"/>
        <v>#REF!</v>
      </c>
      <c r="V6" s="236" t="str">
        <f t="shared" si="12"/>
        <v>#REF!</v>
      </c>
      <c r="W6" s="236" t="str">
        <f t="shared" si="12"/>
        <v>#REF!</v>
      </c>
      <c r="X6" s="236" t="str">
        <f t="shared" si="12"/>
        <v>#REF!</v>
      </c>
    </row>
    <row r="7">
      <c r="A7" s="236" t="str">
        <f t="shared" ref="A7:O7" si="13">'Municipality Case Trends'!A11</f>
        <v>#REF!</v>
      </c>
      <c r="B7" s="236" t="str">
        <f t="shared" si="13"/>
        <v>#REF!</v>
      </c>
      <c r="C7" s="236" t="str">
        <f t="shared" si="13"/>
        <v>#REF!</v>
      </c>
      <c r="D7" s="236" t="str">
        <f t="shared" si="13"/>
        <v>#REF!</v>
      </c>
      <c r="E7" s="236" t="str">
        <f t="shared" si="13"/>
        <v>#REF!</v>
      </c>
      <c r="F7" s="236" t="str">
        <f t="shared" si="13"/>
        <v>#REF!</v>
      </c>
      <c r="G7" s="236" t="str">
        <f t="shared" si="13"/>
        <v>#REF!</v>
      </c>
      <c r="H7" s="236" t="str">
        <f t="shared" si="13"/>
        <v>#REF!</v>
      </c>
      <c r="I7" s="236" t="str">
        <f t="shared" si="13"/>
        <v>#REF!</v>
      </c>
      <c r="J7" s="236" t="str">
        <f t="shared" si="13"/>
        <v>#REF!</v>
      </c>
      <c r="K7" s="236" t="str">
        <f t="shared" si="13"/>
        <v>#REF!</v>
      </c>
      <c r="L7" s="236" t="str">
        <f t="shared" si="13"/>
        <v>#REF!</v>
      </c>
      <c r="M7" s="236" t="str">
        <f t="shared" si="13"/>
        <v>#REF!</v>
      </c>
      <c r="N7" s="236" t="str">
        <f t="shared" si="13"/>
        <v>#REF!</v>
      </c>
      <c r="O7" s="236" t="str">
        <f t="shared" si="13"/>
        <v>#REF!</v>
      </c>
      <c r="P7" s="236" t="str">
        <f t="shared" ref="P7:X7" si="14">#REF!</f>
        <v>#REF!</v>
      </c>
      <c r="Q7" s="236" t="str">
        <f t="shared" si="14"/>
        <v>#REF!</v>
      </c>
      <c r="R7" s="236" t="str">
        <f t="shared" si="14"/>
        <v>#REF!</v>
      </c>
      <c r="S7" s="236" t="str">
        <f t="shared" si="14"/>
        <v>#REF!</v>
      </c>
      <c r="T7" s="236" t="str">
        <f t="shared" si="14"/>
        <v>#REF!</v>
      </c>
      <c r="U7" s="236" t="str">
        <f t="shared" si="14"/>
        <v>#REF!</v>
      </c>
      <c r="V7" s="236" t="str">
        <f t="shared" si="14"/>
        <v>#REF!</v>
      </c>
      <c r="W7" s="236" t="str">
        <f t="shared" si="14"/>
        <v>#REF!</v>
      </c>
      <c r="X7" s="236" t="str">
        <f t="shared" si="14"/>
        <v>#REF!</v>
      </c>
    </row>
    <row r="8">
      <c r="A8" s="236" t="str">
        <f t="shared" ref="A8:O8" si="15">'Municipality Case Trends'!A12</f>
        <v>#REF!</v>
      </c>
      <c r="B8" s="236" t="str">
        <f t="shared" si="15"/>
        <v>#REF!</v>
      </c>
      <c r="C8" s="236" t="str">
        <f t="shared" si="15"/>
        <v>#REF!</v>
      </c>
      <c r="D8" s="236" t="str">
        <f t="shared" si="15"/>
        <v>#REF!</v>
      </c>
      <c r="E8" s="236" t="str">
        <f t="shared" si="15"/>
        <v>#REF!</v>
      </c>
      <c r="F8" s="236" t="str">
        <f t="shared" si="15"/>
        <v>#REF!</v>
      </c>
      <c r="G8" s="236" t="str">
        <f t="shared" si="15"/>
        <v>#REF!</v>
      </c>
      <c r="H8" s="236" t="str">
        <f t="shared" si="15"/>
        <v>#REF!</v>
      </c>
      <c r="I8" s="236" t="str">
        <f t="shared" si="15"/>
        <v>#REF!</v>
      </c>
      <c r="J8" s="236" t="str">
        <f t="shared" si="15"/>
        <v>#REF!</v>
      </c>
      <c r="K8" s="236" t="str">
        <f t="shared" si="15"/>
        <v>#REF!</v>
      </c>
      <c r="L8" s="236" t="str">
        <f t="shared" si="15"/>
        <v>#REF!</v>
      </c>
      <c r="M8" s="236" t="str">
        <f t="shared" si="15"/>
        <v>#REF!</v>
      </c>
      <c r="N8" s="236" t="str">
        <f t="shared" si="15"/>
        <v>#REF!</v>
      </c>
      <c r="O8" s="236" t="str">
        <f t="shared" si="15"/>
        <v>#REF!</v>
      </c>
      <c r="P8" s="236" t="str">
        <f t="shared" ref="P8:X8" si="16">#REF!</f>
        <v>#REF!</v>
      </c>
      <c r="Q8" s="236" t="str">
        <f t="shared" si="16"/>
        <v>#REF!</v>
      </c>
      <c r="R8" s="236" t="str">
        <f t="shared" si="16"/>
        <v>#REF!</v>
      </c>
      <c r="S8" s="236" t="str">
        <f t="shared" si="16"/>
        <v>#REF!</v>
      </c>
      <c r="T8" s="236" t="str">
        <f t="shared" si="16"/>
        <v>#REF!</v>
      </c>
      <c r="U8" s="236" t="str">
        <f t="shared" si="16"/>
        <v>#REF!</v>
      </c>
      <c r="V8" s="236" t="str">
        <f t="shared" si="16"/>
        <v>#REF!</v>
      </c>
      <c r="W8" s="236" t="str">
        <f t="shared" si="16"/>
        <v>#REF!</v>
      </c>
      <c r="X8" s="236" t="str">
        <f t="shared" si="16"/>
        <v>#REF!</v>
      </c>
    </row>
    <row r="9">
      <c r="A9" s="236" t="str">
        <f t="shared" ref="A9:O9" si="17">'Municipality Case Trends'!A13</f>
        <v>#REF!</v>
      </c>
      <c r="B9" s="236" t="str">
        <f t="shared" si="17"/>
        <v>#REF!</v>
      </c>
      <c r="C9" s="236" t="str">
        <f t="shared" si="17"/>
        <v>#REF!</v>
      </c>
      <c r="D9" s="236" t="str">
        <f t="shared" si="17"/>
        <v>#REF!</v>
      </c>
      <c r="E9" s="236" t="str">
        <f t="shared" si="17"/>
        <v>#REF!</v>
      </c>
      <c r="F9" s="236" t="str">
        <f t="shared" si="17"/>
        <v>#REF!</v>
      </c>
      <c r="G9" s="236" t="str">
        <f t="shared" si="17"/>
        <v>#REF!</v>
      </c>
      <c r="H9" s="236" t="str">
        <f t="shared" si="17"/>
        <v>#REF!</v>
      </c>
      <c r="I9" s="236" t="str">
        <f t="shared" si="17"/>
        <v>#REF!</v>
      </c>
      <c r="J9" s="236" t="str">
        <f t="shared" si="17"/>
        <v>#REF!</v>
      </c>
      <c r="K9" s="236" t="str">
        <f t="shared" si="17"/>
        <v>#REF!</v>
      </c>
      <c r="L9" s="236" t="str">
        <f t="shared" si="17"/>
        <v>#REF!</v>
      </c>
      <c r="M9" s="236" t="str">
        <f t="shared" si="17"/>
        <v>#REF!</v>
      </c>
      <c r="N9" s="236" t="str">
        <f t="shared" si="17"/>
        <v>#REF!</v>
      </c>
      <c r="O9" s="236" t="str">
        <f t="shared" si="17"/>
        <v>#REF!</v>
      </c>
      <c r="P9" s="236" t="str">
        <f t="shared" ref="P9:X9" si="18">#REF!</f>
        <v>#REF!</v>
      </c>
      <c r="Q9" s="236" t="str">
        <f t="shared" si="18"/>
        <v>#REF!</v>
      </c>
      <c r="R9" s="236" t="str">
        <f t="shared" si="18"/>
        <v>#REF!</v>
      </c>
      <c r="S9" s="236" t="str">
        <f t="shared" si="18"/>
        <v>#REF!</v>
      </c>
      <c r="T9" s="236" t="str">
        <f t="shared" si="18"/>
        <v>#REF!</v>
      </c>
      <c r="U9" s="236" t="str">
        <f t="shared" si="18"/>
        <v>#REF!</v>
      </c>
      <c r="V9" s="236" t="str">
        <f t="shared" si="18"/>
        <v>#REF!</v>
      </c>
      <c r="W9" s="236" t="str">
        <f t="shared" si="18"/>
        <v>#REF!</v>
      </c>
      <c r="X9" s="236" t="str">
        <f t="shared" si="18"/>
        <v>#REF!</v>
      </c>
    </row>
    <row r="10">
      <c r="A10" s="236" t="str">
        <f t="shared" ref="A10:O10" si="19">'Municipality Case Trends'!A14</f>
        <v>#REF!</v>
      </c>
      <c r="B10" s="236" t="str">
        <f t="shared" si="19"/>
        <v>#REF!</v>
      </c>
      <c r="C10" s="236" t="str">
        <f t="shared" si="19"/>
        <v>#REF!</v>
      </c>
      <c r="D10" s="236" t="str">
        <f t="shared" si="19"/>
        <v>#REF!</v>
      </c>
      <c r="E10" s="236" t="str">
        <f t="shared" si="19"/>
        <v>#REF!</v>
      </c>
      <c r="F10" s="236" t="str">
        <f t="shared" si="19"/>
        <v>#REF!</v>
      </c>
      <c r="G10" s="236" t="str">
        <f t="shared" si="19"/>
        <v>#REF!</v>
      </c>
      <c r="H10" s="236" t="str">
        <f t="shared" si="19"/>
        <v>#REF!</v>
      </c>
      <c r="I10" s="236" t="str">
        <f t="shared" si="19"/>
        <v>#REF!</v>
      </c>
      <c r="J10" s="236" t="str">
        <f t="shared" si="19"/>
        <v>#REF!</v>
      </c>
      <c r="K10" s="236" t="str">
        <f t="shared" si="19"/>
        <v>#REF!</v>
      </c>
      <c r="L10" s="236" t="str">
        <f t="shared" si="19"/>
        <v>#REF!</v>
      </c>
      <c r="M10" s="236" t="str">
        <f t="shared" si="19"/>
        <v>#REF!</v>
      </c>
      <c r="N10" s="236" t="str">
        <f t="shared" si="19"/>
        <v>#REF!</v>
      </c>
      <c r="O10" s="236" t="str">
        <f t="shared" si="19"/>
        <v>#REF!</v>
      </c>
      <c r="P10" s="236" t="str">
        <f t="shared" ref="P10:X10" si="20">#REF!</f>
        <v>#REF!</v>
      </c>
      <c r="Q10" s="236" t="str">
        <f t="shared" si="20"/>
        <v>#REF!</v>
      </c>
      <c r="R10" s="236" t="str">
        <f t="shared" si="20"/>
        <v>#REF!</v>
      </c>
      <c r="S10" s="236" t="str">
        <f t="shared" si="20"/>
        <v>#REF!</v>
      </c>
      <c r="T10" s="236" t="str">
        <f t="shared" si="20"/>
        <v>#REF!</v>
      </c>
      <c r="U10" s="236" t="str">
        <f t="shared" si="20"/>
        <v>#REF!</v>
      </c>
      <c r="V10" s="236" t="str">
        <f t="shared" si="20"/>
        <v>#REF!</v>
      </c>
      <c r="W10" s="236" t="str">
        <f t="shared" si="20"/>
        <v>#REF!</v>
      </c>
      <c r="X10" s="236" t="str">
        <f t="shared" si="20"/>
        <v>#REF!</v>
      </c>
    </row>
    <row r="11">
      <c r="A11" s="236" t="str">
        <f t="shared" ref="A11:O11" si="21">'Municipality Case Trends'!A15</f>
        <v>#REF!</v>
      </c>
      <c r="B11" s="236" t="str">
        <f t="shared" si="21"/>
        <v>#REF!</v>
      </c>
      <c r="C11" s="236" t="str">
        <f t="shared" si="21"/>
        <v>#REF!</v>
      </c>
      <c r="D11" s="236" t="str">
        <f t="shared" si="21"/>
        <v>#REF!</v>
      </c>
      <c r="E11" s="236" t="str">
        <f t="shared" si="21"/>
        <v>#REF!</v>
      </c>
      <c r="F11" s="236" t="str">
        <f t="shared" si="21"/>
        <v>#REF!</v>
      </c>
      <c r="G11" s="236" t="str">
        <f t="shared" si="21"/>
        <v>#REF!</v>
      </c>
      <c r="H11" s="236" t="str">
        <f t="shared" si="21"/>
        <v>#REF!</v>
      </c>
      <c r="I11" s="236" t="str">
        <f t="shared" si="21"/>
        <v>#REF!</v>
      </c>
      <c r="J11" s="236" t="str">
        <f t="shared" si="21"/>
        <v>#REF!</v>
      </c>
      <c r="K11" s="236" t="str">
        <f t="shared" si="21"/>
        <v>#REF!</v>
      </c>
      <c r="L11" s="236" t="str">
        <f t="shared" si="21"/>
        <v>#REF!</v>
      </c>
      <c r="M11" s="236" t="str">
        <f t="shared" si="21"/>
        <v>#REF!</v>
      </c>
      <c r="N11" s="236" t="str">
        <f t="shared" si="21"/>
        <v>#REF!</v>
      </c>
      <c r="O11" s="236" t="str">
        <f t="shared" si="21"/>
        <v>#REF!</v>
      </c>
      <c r="P11" s="236" t="str">
        <f t="shared" ref="P11:X11" si="22">#REF!</f>
        <v>#REF!</v>
      </c>
      <c r="Q11" s="236" t="str">
        <f t="shared" si="22"/>
        <v>#REF!</v>
      </c>
      <c r="R11" s="236" t="str">
        <f t="shared" si="22"/>
        <v>#REF!</v>
      </c>
      <c r="S11" s="236" t="str">
        <f t="shared" si="22"/>
        <v>#REF!</v>
      </c>
      <c r="T11" s="236" t="str">
        <f t="shared" si="22"/>
        <v>#REF!</v>
      </c>
      <c r="U11" s="236" t="str">
        <f t="shared" si="22"/>
        <v>#REF!</v>
      </c>
      <c r="V11" s="236" t="str">
        <f t="shared" si="22"/>
        <v>#REF!</v>
      </c>
      <c r="W11" s="236" t="str">
        <f t="shared" si="22"/>
        <v>#REF!</v>
      </c>
      <c r="X11" s="236" t="str">
        <f t="shared" si="22"/>
        <v>#REF!</v>
      </c>
    </row>
    <row r="12">
      <c r="A12" s="236" t="str">
        <f t="shared" ref="A12:O12" si="23">'Municipality Case Trends'!A16</f>
        <v>#REF!</v>
      </c>
      <c r="B12" s="236" t="str">
        <f t="shared" si="23"/>
        <v>#REF!</v>
      </c>
      <c r="C12" s="236" t="str">
        <f t="shared" si="23"/>
        <v>#REF!</v>
      </c>
      <c r="D12" s="236" t="str">
        <f t="shared" si="23"/>
        <v>#REF!</v>
      </c>
      <c r="E12" s="236" t="str">
        <f t="shared" si="23"/>
        <v>#REF!</v>
      </c>
      <c r="F12" s="236" t="str">
        <f t="shared" si="23"/>
        <v>#REF!</v>
      </c>
      <c r="G12" s="236" t="str">
        <f t="shared" si="23"/>
        <v>#REF!</v>
      </c>
      <c r="H12" s="236" t="str">
        <f t="shared" si="23"/>
        <v>#REF!</v>
      </c>
      <c r="I12" s="236" t="str">
        <f t="shared" si="23"/>
        <v>#REF!</v>
      </c>
      <c r="J12" s="236" t="str">
        <f t="shared" si="23"/>
        <v>#REF!</v>
      </c>
      <c r="K12" s="236" t="str">
        <f t="shared" si="23"/>
        <v>#REF!</v>
      </c>
      <c r="L12" s="236" t="str">
        <f t="shared" si="23"/>
        <v>#REF!</v>
      </c>
      <c r="M12" s="236" t="str">
        <f t="shared" si="23"/>
        <v>#REF!</v>
      </c>
      <c r="N12" s="236" t="str">
        <f t="shared" si="23"/>
        <v>#REF!</v>
      </c>
      <c r="O12" s="236" t="str">
        <f t="shared" si="23"/>
        <v>#REF!</v>
      </c>
      <c r="P12" s="236" t="str">
        <f t="shared" ref="P12:X12" si="24">#REF!</f>
        <v>#REF!</v>
      </c>
      <c r="Q12" s="236" t="str">
        <f t="shared" si="24"/>
        <v>#REF!</v>
      </c>
      <c r="R12" s="236" t="str">
        <f t="shared" si="24"/>
        <v>#REF!</v>
      </c>
      <c r="S12" s="236" t="str">
        <f t="shared" si="24"/>
        <v>#REF!</v>
      </c>
      <c r="T12" s="236" t="str">
        <f t="shared" si="24"/>
        <v>#REF!</v>
      </c>
      <c r="U12" s="236" t="str">
        <f t="shared" si="24"/>
        <v>#REF!</v>
      </c>
      <c r="V12" s="236" t="str">
        <f t="shared" si="24"/>
        <v>#REF!</v>
      </c>
      <c r="W12" s="236" t="str">
        <f t="shared" si="24"/>
        <v>#REF!</v>
      </c>
      <c r="X12" s="236" t="str">
        <f t="shared" si="24"/>
        <v>#REF!</v>
      </c>
    </row>
    <row r="13">
      <c r="A13" s="236" t="str">
        <f t="shared" ref="A13:O13" si="25">'Municipality Case Trends'!A17</f>
        <v>#REF!</v>
      </c>
      <c r="B13" s="236" t="str">
        <f t="shared" si="25"/>
        <v>#REF!</v>
      </c>
      <c r="C13" s="236" t="str">
        <f t="shared" si="25"/>
        <v>#REF!</v>
      </c>
      <c r="D13" s="236" t="str">
        <f t="shared" si="25"/>
        <v>#REF!</v>
      </c>
      <c r="E13" s="236" t="str">
        <f t="shared" si="25"/>
        <v>#REF!</v>
      </c>
      <c r="F13" s="236" t="str">
        <f t="shared" si="25"/>
        <v>#REF!</v>
      </c>
      <c r="G13" s="236" t="str">
        <f t="shared" si="25"/>
        <v>#REF!</v>
      </c>
      <c r="H13" s="236" t="str">
        <f t="shared" si="25"/>
        <v>#REF!</v>
      </c>
      <c r="I13" s="236" t="str">
        <f t="shared" si="25"/>
        <v>#REF!</v>
      </c>
      <c r="J13" s="236" t="str">
        <f t="shared" si="25"/>
        <v>#REF!</v>
      </c>
      <c r="K13" s="236" t="str">
        <f t="shared" si="25"/>
        <v>#REF!</v>
      </c>
      <c r="L13" s="236" t="str">
        <f t="shared" si="25"/>
        <v>#REF!</v>
      </c>
      <c r="M13" s="236" t="str">
        <f t="shared" si="25"/>
        <v>#REF!</v>
      </c>
      <c r="N13" s="236" t="str">
        <f t="shared" si="25"/>
        <v>#REF!</v>
      </c>
      <c r="O13" s="236" t="str">
        <f t="shared" si="25"/>
        <v>#REF!</v>
      </c>
      <c r="P13" s="236" t="str">
        <f t="shared" ref="P13:X13" si="26">#REF!</f>
        <v>#REF!</v>
      </c>
      <c r="Q13" s="236" t="str">
        <f t="shared" si="26"/>
        <v>#REF!</v>
      </c>
      <c r="R13" s="236" t="str">
        <f t="shared" si="26"/>
        <v>#REF!</v>
      </c>
      <c r="S13" s="236" t="str">
        <f t="shared" si="26"/>
        <v>#REF!</v>
      </c>
      <c r="T13" s="236" t="str">
        <f t="shared" si="26"/>
        <v>#REF!</v>
      </c>
      <c r="U13" s="236" t="str">
        <f t="shared" si="26"/>
        <v>#REF!</v>
      </c>
      <c r="V13" s="236" t="str">
        <f t="shared" si="26"/>
        <v>#REF!</v>
      </c>
      <c r="W13" s="236" t="str">
        <f t="shared" si="26"/>
        <v>#REF!</v>
      </c>
      <c r="X13" s="236" t="str">
        <f t="shared" si="26"/>
        <v>#REF!</v>
      </c>
    </row>
    <row r="14">
      <c r="A14" s="236" t="str">
        <f t="shared" ref="A14:O14" si="27">'Municipality Case Trends'!A18</f>
        <v>#REF!</v>
      </c>
      <c r="B14" s="236" t="str">
        <f t="shared" si="27"/>
        <v>#REF!</v>
      </c>
      <c r="C14" s="236" t="str">
        <f t="shared" si="27"/>
        <v>#REF!</v>
      </c>
      <c r="D14" s="236" t="str">
        <f t="shared" si="27"/>
        <v>#REF!</v>
      </c>
      <c r="E14" s="236" t="str">
        <f t="shared" si="27"/>
        <v>#REF!</v>
      </c>
      <c r="F14" s="236" t="str">
        <f t="shared" si="27"/>
        <v>#REF!</v>
      </c>
      <c r="G14" s="236" t="str">
        <f t="shared" si="27"/>
        <v>#REF!</v>
      </c>
      <c r="H14" s="236" t="str">
        <f t="shared" si="27"/>
        <v>#REF!</v>
      </c>
      <c r="I14" s="236" t="str">
        <f t="shared" si="27"/>
        <v>#REF!</v>
      </c>
      <c r="J14" s="236" t="str">
        <f t="shared" si="27"/>
        <v>#REF!</v>
      </c>
      <c r="K14" s="236" t="str">
        <f t="shared" si="27"/>
        <v>#REF!</v>
      </c>
      <c r="L14" s="236" t="str">
        <f t="shared" si="27"/>
        <v>#REF!</v>
      </c>
      <c r="M14" s="236" t="str">
        <f t="shared" si="27"/>
        <v>#REF!</v>
      </c>
      <c r="N14" s="236" t="str">
        <f t="shared" si="27"/>
        <v>#REF!</v>
      </c>
      <c r="O14" s="236" t="str">
        <f t="shared" si="27"/>
        <v>#REF!</v>
      </c>
      <c r="P14" s="236" t="str">
        <f t="shared" ref="P14:X14" si="28">#REF!</f>
        <v>#REF!</v>
      </c>
      <c r="Q14" s="236" t="str">
        <f t="shared" si="28"/>
        <v>#REF!</v>
      </c>
      <c r="R14" s="236" t="str">
        <f t="shared" si="28"/>
        <v>#REF!</v>
      </c>
      <c r="S14" s="236" t="str">
        <f t="shared" si="28"/>
        <v>#REF!</v>
      </c>
      <c r="T14" s="236" t="str">
        <f t="shared" si="28"/>
        <v>#REF!</v>
      </c>
      <c r="U14" s="236" t="str">
        <f t="shared" si="28"/>
        <v>#REF!</v>
      </c>
      <c r="V14" s="236" t="str">
        <f t="shared" si="28"/>
        <v>#REF!</v>
      </c>
      <c r="W14" s="236" t="str">
        <f t="shared" si="28"/>
        <v>#REF!</v>
      </c>
      <c r="X14" s="236" t="str">
        <f t="shared" si="28"/>
        <v>#REF!</v>
      </c>
    </row>
    <row r="15">
      <c r="A15" s="236" t="str">
        <f t="shared" ref="A15:O15" si="29">'Municipality Case Trends'!A19</f>
        <v>#REF!</v>
      </c>
      <c r="B15" s="236" t="str">
        <f t="shared" si="29"/>
        <v>#REF!</v>
      </c>
      <c r="C15" s="236" t="str">
        <f t="shared" si="29"/>
        <v>#REF!</v>
      </c>
      <c r="D15" s="236" t="str">
        <f t="shared" si="29"/>
        <v>#REF!</v>
      </c>
      <c r="E15" s="236" t="str">
        <f t="shared" si="29"/>
        <v>#REF!</v>
      </c>
      <c r="F15" s="236" t="str">
        <f t="shared" si="29"/>
        <v>#REF!</v>
      </c>
      <c r="G15" s="236" t="str">
        <f t="shared" si="29"/>
        <v>#REF!</v>
      </c>
      <c r="H15" s="236" t="str">
        <f t="shared" si="29"/>
        <v>#REF!</v>
      </c>
      <c r="I15" s="236" t="str">
        <f t="shared" si="29"/>
        <v>#REF!</v>
      </c>
      <c r="J15" s="236" t="str">
        <f t="shared" si="29"/>
        <v>#REF!</v>
      </c>
      <c r="K15" s="236" t="str">
        <f t="shared" si="29"/>
        <v>#REF!</v>
      </c>
      <c r="L15" s="236" t="str">
        <f t="shared" si="29"/>
        <v>#REF!</v>
      </c>
      <c r="M15" s="236" t="str">
        <f t="shared" si="29"/>
        <v>#REF!</v>
      </c>
      <c r="N15" s="236" t="str">
        <f t="shared" si="29"/>
        <v>#REF!</v>
      </c>
      <c r="O15" s="236" t="str">
        <f t="shared" si="29"/>
        <v>#REF!</v>
      </c>
      <c r="P15" s="236" t="str">
        <f t="shared" ref="P15:X15" si="30">#REF!</f>
        <v>#REF!</v>
      </c>
      <c r="Q15" s="236" t="str">
        <f t="shared" si="30"/>
        <v>#REF!</v>
      </c>
      <c r="R15" s="236" t="str">
        <f t="shared" si="30"/>
        <v>#REF!</v>
      </c>
      <c r="S15" s="236" t="str">
        <f t="shared" si="30"/>
        <v>#REF!</v>
      </c>
      <c r="T15" s="236" t="str">
        <f t="shared" si="30"/>
        <v>#REF!</v>
      </c>
      <c r="U15" s="236" t="str">
        <f t="shared" si="30"/>
        <v>#REF!</v>
      </c>
      <c r="V15" s="236" t="str">
        <f t="shared" si="30"/>
        <v>#REF!</v>
      </c>
      <c r="W15" s="236" t="str">
        <f t="shared" si="30"/>
        <v>#REF!</v>
      </c>
      <c r="X15" s="236" t="str">
        <f t="shared" si="30"/>
        <v>#REF!</v>
      </c>
    </row>
    <row r="16">
      <c r="A16" s="236" t="str">
        <f t="shared" ref="A16:O16" si="31">'Municipality Case Trends'!A20</f>
        <v>#REF!</v>
      </c>
      <c r="B16" s="236" t="str">
        <f t="shared" si="31"/>
        <v>#REF!</v>
      </c>
      <c r="C16" s="236" t="str">
        <f t="shared" si="31"/>
        <v>#REF!</v>
      </c>
      <c r="D16" s="236" t="str">
        <f t="shared" si="31"/>
        <v>#REF!</v>
      </c>
      <c r="E16" s="236" t="str">
        <f t="shared" si="31"/>
        <v>#REF!</v>
      </c>
      <c r="F16" s="236" t="str">
        <f t="shared" si="31"/>
        <v>#REF!</v>
      </c>
      <c r="G16" s="236" t="str">
        <f t="shared" si="31"/>
        <v>#REF!</v>
      </c>
      <c r="H16" s="236" t="str">
        <f t="shared" si="31"/>
        <v>#REF!</v>
      </c>
      <c r="I16" s="236" t="str">
        <f t="shared" si="31"/>
        <v>#REF!</v>
      </c>
      <c r="J16" s="236" t="str">
        <f t="shared" si="31"/>
        <v>#REF!</v>
      </c>
      <c r="K16" s="236" t="str">
        <f t="shared" si="31"/>
        <v>#REF!</v>
      </c>
      <c r="L16" s="236" t="str">
        <f t="shared" si="31"/>
        <v>#REF!</v>
      </c>
      <c r="M16" s="236" t="str">
        <f t="shared" si="31"/>
        <v>#REF!</v>
      </c>
      <c r="N16" s="236" t="str">
        <f t="shared" si="31"/>
        <v>#REF!</v>
      </c>
      <c r="O16" s="236" t="str">
        <f t="shared" si="31"/>
        <v>#REF!</v>
      </c>
      <c r="P16" s="236" t="str">
        <f t="shared" ref="P16:X16" si="32">#REF!</f>
        <v>#REF!</v>
      </c>
      <c r="Q16" s="236" t="str">
        <f t="shared" si="32"/>
        <v>#REF!</v>
      </c>
      <c r="R16" s="236" t="str">
        <f t="shared" si="32"/>
        <v>#REF!</v>
      </c>
      <c r="S16" s="236" t="str">
        <f t="shared" si="32"/>
        <v>#REF!</v>
      </c>
      <c r="T16" s="236" t="str">
        <f t="shared" si="32"/>
        <v>#REF!</v>
      </c>
      <c r="U16" s="236" t="str">
        <f t="shared" si="32"/>
        <v>#REF!</v>
      </c>
      <c r="V16" s="236" t="str">
        <f t="shared" si="32"/>
        <v>#REF!</v>
      </c>
      <c r="W16" s="236" t="str">
        <f t="shared" si="32"/>
        <v>#REF!</v>
      </c>
      <c r="X16" s="236" t="str">
        <f t="shared" si="32"/>
        <v>#REF!</v>
      </c>
    </row>
    <row r="17">
      <c r="A17" s="236" t="str">
        <f t="shared" ref="A17:O17" si="33">'Municipality Case Trends'!A21</f>
        <v>#REF!</v>
      </c>
      <c r="B17" s="236" t="str">
        <f t="shared" si="33"/>
        <v>#REF!</v>
      </c>
      <c r="C17" s="236" t="str">
        <f t="shared" si="33"/>
        <v>#REF!</v>
      </c>
      <c r="D17" s="236" t="str">
        <f t="shared" si="33"/>
        <v>#REF!</v>
      </c>
      <c r="E17" s="236" t="str">
        <f t="shared" si="33"/>
        <v>#REF!</v>
      </c>
      <c r="F17" s="236" t="str">
        <f t="shared" si="33"/>
        <v>#REF!</v>
      </c>
      <c r="G17" s="236" t="str">
        <f t="shared" si="33"/>
        <v>#REF!</v>
      </c>
      <c r="H17" s="236" t="str">
        <f t="shared" si="33"/>
        <v>#REF!</v>
      </c>
      <c r="I17" s="236" t="str">
        <f t="shared" si="33"/>
        <v>#REF!</v>
      </c>
      <c r="J17" s="236" t="str">
        <f t="shared" si="33"/>
        <v>#REF!</v>
      </c>
      <c r="K17" s="236" t="str">
        <f t="shared" si="33"/>
        <v>#REF!</v>
      </c>
      <c r="L17" s="236" t="str">
        <f t="shared" si="33"/>
        <v>#REF!</v>
      </c>
      <c r="M17" s="236" t="str">
        <f t="shared" si="33"/>
        <v>#REF!</v>
      </c>
      <c r="N17" s="236" t="str">
        <f t="shared" si="33"/>
        <v>#REF!</v>
      </c>
      <c r="O17" s="236" t="str">
        <f t="shared" si="33"/>
        <v>#REF!</v>
      </c>
      <c r="P17" s="236" t="str">
        <f t="shared" ref="P17:X17" si="34">#REF!</f>
        <v>#REF!</v>
      </c>
      <c r="Q17" s="236" t="str">
        <f t="shared" si="34"/>
        <v>#REF!</v>
      </c>
      <c r="R17" s="236" t="str">
        <f t="shared" si="34"/>
        <v>#REF!</v>
      </c>
      <c r="S17" s="236" t="str">
        <f t="shared" si="34"/>
        <v>#REF!</v>
      </c>
      <c r="T17" s="236" t="str">
        <f t="shared" si="34"/>
        <v>#REF!</v>
      </c>
      <c r="U17" s="236" t="str">
        <f t="shared" si="34"/>
        <v>#REF!</v>
      </c>
      <c r="V17" s="236" t="str">
        <f t="shared" si="34"/>
        <v>#REF!</v>
      </c>
      <c r="W17" s="236" t="str">
        <f t="shared" si="34"/>
        <v>#REF!</v>
      </c>
      <c r="X17" s="236" t="str">
        <f t="shared" si="34"/>
        <v>#REF!</v>
      </c>
    </row>
    <row r="18">
      <c r="A18" s="236" t="str">
        <f t="shared" ref="A18:O18" si="35">'Municipality Case Trends'!A22</f>
        <v>#REF!</v>
      </c>
      <c r="B18" s="236" t="str">
        <f t="shared" si="35"/>
        <v>#REF!</v>
      </c>
      <c r="C18" s="236" t="str">
        <f t="shared" si="35"/>
        <v>#REF!</v>
      </c>
      <c r="D18" s="236" t="str">
        <f t="shared" si="35"/>
        <v>#REF!</v>
      </c>
      <c r="E18" s="236" t="str">
        <f t="shared" si="35"/>
        <v>#REF!</v>
      </c>
      <c r="F18" s="236" t="str">
        <f t="shared" si="35"/>
        <v>#REF!</v>
      </c>
      <c r="G18" s="236" t="str">
        <f t="shared" si="35"/>
        <v>#REF!</v>
      </c>
      <c r="H18" s="236" t="str">
        <f t="shared" si="35"/>
        <v>#REF!</v>
      </c>
      <c r="I18" s="236" t="str">
        <f t="shared" si="35"/>
        <v>#REF!</v>
      </c>
      <c r="J18" s="236" t="str">
        <f t="shared" si="35"/>
        <v>#REF!</v>
      </c>
      <c r="K18" s="236" t="str">
        <f t="shared" si="35"/>
        <v>#REF!</v>
      </c>
      <c r="L18" s="236" t="str">
        <f t="shared" si="35"/>
        <v>#REF!</v>
      </c>
      <c r="M18" s="236" t="str">
        <f t="shared" si="35"/>
        <v>#REF!</v>
      </c>
      <c r="N18" s="236" t="str">
        <f t="shared" si="35"/>
        <v>#REF!</v>
      </c>
      <c r="O18" s="236" t="str">
        <f t="shared" si="35"/>
        <v>#REF!</v>
      </c>
      <c r="P18" s="236" t="str">
        <f t="shared" ref="P18:X18" si="36">#REF!</f>
        <v>#REF!</v>
      </c>
      <c r="Q18" s="236" t="str">
        <f t="shared" si="36"/>
        <v>#REF!</v>
      </c>
      <c r="R18" s="236" t="str">
        <f t="shared" si="36"/>
        <v>#REF!</v>
      </c>
      <c r="S18" s="236" t="str">
        <f t="shared" si="36"/>
        <v>#REF!</v>
      </c>
      <c r="T18" s="236" t="str">
        <f t="shared" si="36"/>
        <v>#REF!</v>
      </c>
      <c r="U18" s="236" t="str">
        <f t="shared" si="36"/>
        <v>#REF!</v>
      </c>
      <c r="V18" s="236" t="str">
        <f t="shared" si="36"/>
        <v>#REF!</v>
      </c>
      <c r="W18" s="236" t="str">
        <f t="shared" si="36"/>
        <v>#REF!</v>
      </c>
      <c r="X18" s="236" t="str">
        <f t="shared" si="36"/>
        <v>#REF!</v>
      </c>
    </row>
    <row r="19">
      <c r="A19" s="236" t="str">
        <f t="shared" ref="A19:O19" si="37">'Municipality Case Trends'!A23</f>
        <v>#REF!</v>
      </c>
      <c r="B19" s="236" t="str">
        <f t="shared" si="37"/>
        <v>#REF!</v>
      </c>
      <c r="C19" s="236" t="str">
        <f t="shared" si="37"/>
        <v>#REF!</v>
      </c>
      <c r="D19" s="236" t="str">
        <f t="shared" si="37"/>
        <v>#REF!</v>
      </c>
      <c r="E19" s="236" t="str">
        <f t="shared" si="37"/>
        <v>#REF!</v>
      </c>
      <c r="F19" s="236" t="str">
        <f t="shared" si="37"/>
        <v>#REF!</v>
      </c>
      <c r="G19" s="236" t="str">
        <f t="shared" si="37"/>
        <v>#REF!</v>
      </c>
      <c r="H19" s="236" t="str">
        <f t="shared" si="37"/>
        <v>#REF!</v>
      </c>
      <c r="I19" s="236" t="str">
        <f t="shared" si="37"/>
        <v>#REF!</v>
      </c>
      <c r="J19" s="236" t="str">
        <f t="shared" si="37"/>
        <v>#REF!</v>
      </c>
      <c r="K19" s="236" t="str">
        <f t="shared" si="37"/>
        <v>#REF!</v>
      </c>
      <c r="L19" s="236" t="str">
        <f t="shared" si="37"/>
        <v>#REF!</v>
      </c>
      <c r="M19" s="236" t="str">
        <f t="shared" si="37"/>
        <v>#REF!</v>
      </c>
      <c r="N19" s="236" t="str">
        <f t="shared" si="37"/>
        <v>#REF!</v>
      </c>
      <c r="O19" s="236" t="str">
        <f t="shared" si="37"/>
        <v>#REF!</v>
      </c>
      <c r="P19" s="236" t="str">
        <f t="shared" ref="P19:X19" si="38">#REF!</f>
        <v>#REF!</v>
      </c>
      <c r="Q19" s="236" t="str">
        <f t="shared" si="38"/>
        <v>#REF!</v>
      </c>
      <c r="R19" s="236" t="str">
        <f t="shared" si="38"/>
        <v>#REF!</v>
      </c>
      <c r="S19" s="236" t="str">
        <f t="shared" si="38"/>
        <v>#REF!</v>
      </c>
      <c r="T19" s="236" t="str">
        <f t="shared" si="38"/>
        <v>#REF!</v>
      </c>
      <c r="U19" s="236" t="str">
        <f t="shared" si="38"/>
        <v>#REF!</v>
      </c>
      <c r="V19" s="236" t="str">
        <f t="shared" si="38"/>
        <v>#REF!</v>
      </c>
      <c r="W19" s="236" t="str">
        <f t="shared" si="38"/>
        <v>#REF!</v>
      </c>
      <c r="X19" s="236" t="str">
        <f t="shared" si="38"/>
        <v>#REF!</v>
      </c>
    </row>
    <row r="20">
      <c r="A20" s="236" t="str">
        <f t="shared" ref="A20:O20" si="39">'Municipality Case Trends'!A24</f>
        <v>#REF!</v>
      </c>
      <c r="B20" s="236" t="str">
        <f t="shared" si="39"/>
        <v>#REF!</v>
      </c>
      <c r="C20" s="236" t="str">
        <f t="shared" si="39"/>
        <v>#REF!</v>
      </c>
      <c r="D20" s="236" t="str">
        <f t="shared" si="39"/>
        <v>#REF!</v>
      </c>
      <c r="E20" s="236" t="str">
        <f t="shared" si="39"/>
        <v>#REF!</v>
      </c>
      <c r="F20" s="236" t="str">
        <f t="shared" si="39"/>
        <v>#REF!</v>
      </c>
      <c r="G20" s="236" t="str">
        <f t="shared" si="39"/>
        <v>#REF!</v>
      </c>
      <c r="H20" s="236" t="str">
        <f t="shared" si="39"/>
        <v>#REF!</v>
      </c>
      <c r="I20" s="236" t="str">
        <f t="shared" si="39"/>
        <v>#REF!</v>
      </c>
      <c r="J20" s="236" t="str">
        <f t="shared" si="39"/>
        <v>#REF!</v>
      </c>
      <c r="K20" s="236" t="str">
        <f t="shared" si="39"/>
        <v>#REF!</v>
      </c>
      <c r="L20" s="236" t="str">
        <f t="shared" si="39"/>
        <v>#REF!</v>
      </c>
      <c r="M20" s="236" t="str">
        <f t="shared" si="39"/>
        <v>#REF!</v>
      </c>
      <c r="N20" s="236" t="str">
        <f t="shared" si="39"/>
        <v>#REF!</v>
      </c>
      <c r="O20" s="236" t="str">
        <f t="shared" si="39"/>
        <v>#REF!</v>
      </c>
      <c r="P20" s="236" t="str">
        <f t="shared" ref="P20:X20" si="40">#REF!</f>
        <v>#REF!</v>
      </c>
      <c r="Q20" s="236" t="str">
        <f t="shared" si="40"/>
        <v>#REF!</v>
      </c>
      <c r="R20" s="236" t="str">
        <f t="shared" si="40"/>
        <v>#REF!</v>
      </c>
      <c r="S20" s="236" t="str">
        <f t="shared" si="40"/>
        <v>#REF!</v>
      </c>
      <c r="T20" s="236" t="str">
        <f t="shared" si="40"/>
        <v>#REF!</v>
      </c>
      <c r="U20" s="236" t="str">
        <f t="shared" si="40"/>
        <v>#REF!</v>
      </c>
      <c r="V20" s="236" t="str">
        <f t="shared" si="40"/>
        <v>#REF!</v>
      </c>
      <c r="W20" s="236" t="str">
        <f t="shared" si="40"/>
        <v>#REF!</v>
      </c>
      <c r="X20" s="236" t="str">
        <f t="shared" si="40"/>
        <v>#REF!</v>
      </c>
    </row>
    <row r="21">
      <c r="A21" s="236" t="str">
        <f t="shared" ref="A21:O21" si="41">'Municipality Case Trends'!A25</f>
        <v>#REF!</v>
      </c>
      <c r="B21" s="236" t="str">
        <f t="shared" si="41"/>
        <v>#REF!</v>
      </c>
      <c r="C21" s="236" t="str">
        <f t="shared" si="41"/>
        <v>#REF!</v>
      </c>
      <c r="D21" s="236" t="str">
        <f t="shared" si="41"/>
        <v>#REF!</v>
      </c>
      <c r="E21" s="236" t="str">
        <f t="shared" si="41"/>
        <v>#REF!</v>
      </c>
      <c r="F21" s="236" t="str">
        <f t="shared" si="41"/>
        <v>#REF!</v>
      </c>
      <c r="G21" s="236" t="str">
        <f t="shared" si="41"/>
        <v>#REF!</v>
      </c>
      <c r="H21" s="236" t="str">
        <f t="shared" si="41"/>
        <v>#REF!</v>
      </c>
      <c r="I21" s="236" t="str">
        <f t="shared" si="41"/>
        <v>#REF!</v>
      </c>
      <c r="J21" s="236" t="str">
        <f t="shared" si="41"/>
        <v>#REF!</v>
      </c>
      <c r="K21" s="236" t="str">
        <f t="shared" si="41"/>
        <v>#REF!</v>
      </c>
      <c r="L21" s="236" t="str">
        <f t="shared" si="41"/>
        <v>#REF!</v>
      </c>
      <c r="M21" s="236" t="str">
        <f t="shared" si="41"/>
        <v>#REF!</v>
      </c>
      <c r="N21" s="236" t="str">
        <f t="shared" si="41"/>
        <v>#REF!</v>
      </c>
      <c r="O21" s="236" t="str">
        <f t="shared" si="41"/>
        <v>#REF!</v>
      </c>
      <c r="P21" s="236" t="str">
        <f t="shared" ref="P21:X21" si="42">#REF!</f>
        <v>#REF!</v>
      </c>
      <c r="Q21" s="236" t="str">
        <f t="shared" si="42"/>
        <v>#REF!</v>
      </c>
      <c r="R21" s="236" t="str">
        <f t="shared" si="42"/>
        <v>#REF!</v>
      </c>
      <c r="S21" s="236" t="str">
        <f t="shared" si="42"/>
        <v>#REF!</v>
      </c>
      <c r="T21" s="236" t="str">
        <f t="shared" si="42"/>
        <v>#REF!</v>
      </c>
      <c r="U21" s="236" t="str">
        <f t="shared" si="42"/>
        <v>#REF!</v>
      </c>
      <c r="V21" s="236" t="str">
        <f t="shared" si="42"/>
        <v>#REF!</v>
      </c>
      <c r="W21" s="236" t="str">
        <f t="shared" si="42"/>
        <v>#REF!</v>
      </c>
      <c r="X21" s="236" t="str">
        <f t="shared" si="42"/>
        <v>#REF!</v>
      </c>
    </row>
    <row r="22">
      <c r="A22" s="236" t="str">
        <f t="shared" ref="A22:O22" si="43">'Municipality Case Trends'!A26</f>
        <v>#REF!</v>
      </c>
      <c r="B22" s="236" t="str">
        <f t="shared" si="43"/>
        <v>#REF!</v>
      </c>
      <c r="C22" s="236" t="str">
        <f t="shared" si="43"/>
        <v>#REF!</v>
      </c>
      <c r="D22" s="236" t="str">
        <f t="shared" si="43"/>
        <v>#REF!</v>
      </c>
      <c r="E22" s="236" t="str">
        <f t="shared" si="43"/>
        <v>#REF!</v>
      </c>
      <c r="F22" s="236" t="str">
        <f t="shared" si="43"/>
        <v>#REF!</v>
      </c>
      <c r="G22" s="236" t="str">
        <f t="shared" si="43"/>
        <v>#REF!</v>
      </c>
      <c r="H22" s="236" t="str">
        <f t="shared" si="43"/>
        <v>#REF!</v>
      </c>
      <c r="I22" s="236" t="str">
        <f t="shared" si="43"/>
        <v>#REF!</v>
      </c>
      <c r="J22" s="236" t="str">
        <f t="shared" si="43"/>
        <v>#REF!</v>
      </c>
      <c r="K22" s="236" t="str">
        <f t="shared" si="43"/>
        <v>#REF!</v>
      </c>
      <c r="L22" s="236" t="str">
        <f t="shared" si="43"/>
        <v>#REF!</v>
      </c>
      <c r="M22" s="236" t="str">
        <f t="shared" si="43"/>
        <v>#REF!</v>
      </c>
      <c r="N22" s="236" t="str">
        <f t="shared" si="43"/>
        <v>#REF!</v>
      </c>
      <c r="O22" s="236" t="str">
        <f t="shared" si="43"/>
        <v>#REF!</v>
      </c>
      <c r="P22" s="236" t="str">
        <f t="shared" ref="P22:X22" si="44">#REF!</f>
        <v>#REF!</v>
      </c>
      <c r="Q22" s="236" t="str">
        <f t="shared" si="44"/>
        <v>#REF!</v>
      </c>
      <c r="R22" s="236" t="str">
        <f t="shared" si="44"/>
        <v>#REF!</v>
      </c>
      <c r="S22" s="236" t="str">
        <f t="shared" si="44"/>
        <v>#REF!</v>
      </c>
      <c r="T22" s="236" t="str">
        <f t="shared" si="44"/>
        <v>#REF!</v>
      </c>
      <c r="U22" s="236" t="str">
        <f t="shared" si="44"/>
        <v>#REF!</v>
      </c>
      <c r="V22" s="236" t="str">
        <f t="shared" si="44"/>
        <v>#REF!</v>
      </c>
      <c r="W22" s="236" t="str">
        <f t="shared" si="44"/>
        <v>#REF!</v>
      </c>
      <c r="X22" s="236" t="str">
        <f t="shared" si="44"/>
        <v>#REF!</v>
      </c>
    </row>
    <row r="23">
      <c r="A23" s="236" t="str">
        <f t="shared" ref="A23:O23" si="45">'Municipality Case Trends'!A27</f>
        <v>#REF!</v>
      </c>
      <c r="B23" s="236" t="str">
        <f t="shared" si="45"/>
        <v>#REF!</v>
      </c>
      <c r="C23" s="236" t="str">
        <f t="shared" si="45"/>
        <v>#REF!</v>
      </c>
      <c r="D23" s="236" t="str">
        <f t="shared" si="45"/>
        <v>#REF!</v>
      </c>
      <c r="E23" s="236" t="str">
        <f t="shared" si="45"/>
        <v>#REF!</v>
      </c>
      <c r="F23" s="236" t="str">
        <f t="shared" si="45"/>
        <v>#REF!</v>
      </c>
      <c r="G23" s="236" t="str">
        <f t="shared" si="45"/>
        <v>#REF!</v>
      </c>
      <c r="H23" s="236" t="str">
        <f t="shared" si="45"/>
        <v>#REF!</v>
      </c>
      <c r="I23" s="236" t="str">
        <f t="shared" si="45"/>
        <v>#REF!</v>
      </c>
      <c r="J23" s="236" t="str">
        <f t="shared" si="45"/>
        <v>#REF!</v>
      </c>
      <c r="K23" s="236" t="str">
        <f t="shared" si="45"/>
        <v>#REF!</v>
      </c>
      <c r="L23" s="236" t="str">
        <f t="shared" si="45"/>
        <v>#REF!</v>
      </c>
      <c r="M23" s="236" t="str">
        <f t="shared" si="45"/>
        <v>#REF!</v>
      </c>
      <c r="N23" s="236" t="str">
        <f t="shared" si="45"/>
        <v>#REF!</v>
      </c>
      <c r="O23" s="236" t="str">
        <f t="shared" si="45"/>
        <v>#REF!</v>
      </c>
      <c r="P23" s="236" t="str">
        <f t="shared" ref="P23:X23" si="46">#REF!</f>
        <v>#REF!</v>
      </c>
      <c r="Q23" s="236" t="str">
        <f t="shared" si="46"/>
        <v>#REF!</v>
      </c>
      <c r="R23" s="236" t="str">
        <f t="shared" si="46"/>
        <v>#REF!</v>
      </c>
      <c r="S23" s="236" t="str">
        <f t="shared" si="46"/>
        <v>#REF!</v>
      </c>
      <c r="T23" s="236" t="str">
        <f t="shared" si="46"/>
        <v>#REF!</v>
      </c>
      <c r="U23" s="236" t="str">
        <f t="shared" si="46"/>
        <v>#REF!</v>
      </c>
      <c r="V23" s="236" t="str">
        <f t="shared" si="46"/>
        <v>#REF!</v>
      </c>
      <c r="W23" s="236" t="str">
        <f t="shared" si="46"/>
        <v>#REF!</v>
      </c>
      <c r="X23" s="236" t="str">
        <f t="shared" si="46"/>
        <v>#REF!</v>
      </c>
    </row>
    <row r="24">
      <c r="A24" s="236" t="str">
        <f t="shared" ref="A24:O24" si="47">'Municipality Case Trends'!A28</f>
        <v>#REF!</v>
      </c>
      <c r="B24" s="236" t="str">
        <f t="shared" si="47"/>
        <v>#REF!</v>
      </c>
      <c r="C24" s="236" t="str">
        <f t="shared" si="47"/>
        <v>#REF!</v>
      </c>
      <c r="D24" s="236" t="str">
        <f t="shared" si="47"/>
        <v>#REF!</v>
      </c>
      <c r="E24" s="236" t="str">
        <f t="shared" si="47"/>
        <v>#REF!</v>
      </c>
      <c r="F24" s="236" t="str">
        <f t="shared" si="47"/>
        <v>#REF!</v>
      </c>
      <c r="G24" s="236" t="str">
        <f t="shared" si="47"/>
        <v>#REF!</v>
      </c>
      <c r="H24" s="236" t="str">
        <f t="shared" si="47"/>
        <v>#REF!</v>
      </c>
      <c r="I24" s="236" t="str">
        <f t="shared" si="47"/>
        <v>#REF!</v>
      </c>
      <c r="J24" s="236" t="str">
        <f t="shared" si="47"/>
        <v>#REF!</v>
      </c>
      <c r="K24" s="236" t="str">
        <f t="shared" si="47"/>
        <v>#REF!</v>
      </c>
      <c r="L24" s="236" t="str">
        <f t="shared" si="47"/>
        <v>#REF!</v>
      </c>
      <c r="M24" s="236" t="str">
        <f t="shared" si="47"/>
        <v>#REF!</v>
      </c>
      <c r="N24" s="236" t="str">
        <f t="shared" si="47"/>
        <v>#REF!</v>
      </c>
      <c r="O24" s="236" t="str">
        <f t="shared" si="47"/>
        <v>#REF!</v>
      </c>
      <c r="P24" s="236" t="str">
        <f t="shared" ref="P24:X24" si="48">#REF!</f>
        <v>#REF!</v>
      </c>
      <c r="Q24" s="236" t="str">
        <f t="shared" si="48"/>
        <v>#REF!</v>
      </c>
      <c r="R24" s="236" t="str">
        <f t="shared" si="48"/>
        <v>#REF!</v>
      </c>
      <c r="S24" s="236" t="str">
        <f t="shared" si="48"/>
        <v>#REF!</v>
      </c>
      <c r="T24" s="236" t="str">
        <f t="shared" si="48"/>
        <v>#REF!</v>
      </c>
      <c r="U24" s="236" t="str">
        <f t="shared" si="48"/>
        <v>#REF!</v>
      </c>
      <c r="V24" s="236" t="str">
        <f t="shared" si="48"/>
        <v>#REF!</v>
      </c>
      <c r="W24" s="236" t="str">
        <f t="shared" si="48"/>
        <v>#REF!</v>
      </c>
      <c r="X24" s="236" t="str">
        <f t="shared" si="48"/>
        <v>#REF!</v>
      </c>
    </row>
    <row r="25">
      <c r="A25" s="236" t="str">
        <f t="shared" ref="A25:O25" si="49">'Municipality Case Trends'!A29</f>
        <v>#REF!</v>
      </c>
      <c r="B25" s="236" t="str">
        <f t="shared" si="49"/>
        <v>#REF!</v>
      </c>
      <c r="C25" s="236" t="str">
        <f t="shared" si="49"/>
        <v>#REF!</v>
      </c>
      <c r="D25" s="236" t="str">
        <f t="shared" si="49"/>
        <v>#REF!</v>
      </c>
      <c r="E25" s="236" t="str">
        <f t="shared" si="49"/>
        <v>#REF!</v>
      </c>
      <c r="F25" s="236" t="str">
        <f t="shared" si="49"/>
        <v>#REF!</v>
      </c>
      <c r="G25" s="236" t="str">
        <f t="shared" si="49"/>
        <v>#REF!</v>
      </c>
      <c r="H25" s="236" t="str">
        <f t="shared" si="49"/>
        <v>#REF!</v>
      </c>
      <c r="I25" s="236" t="str">
        <f t="shared" si="49"/>
        <v>#REF!</v>
      </c>
      <c r="J25" s="236" t="str">
        <f t="shared" si="49"/>
        <v>#REF!</v>
      </c>
      <c r="K25" s="236" t="str">
        <f t="shared" si="49"/>
        <v>#REF!</v>
      </c>
      <c r="L25" s="236" t="str">
        <f t="shared" si="49"/>
        <v>#REF!</v>
      </c>
      <c r="M25" s="236" t="str">
        <f t="shared" si="49"/>
        <v>#REF!</v>
      </c>
      <c r="N25" s="236" t="str">
        <f t="shared" si="49"/>
        <v>#REF!</v>
      </c>
      <c r="O25" s="236" t="str">
        <f t="shared" si="49"/>
        <v>#REF!</v>
      </c>
      <c r="P25" s="236" t="str">
        <f t="shared" ref="P25:X25" si="50">#REF!</f>
        <v>#REF!</v>
      </c>
      <c r="Q25" s="236" t="str">
        <f t="shared" si="50"/>
        <v>#REF!</v>
      </c>
      <c r="R25" s="236" t="str">
        <f t="shared" si="50"/>
        <v>#REF!</v>
      </c>
      <c r="S25" s="236" t="str">
        <f t="shared" si="50"/>
        <v>#REF!</v>
      </c>
      <c r="T25" s="236" t="str">
        <f t="shared" si="50"/>
        <v>#REF!</v>
      </c>
      <c r="U25" s="236" t="str">
        <f t="shared" si="50"/>
        <v>#REF!</v>
      </c>
      <c r="V25" s="236" t="str">
        <f t="shared" si="50"/>
        <v>#REF!</v>
      </c>
      <c r="W25" s="236" t="str">
        <f t="shared" si="50"/>
        <v>#REF!</v>
      </c>
      <c r="X25" s="236" t="str">
        <f t="shared" si="50"/>
        <v>#REF!</v>
      </c>
    </row>
    <row r="26">
      <c r="A26" s="236" t="str">
        <f t="shared" ref="A26:O26" si="51">'Municipality Case Trends'!A30</f>
        <v>#REF!</v>
      </c>
      <c r="B26" s="236" t="str">
        <f t="shared" si="51"/>
        <v>#REF!</v>
      </c>
      <c r="C26" s="236" t="str">
        <f t="shared" si="51"/>
        <v>#REF!</v>
      </c>
      <c r="D26" s="236" t="str">
        <f t="shared" si="51"/>
        <v>#REF!</v>
      </c>
      <c r="E26" s="236" t="str">
        <f t="shared" si="51"/>
        <v>#REF!</v>
      </c>
      <c r="F26" s="236" t="str">
        <f t="shared" si="51"/>
        <v>#REF!</v>
      </c>
      <c r="G26" s="236" t="str">
        <f t="shared" si="51"/>
        <v>#REF!</v>
      </c>
      <c r="H26" s="236" t="str">
        <f t="shared" si="51"/>
        <v>#REF!</v>
      </c>
      <c r="I26" s="236" t="str">
        <f t="shared" si="51"/>
        <v>#REF!</v>
      </c>
      <c r="J26" s="236" t="str">
        <f t="shared" si="51"/>
        <v>#REF!</v>
      </c>
      <c r="K26" s="236" t="str">
        <f t="shared" si="51"/>
        <v>#REF!</v>
      </c>
      <c r="L26" s="236" t="str">
        <f t="shared" si="51"/>
        <v>#REF!</v>
      </c>
      <c r="M26" s="236" t="str">
        <f t="shared" si="51"/>
        <v>#REF!</v>
      </c>
      <c r="N26" s="236" t="str">
        <f t="shared" si="51"/>
        <v>#REF!</v>
      </c>
      <c r="O26" s="236" t="str">
        <f t="shared" si="51"/>
        <v>#REF!</v>
      </c>
      <c r="P26" s="236" t="str">
        <f t="shared" ref="P26:X26" si="52">#REF!</f>
        <v>#REF!</v>
      </c>
      <c r="Q26" s="236" t="str">
        <f t="shared" si="52"/>
        <v>#REF!</v>
      </c>
      <c r="R26" s="236" t="str">
        <f t="shared" si="52"/>
        <v>#REF!</v>
      </c>
      <c r="S26" s="236" t="str">
        <f t="shared" si="52"/>
        <v>#REF!</v>
      </c>
      <c r="T26" s="236" t="str">
        <f t="shared" si="52"/>
        <v>#REF!</v>
      </c>
      <c r="U26" s="236" t="str">
        <f t="shared" si="52"/>
        <v>#REF!</v>
      </c>
      <c r="V26" s="236" t="str">
        <f t="shared" si="52"/>
        <v>#REF!</v>
      </c>
      <c r="W26" s="236" t="str">
        <f t="shared" si="52"/>
        <v>#REF!</v>
      </c>
      <c r="X26" s="236" t="str">
        <f t="shared" si="52"/>
        <v>#REF!</v>
      </c>
    </row>
    <row r="27">
      <c r="A27" s="236" t="str">
        <f t="shared" ref="A27:O27" si="53">'Municipality Case Trends'!A31</f>
        <v>#REF!</v>
      </c>
      <c r="B27" s="236" t="str">
        <f t="shared" si="53"/>
        <v>#REF!</v>
      </c>
      <c r="C27" s="236" t="str">
        <f t="shared" si="53"/>
        <v>#REF!</v>
      </c>
      <c r="D27" s="236" t="str">
        <f t="shared" si="53"/>
        <v>#REF!</v>
      </c>
      <c r="E27" s="236" t="str">
        <f t="shared" si="53"/>
        <v>#REF!</v>
      </c>
      <c r="F27" s="236" t="str">
        <f t="shared" si="53"/>
        <v>#REF!</v>
      </c>
      <c r="G27" s="236" t="str">
        <f t="shared" si="53"/>
        <v>#REF!</v>
      </c>
      <c r="H27" s="236" t="str">
        <f t="shared" si="53"/>
        <v>#REF!</v>
      </c>
      <c r="I27" s="236" t="str">
        <f t="shared" si="53"/>
        <v>#REF!</v>
      </c>
      <c r="J27" s="236" t="str">
        <f t="shared" si="53"/>
        <v>#REF!</v>
      </c>
      <c r="K27" s="236" t="str">
        <f t="shared" si="53"/>
        <v>#REF!</v>
      </c>
      <c r="L27" s="236" t="str">
        <f t="shared" si="53"/>
        <v>#REF!</v>
      </c>
      <c r="M27" s="236" t="str">
        <f t="shared" si="53"/>
        <v>#REF!</v>
      </c>
      <c r="N27" s="236" t="str">
        <f t="shared" si="53"/>
        <v>#REF!</v>
      </c>
      <c r="O27" s="236" t="str">
        <f t="shared" si="53"/>
        <v>#REF!</v>
      </c>
      <c r="P27" s="236" t="str">
        <f t="shared" ref="P27:X27" si="54">#REF!</f>
        <v>#REF!</v>
      </c>
      <c r="Q27" s="236" t="str">
        <f t="shared" si="54"/>
        <v>#REF!</v>
      </c>
      <c r="R27" s="236" t="str">
        <f t="shared" si="54"/>
        <v>#REF!</v>
      </c>
      <c r="S27" s="236" t="str">
        <f t="shared" si="54"/>
        <v>#REF!</v>
      </c>
      <c r="T27" s="236" t="str">
        <f t="shared" si="54"/>
        <v>#REF!</v>
      </c>
      <c r="U27" s="236" t="str">
        <f t="shared" si="54"/>
        <v>#REF!</v>
      </c>
      <c r="V27" s="236" t="str">
        <f t="shared" si="54"/>
        <v>#REF!</v>
      </c>
      <c r="W27" s="236" t="str">
        <f t="shared" si="54"/>
        <v>#REF!</v>
      </c>
      <c r="X27" s="236" t="str">
        <f t="shared" si="54"/>
        <v>#REF!</v>
      </c>
    </row>
    <row r="28">
      <c r="A28" s="236" t="str">
        <f t="shared" ref="A28:O28" si="55">'Municipality Case Trends'!A32</f>
        <v>#REF!</v>
      </c>
      <c r="B28" s="236" t="str">
        <f t="shared" si="55"/>
        <v>#REF!</v>
      </c>
      <c r="C28" s="236" t="str">
        <f t="shared" si="55"/>
        <v>#REF!</v>
      </c>
      <c r="D28" s="236" t="str">
        <f t="shared" si="55"/>
        <v>#REF!</v>
      </c>
      <c r="E28" s="236" t="str">
        <f t="shared" si="55"/>
        <v>#REF!</v>
      </c>
      <c r="F28" s="236" t="str">
        <f t="shared" si="55"/>
        <v>#REF!</v>
      </c>
      <c r="G28" s="236" t="str">
        <f t="shared" si="55"/>
        <v>#REF!</v>
      </c>
      <c r="H28" s="236" t="str">
        <f t="shared" si="55"/>
        <v>#REF!</v>
      </c>
      <c r="I28" s="236" t="str">
        <f t="shared" si="55"/>
        <v>#REF!</v>
      </c>
      <c r="J28" s="236" t="str">
        <f t="shared" si="55"/>
        <v>#REF!</v>
      </c>
      <c r="K28" s="236" t="str">
        <f t="shared" si="55"/>
        <v>#REF!</v>
      </c>
      <c r="L28" s="236" t="str">
        <f t="shared" si="55"/>
        <v>#REF!</v>
      </c>
      <c r="M28" s="236" t="str">
        <f t="shared" si="55"/>
        <v>#REF!</v>
      </c>
      <c r="N28" s="236" t="str">
        <f t="shared" si="55"/>
        <v>#REF!</v>
      </c>
      <c r="O28" s="236" t="str">
        <f t="shared" si="55"/>
        <v>#REF!</v>
      </c>
      <c r="P28" s="236" t="str">
        <f t="shared" ref="P28:X28" si="56">#REF!</f>
        <v>#REF!</v>
      </c>
      <c r="Q28" s="236" t="str">
        <f t="shared" si="56"/>
        <v>#REF!</v>
      </c>
      <c r="R28" s="236" t="str">
        <f t="shared" si="56"/>
        <v>#REF!</v>
      </c>
      <c r="S28" s="236" t="str">
        <f t="shared" si="56"/>
        <v>#REF!</v>
      </c>
      <c r="T28" s="236" t="str">
        <f t="shared" si="56"/>
        <v>#REF!</v>
      </c>
      <c r="U28" s="236" t="str">
        <f t="shared" si="56"/>
        <v>#REF!</v>
      </c>
      <c r="V28" s="236" t="str">
        <f t="shared" si="56"/>
        <v>#REF!</v>
      </c>
      <c r="W28" s="236" t="str">
        <f t="shared" si="56"/>
        <v>#REF!</v>
      </c>
      <c r="X28" s="236" t="str">
        <f t="shared" si="56"/>
        <v>#REF!</v>
      </c>
    </row>
    <row r="29">
      <c r="A29" s="236" t="str">
        <f t="shared" ref="A29:O29" si="57">'Municipality Case Trends'!A33</f>
        <v>#REF!</v>
      </c>
      <c r="B29" s="236" t="str">
        <f t="shared" si="57"/>
        <v>#REF!</v>
      </c>
      <c r="C29" s="236" t="str">
        <f t="shared" si="57"/>
        <v>#REF!</v>
      </c>
      <c r="D29" s="236" t="str">
        <f t="shared" si="57"/>
        <v>#REF!</v>
      </c>
      <c r="E29" s="236" t="str">
        <f t="shared" si="57"/>
        <v>#REF!</v>
      </c>
      <c r="F29" s="236" t="str">
        <f t="shared" si="57"/>
        <v>#REF!</v>
      </c>
      <c r="G29" s="236" t="str">
        <f t="shared" si="57"/>
        <v>#REF!</v>
      </c>
      <c r="H29" s="236" t="str">
        <f t="shared" si="57"/>
        <v>#REF!</v>
      </c>
      <c r="I29" s="236" t="str">
        <f t="shared" si="57"/>
        <v>#REF!</v>
      </c>
      <c r="J29" s="236" t="str">
        <f t="shared" si="57"/>
        <v>#REF!</v>
      </c>
      <c r="K29" s="236" t="str">
        <f t="shared" si="57"/>
        <v>#REF!</v>
      </c>
      <c r="L29" s="236" t="str">
        <f t="shared" si="57"/>
        <v>#REF!</v>
      </c>
      <c r="M29" s="236" t="str">
        <f t="shared" si="57"/>
        <v>#REF!</v>
      </c>
      <c r="N29" s="236" t="str">
        <f t="shared" si="57"/>
        <v>#REF!</v>
      </c>
      <c r="O29" s="236" t="str">
        <f t="shared" si="57"/>
        <v>#REF!</v>
      </c>
      <c r="P29" s="236" t="str">
        <f t="shared" ref="P29:X29" si="58">#REF!</f>
        <v>#REF!</v>
      </c>
      <c r="Q29" s="236" t="str">
        <f t="shared" si="58"/>
        <v>#REF!</v>
      </c>
      <c r="R29" s="236" t="str">
        <f t="shared" si="58"/>
        <v>#REF!</v>
      </c>
      <c r="S29" s="236" t="str">
        <f t="shared" si="58"/>
        <v>#REF!</v>
      </c>
      <c r="T29" s="236" t="str">
        <f t="shared" si="58"/>
        <v>#REF!</v>
      </c>
      <c r="U29" s="236" t="str">
        <f t="shared" si="58"/>
        <v>#REF!</v>
      </c>
      <c r="V29" s="236" t="str">
        <f t="shared" si="58"/>
        <v>#REF!</v>
      </c>
      <c r="W29" s="236" t="str">
        <f t="shared" si="58"/>
        <v>#REF!</v>
      </c>
      <c r="X29" s="236" t="str">
        <f t="shared" si="58"/>
        <v>#REF!</v>
      </c>
    </row>
    <row r="30">
      <c r="A30" s="236" t="str">
        <f t="shared" ref="A30:O30" si="59">'Municipality Case Trends'!A34</f>
        <v>#REF!</v>
      </c>
      <c r="B30" s="236" t="str">
        <f t="shared" si="59"/>
        <v>#REF!</v>
      </c>
      <c r="C30" s="236" t="str">
        <f t="shared" si="59"/>
        <v>#REF!</v>
      </c>
      <c r="D30" s="236" t="str">
        <f t="shared" si="59"/>
        <v>#REF!</v>
      </c>
      <c r="E30" s="236" t="str">
        <f t="shared" si="59"/>
        <v>#REF!</v>
      </c>
      <c r="F30" s="236" t="str">
        <f t="shared" si="59"/>
        <v>#REF!</v>
      </c>
      <c r="G30" s="236" t="str">
        <f t="shared" si="59"/>
        <v>#REF!</v>
      </c>
      <c r="H30" s="236" t="str">
        <f t="shared" si="59"/>
        <v>#REF!</v>
      </c>
      <c r="I30" s="236" t="str">
        <f t="shared" si="59"/>
        <v>#REF!</v>
      </c>
      <c r="J30" s="236" t="str">
        <f t="shared" si="59"/>
        <v>#REF!</v>
      </c>
      <c r="K30" s="236" t="str">
        <f t="shared" si="59"/>
        <v>#REF!</v>
      </c>
      <c r="L30" s="236" t="str">
        <f t="shared" si="59"/>
        <v>#REF!</v>
      </c>
      <c r="M30" s="236" t="str">
        <f t="shared" si="59"/>
        <v>#REF!</v>
      </c>
      <c r="N30" s="236" t="str">
        <f t="shared" si="59"/>
        <v>#REF!</v>
      </c>
      <c r="O30" s="236" t="str">
        <f t="shared" si="59"/>
        <v>#REF!</v>
      </c>
      <c r="P30" s="236" t="str">
        <f t="shared" ref="P30:X30" si="60">#REF!</f>
        <v>#REF!</v>
      </c>
      <c r="Q30" s="236" t="str">
        <f t="shared" si="60"/>
        <v>#REF!</v>
      </c>
      <c r="R30" s="236" t="str">
        <f t="shared" si="60"/>
        <v>#REF!</v>
      </c>
      <c r="S30" s="236" t="str">
        <f t="shared" si="60"/>
        <v>#REF!</v>
      </c>
      <c r="T30" s="236" t="str">
        <f t="shared" si="60"/>
        <v>#REF!</v>
      </c>
      <c r="U30" s="236" t="str">
        <f t="shared" si="60"/>
        <v>#REF!</v>
      </c>
      <c r="V30" s="236" t="str">
        <f t="shared" si="60"/>
        <v>#REF!</v>
      </c>
      <c r="W30" s="236" t="str">
        <f t="shared" si="60"/>
        <v>#REF!</v>
      </c>
      <c r="X30" s="236" t="str">
        <f t="shared" si="60"/>
        <v>#REF!</v>
      </c>
    </row>
    <row r="31">
      <c r="A31" s="236" t="str">
        <f t="shared" ref="A31:O31" si="61">'Municipality Case Trends'!A35</f>
        <v>#REF!</v>
      </c>
      <c r="B31" s="236" t="str">
        <f t="shared" si="61"/>
        <v>#REF!</v>
      </c>
      <c r="C31" s="236" t="str">
        <f t="shared" si="61"/>
        <v>#REF!</v>
      </c>
      <c r="D31" s="236" t="str">
        <f t="shared" si="61"/>
        <v>#REF!</v>
      </c>
      <c r="E31" s="236" t="str">
        <f t="shared" si="61"/>
        <v>#REF!</v>
      </c>
      <c r="F31" s="236" t="str">
        <f t="shared" si="61"/>
        <v>#REF!</v>
      </c>
      <c r="G31" s="236" t="str">
        <f t="shared" si="61"/>
        <v>#REF!</v>
      </c>
      <c r="H31" s="236" t="str">
        <f t="shared" si="61"/>
        <v>#REF!</v>
      </c>
      <c r="I31" s="236" t="str">
        <f t="shared" si="61"/>
        <v>#REF!</v>
      </c>
      <c r="J31" s="236" t="str">
        <f t="shared" si="61"/>
        <v>#REF!</v>
      </c>
      <c r="K31" s="236" t="str">
        <f t="shared" si="61"/>
        <v>#REF!</v>
      </c>
      <c r="L31" s="236" t="str">
        <f t="shared" si="61"/>
        <v>#REF!</v>
      </c>
      <c r="M31" s="236" t="str">
        <f t="shared" si="61"/>
        <v>#REF!</v>
      </c>
      <c r="N31" s="236" t="str">
        <f t="shared" si="61"/>
        <v>#REF!</v>
      </c>
      <c r="O31" s="236" t="str">
        <f t="shared" si="61"/>
        <v>#REF!</v>
      </c>
      <c r="P31" s="236" t="str">
        <f t="shared" ref="P31:X31" si="62">#REF!</f>
        <v>#REF!</v>
      </c>
      <c r="Q31" s="236" t="str">
        <f t="shared" si="62"/>
        <v>#REF!</v>
      </c>
      <c r="R31" s="236" t="str">
        <f t="shared" si="62"/>
        <v>#REF!</v>
      </c>
      <c r="S31" s="236" t="str">
        <f t="shared" si="62"/>
        <v>#REF!</v>
      </c>
      <c r="T31" s="236" t="str">
        <f t="shared" si="62"/>
        <v>#REF!</v>
      </c>
      <c r="U31" s="236" t="str">
        <f t="shared" si="62"/>
        <v>#REF!</v>
      </c>
      <c r="V31" s="236" t="str">
        <f t="shared" si="62"/>
        <v>#REF!</v>
      </c>
      <c r="W31" s="236" t="str">
        <f t="shared" si="62"/>
        <v>#REF!</v>
      </c>
      <c r="X31" s="236" t="str">
        <f t="shared" si="62"/>
        <v>#REF!</v>
      </c>
    </row>
    <row r="32">
      <c r="A32" s="236" t="str">
        <f t="shared" ref="A32:O32" si="63">'Municipality Case Trends'!A36</f>
        <v>#REF!</v>
      </c>
      <c r="B32" s="236" t="str">
        <f t="shared" si="63"/>
        <v>#REF!</v>
      </c>
      <c r="C32" s="236" t="str">
        <f t="shared" si="63"/>
        <v>#REF!</v>
      </c>
      <c r="D32" s="236" t="str">
        <f t="shared" si="63"/>
        <v>#REF!</v>
      </c>
      <c r="E32" s="236" t="str">
        <f t="shared" si="63"/>
        <v>#REF!</v>
      </c>
      <c r="F32" s="236" t="str">
        <f t="shared" si="63"/>
        <v>#REF!</v>
      </c>
      <c r="G32" s="236" t="str">
        <f t="shared" si="63"/>
        <v>#REF!</v>
      </c>
      <c r="H32" s="236" t="str">
        <f t="shared" si="63"/>
        <v>#REF!</v>
      </c>
      <c r="I32" s="236" t="str">
        <f t="shared" si="63"/>
        <v>#REF!</v>
      </c>
      <c r="J32" s="236" t="str">
        <f t="shared" si="63"/>
        <v>#REF!</v>
      </c>
      <c r="K32" s="236" t="str">
        <f t="shared" si="63"/>
        <v>#REF!</v>
      </c>
      <c r="L32" s="236" t="str">
        <f t="shared" si="63"/>
        <v>#REF!</v>
      </c>
      <c r="M32" s="236" t="str">
        <f t="shared" si="63"/>
        <v>#REF!</v>
      </c>
      <c r="N32" s="236" t="str">
        <f t="shared" si="63"/>
        <v>#REF!</v>
      </c>
      <c r="O32" s="236" t="str">
        <f t="shared" si="63"/>
        <v>#REF!</v>
      </c>
      <c r="P32" s="236" t="str">
        <f t="shared" ref="P32:X32" si="64">#REF!</f>
        <v>#REF!</v>
      </c>
      <c r="Q32" s="236" t="str">
        <f t="shared" si="64"/>
        <v>#REF!</v>
      </c>
      <c r="R32" s="236" t="str">
        <f t="shared" si="64"/>
        <v>#REF!</v>
      </c>
      <c r="S32" s="236" t="str">
        <f t="shared" si="64"/>
        <v>#REF!</v>
      </c>
      <c r="T32" s="236" t="str">
        <f t="shared" si="64"/>
        <v>#REF!</v>
      </c>
      <c r="U32" s="236" t="str">
        <f t="shared" si="64"/>
        <v>#REF!</v>
      </c>
      <c r="V32" s="236" t="str">
        <f t="shared" si="64"/>
        <v>#REF!</v>
      </c>
      <c r="W32" s="236" t="str">
        <f t="shared" si="64"/>
        <v>#REF!</v>
      </c>
      <c r="X32" s="236" t="str">
        <f t="shared" si="64"/>
        <v>#REF!</v>
      </c>
    </row>
    <row r="33">
      <c r="A33" s="236" t="str">
        <f t="shared" ref="A33:O33" si="65">'Municipality Case Trends'!A37</f>
        <v>#REF!</v>
      </c>
      <c r="B33" s="236" t="str">
        <f t="shared" si="65"/>
        <v>#REF!</v>
      </c>
      <c r="C33" s="236" t="str">
        <f t="shared" si="65"/>
        <v>#REF!</v>
      </c>
      <c r="D33" s="236" t="str">
        <f t="shared" si="65"/>
        <v>#REF!</v>
      </c>
      <c r="E33" s="236" t="str">
        <f t="shared" si="65"/>
        <v>#REF!</v>
      </c>
      <c r="F33" s="236" t="str">
        <f t="shared" si="65"/>
        <v>#REF!</v>
      </c>
      <c r="G33" s="236" t="str">
        <f t="shared" si="65"/>
        <v>#REF!</v>
      </c>
      <c r="H33" s="236" t="str">
        <f t="shared" si="65"/>
        <v>#REF!</v>
      </c>
      <c r="I33" s="236" t="str">
        <f t="shared" si="65"/>
        <v>#REF!</v>
      </c>
      <c r="J33" s="236" t="str">
        <f t="shared" si="65"/>
        <v>#REF!</v>
      </c>
      <c r="K33" s="236" t="str">
        <f t="shared" si="65"/>
        <v>#REF!</v>
      </c>
      <c r="L33" s="236" t="str">
        <f t="shared" si="65"/>
        <v>#REF!</v>
      </c>
      <c r="M33" s="236" t="str">
        <f t="shared" si="65"/>
        <v>#REF!</v>
      </c>
      <c r="N33" s="236" t="str">
        <f t="shared" si="65"/>
        <v>#REF!</v>
      </c>
      <c r="O33" s="236" t="str">
        <f t="shared" si="65"/>
        <v>#REF!</v>
      </c>
      <c r="P33" s="236" t="str">
        <f t="shared" ref="P33:X33" si="66">#REF!</f>
        <v>#REF!</v>
      </c>
      <c r="Q33" s="236" t="str">
        <f t="shared" si="66"/>
        <v>#REF!</v>
      </c>
      <c r="R33" s="236" t="str">
        <f t="shared" si="66"/>
        <v>#REF!</v>
      </c>
      <c r="S33" s="236" t="str">
        <f t="shared" si="66"/>
        <v>#REF!</v>
      </c>
      <c r="T33" s="236" t="str">
        <f t="shared" si="66"/>
        <v>#REF!</v>
      </c>
      <c r="U33" s="236" t="str">
        <f t="shared" si="66"/>
        <v>#REF!</v>
      </c>
      <c r="V33" s="236" t="str">
        <f t="shared" si="66"/>
        <v>#REF!</v>
      </c>
      <c r="W33" s="236" t="str">
        <f t="shared" si="66"/>
        <v>#REF!</v>
      </c>
      <c r="X33" s="236" t="str">
        <f t="shared" si="66"/>
        <v>#REF!</v>
      </c>
    </row>
    <row r="34">
      <c r="A34" s="236" t="str">
        <f t="shared" ref="A34:O34" si="67">'Municipality Case Trends'!A38</f>
        <v>#REF!</v>
      </c>
      <c r="B34" s="236" t="str">
        <f t="shared" si="67"/>
        <v>#REF!</v>
      </c>
      <c r="C34" s="236" t="str">
        <f t="shared" si="67"/>
        <v>#REF!</v>
      </c>
      <c r="D34" s="236" t="str">
        <f t="shared" si="67"/>
        <v>#REF!</v>
      </c>
      <c r="E34" s="236" t="str">
        <f t="shared" si="67"/>
        <v>#REF!</v>
      </c>
      <c r="F34" s="236" t="str">
        <f t="shared" si="67"/>
        <v>#REF!</v>
      </c>
      <c r="G34" s="236" t="str">
        <f t="shared" si="67"/>
        <v>#REF!</v>
      </c>
      <c r="H34" s="236" t="str">
        <f t="shared" si="67"/>
        <v>#REF!</v>
      </c>
      <c r="I34" s="236" t="str">
        <f t="shared" si="67"/>
        <v>#REF!</v>
      </c>
      <c r="J34" s="236" t="str">
        <f t="shared" si="67"/>
        <v>#REF!</v>
      </c>
      <c r="K34" s="236" t="str">
        <f t="shared" si="67"/>
        <v>#REF!</v>
      </c>
      <c r="L34" s="236" t="str">
        <f t="shared" si="67"/>
        <v>#REF!</v>
      </c>
      <c r="M34" s="236" t="str">
        <f t="shared" si="67"/>
        <v>#REF!</v>
      </c>
      <c r="N34" s="236" t="str">
        <f t="shared" si="67"/>
        <v>#REF!</v>
      </c>
      <c r="O34" s="236" t="str">
        <f t="shared" si="67"/>
        <v>#REF!</v>
      </c>
      <c r="P34" s="236" t="str">
        <f t="shared" ref="P34:X34" si="68">#REF!</f>
        <v>#REF!</v>
      </c>
      <c r="Q34" s="236" t="str">
        <f t="shared" si="68"/>
        <v>#REF!</v>
      </c>
      <c r="R34" s="236" t="str">
        <f t="shared" si="68"/>
        <v>#REF!</v>
      </c>
      <c r="S34" s="236" t="str">
        <f t="shared" si="68"/>
        <v>#REF!</v>
      </c>
      <c r="T34" s="236" t="str">
        <f t="shared" si="68"/>
        <v>#REF!</v>
      </c>
      <c r="U34" s="236" t="str">
        <f t="shared" si="68"/>
        <v>#REF!</v>
      </c>
      <c r="V34" s="236" t="str">
        <f t="shared" si="68"/>
        <v>#REF!</v>
      </c>
      <c r="W34" s="236" t="str">
        <f t="shared" si="68"/>
        <v>#REF!</v>
      </c>
      <c r="X34" s="236" t="str">
        <f t="shared" si="68"/>
        <v>#REF!</v>
      </c>
    </row>
    <row r="35">
      <c r="A35" s="236" t="str">
        <f t="shared" ref="A35:O35" si="69">'Municipality Case Trends'!A39</f>
        <v>#REF!</v>
      </c>
      <c r="B35" s="236" t="str">
        <f t="shared" si="69"/>
        <v>#REF!</v>
      </c>
      <c r="C35" s="236" t="str">
        <f t="shared" si="69"/>
        <v>#REF!</v>
      </c>
      <c r="D35" s="236" t="str">
        <f t="shared" si="69"/>
        <v>#REF!</v>
      </c>
      <c r="E35" s="236" t="str">
        <f t="shared" si="69"/>
        <v>#REF!</v>
      </c>
      <c r="F35" s="236" t="str">
        <f t="shared" si="69"/>
        <v>#REF!</v>
      </c>
      <c r="G35" s="236" t="str">
        <f t="shared" si="69"/>
        <v>#REF!</v>
      </c>
      <c r="H35" s="236" t="str">
        <f t="shared" si="69"/>
        <v>#REF!</v>
      </c>
      <c r="I35" s="236" t="str">
        <f t="shared" si="69"/>
        <v>#REF!</v>
      </c>
      <c r="J35" s="236" t="str">
        <f t="shared" si="69"/>
        <v>#REF!</v>
      </c>
      <c r="K35" s="236" t="str">
        <f t="shared" si="69"/>
        <v>#REF!</v>
      </c>
      <c r="L35" s="236" t="str">
        <f t="shared" si="69"/>
        <v>#REF!</v>
      </c>
      <c r="M35" s="236" t="str">
        <f t="shared" si="69"/>
        <v>#REF!</v>
      </c>
      <c r="N35" s="236" t="str">
        <f t="shared" si="69"/>
        <v>#REF!</v>
      </c>
      <c r="O35" s="236" t="str">
        <f t="shared" si="69"/>
        <v>#REF!</v>
      </c>
      <c r="P35" s="236" t="str">
        <f t="shared" ref="P35:X35" si="70">#REF!</f>
        <v>#REF!</v>
      </c>
      <c r="Q35" s="236" t="str">
        <f t="shared" si="70"/>
        <v>#REF!</v>
      </c>
      <c r="R35" s="236" t="str">
        <f t="shared" si="70"/>
        <v>#REF!</v>
      </c>
      <c r="S35" s="236" t="str">
        <f t="shared" si="70"/>
        <v>#REF!</v>
      </c>
      <c r="T35" s="236" t="str">
        <f t="shared" si="70"/>
        <v>#REF!</v>
      </c>
      <c r="U35" s="236" t="str">
        <f t="shared" si="70"/>
        <v>#REF!</v>
      </c>
      <c r="V35" s="236" t="str">
        <f t="shared" si="70"/>
        <v>#REF!</v>
      </c>
      <c r="W35" s="236" t="str">
        <f t="shared" si="70"/>
        <v>#REF!</v>
      </c>
      <c r="X35" s="236" t="str">
        <f t="shared" si="70"/>
        <v>#REF!</v>
      </c>
    </row>
    <row r="36">
      <c r="A36" s="236" t="str">
        <f t="shared" ref="A36:O36" si="71">'Municipality Case Trends'!A40</f>
        <v>#REF!</v>
      </c>
      <c r="B36" s="236" t="str">
        <f t="shared" si="71"/>
        <v>#REF!</v>
      </c>
      <c r="C36" s="236" t="str">
        <f t="shared" si="71"/>
        <v>#REF!</v>
      </c>
      <c r="D36" s="236" t="str">
        <f t="shared" si="71"/>
        <v>#REF!</v>
      </c>
      <c r="E36" s="236" t="str">
        <f t="shared" si="71"/>
        <v>#REF!</v>
      </c>
      <c r="F36" s="236" t="str">
        <f t="shared" si="71"/>
        <v>#REF!</v>
      </c>
      <c r="G36" s="236" t="str">
        <f t="shared" si="71"/>
        <v>#REF!</v>
      </c>
      <c r="H36" s="236" t="str">
        <f t="shared" si="71"/>
        <v>#REF!</v>
      </c>
      <c r="I36" s="236" t="str">
        <f t="shared" si="71"/>
        <v>#REF!</v>
      </c>
      <c r="J36" s="236" t="str">
        <f t="shared" si="71"/>
        <v>#REF!</v>
      </c>
      <c r="K36" s="236" t="str">
        <f t="shared" si="71"/>
        <v>#REF!</v>
      </c>
      <c r="L36" s="236" t="str">
        <f t="shared" si="71"/>
        <v>#REF!</v>
      </c>
      <c r="M36" s="236" t="str">
        <f t="shared" si="71"/>
        <v>#REF!</v>
      </c>
      <c r="N36" s="236" t="str">
        <f t="shared" si="71"/>
        <v>#REF!</v>
      </c>
      <c r="O36" s="236" t="str">
        <f t="shared" si="71"/>
        <v>#REF!</v>
      </c>
      <c r="P36" s="236" t="str">
        <f t="shared" ref="P36:X36" si="72">#REF!</f>
        <v>#REF!</v>
      </c>
      <c r="Q36" s="236" t="str">
        <f t="shared" si="72"/>
        <v>#REF!</v>
      </c>
      <c r="R36" s="236" t="str">
        <f t="shared" si="72"/>
        <v>#REF!</v>
      </c>
      <c r="S36" s="236" t="str">
        <f t="shared" si="72"/>
        <v>#REF!</v>
      </c>
      <c r="T36" s="236" t="str">
        <f t="shared" si="72"/>
        <v>#REF!</v>
      </c>
      <c r="U36" s="236" t="str">
        <f t="shared" si="72"/>
        <v>#REF!</v>
      </c>
      <c r="V36" s="236" t="str">
        <f t="shared" si="72"/>
        <v>#REF!</v>
      </c>
      <c r="W36" s="236" t="str">
        <f t="shared" si="72"/>
        <v>#REF!</v>
      </c>
      <c r="X36" s="236" t="str">
        <f t="shared" si="72"/>
        <v>#REF!</v>
      </c>
    </row>
    <row r="37">
      <c r="A37" s="236" t="str">
        <f t="shared" ref="A37:O37" si="73">'Municipality Case Trends'!A41</f>
        <v>#REF!</v>
      </c>
      <c r="B37" s="236" t="str">
        <f t="shared" si="73"/>
        <v>#REF!</v>
      </c>
      <c r="C37" s="236" t="str">
        <f t="shared" si="73"/>
        <v>#REF!</v>
      </c>
      <c r="D37" s="236" t="str">
        <f t="shared" si="73"/>
        <v>#REF!</v>
      </c>
      <c r="E37" s="236" t="str">
        <f t="shared" si="73"/>
        <v>#REF!</v>
      </c>
      <c r="F37" s="236" t="str">
        <f t="shared" si="73"/>
        <v>#REF!</v>
      </c>
      <c r="G37" s="236" t="str">
        <f t="shared" si="73"/>
        <v>#REF!</v>
      </c>
      <c r="H37" s="236" t="str">
        <f t="shared" si="73"/>
        <v>#REF!</v>
      </c>
      <c r="I37" s="236" t="str">
        <f t="shared" si="73"/>
        <v>#REF!</v>
      </c>
      <c r="J37" s="236" t="str">
        <f t="shared" si="73"/>
        <v>#REF!</v>
      </c>
      <c r="K37" s="236" t="str">
        <f t="shared" si="73"/>
        <v>#REF!</v>
      </c>
      <c r="L37" s="236" t="str">
        <f t="shared" si="73"/>
        <v>#REF!</v>
      </c>
      <c r="M37" s="236" t="str">
        <f t="shared" si="73"/>
        <v>#REF!</v>
      </c>
      <c r="N37" s="236" t="str">
        <f t="shared" si="73"/>
        <v>#REF!</v>
      </c>
      <c r="O37" s="236" t="str">
        <f t="shared" si="73"/>
        <v>#REF!</v>
      </c>
      <c r="P37" s="236" t="str">
        <f t="shared" ref="P37:X37" si="74">#REF!</f>
        <v>#REF!</v>
      </c>
      <c r="Q37" s="236" t="str">
        <f t="shared" si="74"/>
        <v>#REF!</v>
      </c>
      <c r="R37" s="236" t="str">
        <f t="shared" si="74"/>
        <v>#REF!</v>
      </c>
      <c r="S37" s="236" t="str">
        <f t="shared" si="74"/>
        <v>#REF!</v>
      </c>
      <c r="T37" s="236" t="str">
        <f t="shared" si="74"/>
        <v>#REF!</v>
      </c>
      <c r="U37" s="236" t="str">
        <f t="shared" si="74"/>
        <v>#REF!</v>
      </c>
      <c r="V37" s="236" t="str">
        <f t="shared" si="74"/>
        <v>#REF!</v>
      </c>
      <c r="W37" s="236" t="str">
        <f t="shared" si="74"/>
        <v>#REF!</v>
      </c>
      <c r="X37" s="236" t="str">
        <f t="shared" si="74"/>
        <v>#REF!</v>
      </c>
    </row>
    <row r="38">
      <c r="A38" s="236" t="str">
        <f t="shared" ref="A38:O38" si="75">'Municipality Case Trends'!A42</f>
        <v>#REF!</v>
      </c>
      <c r="B38" s="236" t="str">
        <f t="shared" si="75"/>
        <v>#REF!</v>
      </c>
      <c r="C38" s="236" t="str">
        <f t="shared" si="75"/>
        <v>#REF!</v>
      </c>
      <c r="D38" s="236" t="str">
        <f t="shared" si="75"/>
        <v>#REF!</v>
      </c>
      <c r="E38" s="236" t="str">
        <f t="shared" si="75"/>
        <v>#REF!</v>
      </c>
      <c r="F38" s="236" t="str">
        <f t="shared" si="75"/>
        <v>#REF!</v>
      </c>
      <c r="G38" s="236" t="str">
        <f t="shared" si="75"/>
        <v>#REF!</v>
      </c>
      <c r="H38" s="236" t="str">
        <f t="shared" si="75"/>
        <v>#REF!</v>
      </c>
      <c r="I38" s="236" t="str">
        <f t="shared" si="75"/>
        <v>#REF!</v>
      </c>
      <c r="J38" s="236" t="str">
        <f t="shared" si="75"/>
        <v>#REF!</v>
      </c>
      <c r="K38" s="236" t="str">
        <f t="shared" si="75"/>
        <v>#REF!</v>
      </c>
      <c r="L38" s="236" t="str">
        <f t="shared" si="75"/>
        <v>#REF!</v>
      </c>
      <c r="M38" s="236" t="str">
        <f t="shared" si="75"/>
        <v>#REF!</v>
      </c>
      <c r="N38" s="236" t="str">
        <f t="shared" si="75"/>
        <v>#REF!</v>
      </c>
      <c r="O38" s="236" t="str">
        <f t="shared" si="75"/>
        <v>#REF!</v>
      </c>
      <c r="P38" s="236" t="str">
        <f t="shared" ref="P38:X38" si="76">#REF!</f>
        <v>#REF!</v>
      </c>
      <c r="Q38" s="236" t="str">
        <f t="shared" si="76"/>
        <v>#REF!</v>
      </c>
      <c r="R38" s="236" t="str">
        <f t="shared" si="76"/>
        <v>#REF!</v>
      </c>
      <c r="S38" s="236" t="str">
        <f t="shared" si="76"/>
        <v>#REF!</v>
      </c>
      <c r="T38" s="236" t="str">
        <f t="shared" si="76"/>
        <v>#REF!</v>
      </c>
      <c r="U38" s="236" t="str">
        <f t="shared" si="76"/>
        <v>#REF!</v>
      </c>
      <c r="V38" s="236" t="str">
        <f t="shared" si="76"/>
        <v>#REF!</v>
      </c>
      <c r="W38" s="236" t="str">
        <f t="shared" si="76"/>
        <v>#REF!</v>
      </c>
      <c r="X38" s="236" t="str">
        <f t="shared" si="76"/>
        <v>#REF!</v>
      </c>
    </row>
    <row r="39">
      <c r="A39" s="236" t="str">
        <f t="shared" ref="A39:O39" si="77">'Municipality Case Trends'!A43</f>
        <v>#REF!</v>
      </c>
      <c r="B39" s="236" t="str">
        <f t="shared" si="77"/>
        <v>#REF!</v>
      </c>
      <c r="C39" s="236" t="str">
        <f t="shared" si="77"/>
        <v>#REF!</v>
      </c>
      <c r="D39" s="236" t="str">
        <f t="shared" si="77"/>
        <v>#REF!</v>
      </c>
      <c r="E39" s="236" t="str">
        <f t="shared" si="77"/>
        <v>#REF!</v>
      </c>
      <c r="F39" s="236" t="str">
        <f t="shared" si="77"/>
        <v>#REF!</v>
      </c>
      <c r="G39" s="236" t="str">
        <f t="shared" si="77"/>
        <v>#REF!</v>
      </c>
      <c r="H39" s="236" t="str">
        <f t="shared" si="77"/>
        <v>#REF!</v>
      </c>
      <c r="I39" s="236" t="str">
        <f t="shared" si="77"/>
        <v>#REF!</v>
      </c>
      <c r="J39" s="236" t="str">
        <f t="shared" si="77"/>
        <v>#REF!</v>
      </c>
      <c r="K39" s="236" t="str">
        <f t="shared" si="77"/>
        <v>#REF!</v>
      </c>
      <c r="L39" s="236" t="str">
        <f t="shared" si="77"/>
        <v>#REF!</v>
      </c>
      <c r="M39" s="236" t="str">
        <f t="shared" si="77"/>
        <v>#REF!</v>
      </c>
      <c r="N39" s="236" t="str">
        <f t="shared" si="77"/>
        <v>#REF!</v>
      </c>
      <c r="O39" s="236" t="str">
        <f t="shared" si="77"/>
        <v>#REF!</v>
      </c>
      <c r="P39" s="236" t="str">
        <f t="shared" ref="P39:X39" si="78">#REF!</f>
        <v>#REF!</v>
      </c>
      <c r="Q39" s="236" t="str">
        <f t="shared" si="78"/>
        <v>#REF!</v>
      </c>
      <c r="R39" s="236" t="str">
        <f t="shared" si="78"/>
        <v>#REF!</v>
      </c>
      <c r="S39" s="236" t="str">
        <f t="shared" si="78"/>
        <v>#REF!</v>
      </c>
      <c r="T39" s="236" t="str">
        <f t="shared" si="78"/>
        <v>#REF!</v>
      </c>
      <c r="U39" s="236" t="str">
        <f t="shared" si="78"/>
        <v>#REF!</v>
      </c>
      <c r="V39" s="236" t="str">
        <f t="shared" si="78"/>
        <v>#REF!</v>
      </c>
      <c r="W39" s="236" t="str">
        <f t="shared" si="78"/>
        <v>#REF!</v>
      </c>
      <c r="X39" s="236" t="str">
        <f t="shared" si="78"/>
        <v>#REF!</v>
      </c>
    </row>
    <row r="40">
      <c r="A40" s="236" t="str">
        <f t="shared" ref="A40:O40" si="79">'Municipality Case Trends'!A44</f>
        <v>#REF!</v>
      </c>
      <c r="B40" s="236" t="str">
        <f t="shared" si="79"/>
        <v>#REF!</v>
      </c>
      <c r="C40" s="236" t="str">
        <f t="shared" si="79"/>
        <v>#REF!</v>
      </c>
      <c r="D40" s="236" t="str">
        <f t="shared" si="79"/>
        <v>#REF!</v>
      </c>
      <c r="E40" s="236" t="str">
        <f t="shared" si="79"/>
        <v>#REF!</v>
      </c>
      <c r="F40" s="236" t="str">
        <f t="shared" si="79"/>
        <v>#REF!</v>
      </c>
      <c r="G40" s="236" t="str">
        <f t="shared" si="79"/>
        <v>#REF!</v>
      </c>
      <c r="H40" s="236" t="str">
        <f t="shared" si="79"/>
        <v>#REF!</v>
      </c>
      <c r="I40" s="236" t="str">
        <f t="shared" si="79"/>
        <v>#REF!</v>
      </c>
      <c r="J40" s="236" t="str">
        <f t="shared" si="79"/>
        <v>#REF!</v>
      </c>
      <c r="K40" s="236" t="str">
        <f t="shared" si="79"/>
        <v>#REF!</v>
      </c>
      <c r="L40" s="236" t="str">
        <f t="shared" si="79"/>
        <v>#REF!</v>
      </c>
      <c r="M40" s="236" t="str">
        <f t="shared" si="79"/>
        <v>#REF!</v>
      </c>
      <c r="N40" s="236" t="str">
        <f t="shared" si="79"/>
        <v>#REF!</v>
      </c>
      <c r="O40" s="236" t="str">
        <f t="shared" si="79"/>
        <v>#REF!</v>
      </c>
      <c r="P40" s="236" t="str">
        <f t="shared" ref="P40:X40" si="80">#REF!</f>
        <v>#REF!</v>
      </c>
      <c r="Q40" s="236" t="str">
        <f t="shared" si="80"/>
        <v>#REF!</v>
      </c>
      <c r="R40" s="236" t="str">
        <f t="shared" si="80"/>
        <v>#REF!</v>
      </c>
      <c r="S40" s="236" t="str">
        <f t="shared" si="80"/>
        <v>#REF!</v>
      </c>
      <c r="T40" s="236" t="str">
        <f t="shared" si="80"/>
        <v>#REF!</v>
      </c>
      <c r="U40" s="236" t="str">
        <f t="shared" si="80"/>
        <v>#REF!</v>
      </c>
      <c r="V40" s="236" t="str">
        <f t="shared" si="80"/>
        <v>#REF!</v>
      </c>
      <c r="W40" s="236" t="str">
        <f t="shared" si="80"/>
        <v>#REF!</v>
      </c>
      <c r="X40" s="236" t="str">
        <f t="shared" si="80"/>
        <v>#REF!</v>
      </c>
    </row>
    <row r="41">
      <c r="A41" s="236" t="str">
        <f t="shared" ref="A41:O41" si="81">'Municipality Case Trends'!A45</f>
        <v>#REF!</v>
      </c>
      <c r="B41" s="236" t="str">
        <f t="shared" si="81"/>
        <v>#REF!</v>
      </c>
      <c r="C41" s="236" t="str">
        <f t="shared" si="81"/>
        <v>#REF!</v>
      </c>
      <c r="D41" s="236" t="str">
        <f t="shared" si="81"/>
        <v>#REF!</v>
      </c>
      <c r="E41" s="236" t="str">
        <f t="shared" si="81"/>
        <v>#REF!</v>
      </c>
      <c r="F41" s="236" t="str">
        <f t="shared" si="81"/>
        <v>#REF!</v>
      </c>
      <c r="G41" s="236" t="str">
        <f t="shared" si="81"/>
        <v>#REF!</v>
      </c>
      <c r="H41" s="236" t="str">
        <f t="shared" si="81"/>
        <v>#REF!</v>
      </c>
      <c r="I41" s="236" t="str">
        <f t="shared" si="81"/>
        <v>#REF!</v>
      </c>
      <c r="J41" s="236" t="str">
        <f t="shared" si="81"/>
        <v>#REF!</v>
      </c>
      <c r="K41" s="236" t="str">
        <f t="shared" si="81"/>
        <v>#REF!</v>
      </c>
      <c r="L41" s="236" t="str">
        <f t="shared" si="81"/>
        <v>#REF!</v>
      </c>
      <c r="M41" s="236" t="str">
        <f t="shared" si="81"/>
        <v>#REF!</v>
      </c>
      <c r="N41" s="236" t="str">
        <f t="shared" si="81"/>
        <v>#REF!</v>
      </c>
      <c r="O41" s="236" t="str">
        <f t="shared" si="81"/>
        <v>#REF!</v>
      </c>
      <c r="P41" s="236" t="str">
        <f t="shared" ref="P41:X41" si="82">#REF!</f>
        <v>#REF!</v>
      </c>
      <c r="Q41" s="236" t="str">
        <f t="shared" si="82"/>
        <v>#REF!</v>
      </c>
      <c r="R41" s="236" t="str">
        <f t="shared" si="82"/>
        <v>#REF!</v>
      </c>
      <c r="S41" s="236" t="str">
        <f t="shared" si="82"/>
        <v>#REF!</v>
      </c>
      <c r="T41" s="236" t="str">
        <f t="shared" si="82"/>
        <v>#REF!</v>
      </c>
      <c r="U41" s="236" t="str">
        <f t="shared" si="82"/>
        <v>#REF!</v>
      </c>
      <c r="V41" s="236" t="str">
        <f t="shared" si="82"/>
        <v>#REF!</v>
      </c>
      <c r="W41" s="236" t="str">
        <f t="shared" si="82"/>
        <v>#REF!</v>
      </c>
      <c r="X41" s="236" t="str">
        <f t="shared" si="82"/>
        <v>#REF!</v>
      </c>
    </row>
    <row r="42">
      <c r="A42" s="236" t="str">
        <f t="shared" ref="A42:O42" si="83">'Municipality Case Trends'!A46</f>
        <v>#REF!</v>
      </c>
      <c r="B42" s="236" t="str">
        <f t="shared" si="83"/>
        <v>#REF!</v>
      </c>
      <c r="C42" s="236" t="str">
        <f t="shared" si="83"/>
        <v>#REF!</v>
      </c>
      <c r="D42" s="236" t="str">
        <f t="shared" si="83"/>
        <v>#REF!</v>
      </c>
      <c r="E42" s="236" t="str">
        <f t="shared" si="83"/>
        <v>#REF!</v>
      </c>
      <c r="F42" s="236" t="str">
        <f t="shared" si="83"/>
        <v>#REF!</v>
      </c>
      <c r="G42" s="236" t="str">
        <f t="shared" si="83"/>
        <v>#REF!</v>
      </c>
      <c r="H42" s="236" t="str">
        <f t="shared" si="83"/>
        <v>#REF!</v>
      </c>
      <c r="I42" s="236" t="str">
        <f t="shared" si="83"/>
        <v>#REF!</v>
      </c>
      <c r="J42" s="236" t="str">
        <f t="shared" si="83"/>
        <v>#REF!</v>
      </c>
      <c r="K42" s="236" t="str">
        <f t="shared" si="83"/>
        <v>#REF!</v>
      </c>
      <c r="L42" s="236" t="str">
        <f t="shared" si="83"/>
        <v>#REF!</v>
      </c>
      <c r="M42" s="236" t="str">
        <f t="shared" si="83"/>
        <v>#REF!</v>
      </c>
      <c r="N42" s="236" t="str">
        <f t="shared" si="83"/>
        <v>#REF!</v>
      </c>
      <c r="O42" s="236" t="str">
        <f t="shared" si="83"/>
        <v>#REF!</v>
      </c>
      <c r="P42" s="236" t="str">
        <f t="shared" ref="P42:X42" si="84">#REF!</f>
        <v>#REF!</v>
      </c>
      <c r="Q42" s="236" t="str">
        <f t="shared" si="84"/>
        <v>#REF!</v>
      </c>
      <c r="R42" s="236" t="str">
        <f t="shared" si="84"/>
        <v>#REF!</v>
      </c>
      <c r="S42" s="236" t="str">
        <f t="shared" si="84"/>
        <v>#REF!</v>
      </c>
      <c r="T42" s="236" t="str">
        <f t="shared" si="84"/>
        <v>#REF!</v>
      </c>
      <c r="U42" s="236" t="str">
        <f t="shared" si="84"/>
        <v>#REF!</v>
      </c>
      <c r="V42" s="236" t="str">
        <f t="shared" si="84"/>
        <v>#REF!</v>
      </c>
      <c r="W42" s="236" t="str">
        <f t="shared" si="84"/>
        <v>#REF!</v>
      </c>
      <c r="X42" s="236" t="str">
        <f t="shared" si="84"/>
        <v>#REF!</v>
      </c>
    </row>
    <row r="43">
      <c r="A43" s="236" t="str">
        <f>#REF!</f>
        <v>#REF!</v>
      </c>
    </row>
    <row r="44">
      <c r="A44" s="236" t="str">
        <f>'Municipality Case Trends'!A4</f>
        <v>#REF!</v>
      </c>
    </row>
    <row r="45">
      <c r="A45" s="236" t="str">
        <f t="shared" ref="A45:A57" si="85">#REF!</f>
        <v>#REF!</v>
      </c>
    </row>
    <row r="46">
      <c r="A46" s="236" t="str">
        <f t="shared" si="85"/>
        <v>#REF!</v>
      </c>
    </row>
    <row r="47">
      <c r="A47" s="236" t="str">
        <f t="shared" si="85"/>
        <v>#REF!</v>
      </c>
    </row>
    <row r="48">
      <c r="A48" s="236" t="str">
        <f t="shared" si="85"/>
        <v>#REF!</v>
      </c>
    </row>
    <row r="49">
      <c r="A49" s="236" t="str">
        <f t="shared" si="85"/>
        <v>#REF!</v>
      </c>
    </row>
    <row r="50">
      <c r="A50" s="236" t="str">
        <f t="shared" si="85"/>
        <v>#REF!</v>
      </c>
    </row>
    <row r="51">
      <c r="A51" s="236" t="str">
        <f t="shared" si="85"/>
        <v>#REF!</v>
      </c>
    </row>
    <row r="52">
      <c r="A52" s="236" t="str">
        <f t="shared" si="85"/>
        <v>#REF!</v>
      </c>
    </row>
    <row r="53">
      <c r="A53" s="236" t="str">
        <f t="shared" si="85"/>
        <v>#REF!</v>
      </c>
    </row>
    <row r="54">
      <c r="A54" s="236" t="str">
        <f t="shared" si="85"/>
        <v>#REF!</v>
      </c>
    </row>
    <row r="55">
      <c r="A55" s="236" t="str">
        <f t="shared" si="85"/>
        <v>#REF!</v>
      </c>
    </row>
    <row r="56">
      <c r="A56" s="236" t="str">
        <f t="shared" si="85"/>
        <v>#REF!</v>
      </c>
    </row>
    <row r="57">
      <c r="A57" s="236"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211977.0</v>
      </c>
      <c r="C3" s="42">
        <v>0.55</v>
      </c>
      <c r="D3" s="43">
        <v>17538.0</v>
      </c>
      <c r="E3" s="44">
        <v>0.54</v>
      </c>
      <c r="F3" s="45">
        <v>1642.0</v>
      </c>
      <c r="G3" s="42">
        <v>0.49</v>
      </c>
      <c r="H3" s="45">
        <v>638.0</v>
      </c>
      <c r="I3" s="46">
        <v>0.53</v>
      </c>
    </row>
    <row r="4" ht="14.25" customHeight="1">
      <c r="A4" s="40" t="s">
        <v>41</v>
      </c>
      <c r="B4" s="41">
        <v>172525.0</v>
      </c>
      <c r="C4" s="42">
        <v>0.45</v>
      </c>
      <c r="D4" s="43">
        <v>14780.0</v>
      </c>
      <c r="E4" s="44">
        <v>0.46</v>
      </c>
      <c r="F4" s="45">
        <v>1735.0</v>
      </c>
      <c r="G4" s="42">
        <v>0.51</v>
      </c>
      <c r="H4" s="45">
        <v>569.0</v>
      </c>
      <c r="I4" s="46">
        <v>0.47</v>
      </c>
    </row>
    <row r="5" ht="14.25" customHeight="1">
      <c r="A5" s="40" t="s">
        <v>42</v>
      </c>
      <c r="B5" s="41">
        <v>81.0</v>
      </c>
      <c r="C5" s="47" t="s">
        <v>43</v>
      </c>
      <c r="D5" s="43">
        <v>14.0</v>
      </c>
      <c r="E5" s="47" t="s">
        <v>43</v>
      </c>
      <c r="F5" s="45" t="s">
        <v>44</v>
      </c>
      <c r="G5" s="48" t="s">
        <v>30</v>
      </c>
      <c r="H5" s="45">
        <v>0.0</v>
      </c>
      <c r="I5" s="46">
        <v>0.0</v>
      </c>
    </row>
    <row r="6" ht="14.25" customHeight="1">
      <c r="A6" s="40" t="s">
        <v>45</v>
      </c>
      <c r="B6" s="41">
        <v>22284.0</v>
      </c>
      <c r="C6" s="47" t="s">
        <v>30</v>
      </c>
      <c r="D6" s="43">
        <v>325.0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9598.0</v>
      </c>
      <c r="C8" s="42">
        <v>0.02</v>
      </c>
      <c r="D8" s="58">
        <v>558.0</v>
      </c>
      <c r="E8" s="44">
        <v>0.02</v>
      </c>
      <c r="F8" s="59">
        <v>27.0</v>
      </c>
      <c r="G8" s="60">
        <v>0.01</v>
      </c>
      <c r="H8" s="59">
        <v>0.0</v>
      </c>
      <c r="I8" s="60">
        <v>0.0</v>
      </c>
    </row>
    <row r="9" ht="15.0" customHeight="1">
      <c r="A9" s="61">
        <v>43960.0</v>
      </c>
      <c r="B9" s="41">
        <v>11471.0</v>
      </c>
      <c r="C9" s="42">
        <v>0.03</v>
      </c>
      <c r="D9" s="58">
        <v>620.0</v>
      </c>
      <c r="E9" s="44">
        <v>0.02</v>
      </c>
      <c r="F9" s="59">
        <v>11.0</v>
      </c>
      <c r="G9" s="62" t="s">
        <v>43</v>
      </c>
      <c r="H9" s="59">
        <v>0.0</v>
      </c>
      <c r="I9" s="46">
        <v>0.0</v>
      </c>
    </row>
    <row r="10" ht="15.0" customHeight="1">
      <c r="A10" s="61">
        <v>44118.0</v>
      </c>
      <c r="B10" s="41">
        <v>11343.0</v>
      </c>
      <c r="C10" s="42">
        <v>0.03</v>
      </c>
      <c r="D10" s="58">
        <v>801.0</v>
      </c>
      <c r="E10" s="44">
        <v>0.02</v>
      </c>
      <c r="F10" s="59">
        <v>16.0</v>
      </c>
      <c r="G10" s="62" t="s">
        <v>43</v>
      </c>
      <c r="H10" s="59" t="s">
        <v>44</v>
      </c>
      <c r="I10" s="50" t="s">
        <v>30</v>
      </c>
    </row>
    <row r="11" ht="14.25" customHeight="1">
      <c r="A11" s="40" t="s">
        <v>48</v>
      </c>
      <c r="B11" s="41">
        <v>19292.0</v>
      </c>
      <c r="C11" s="42">
        <v>0.05</v>
      </c>
      <c r="D11" s="58">
        <v>1341.0</v>
      </c>
      <c r="E11" s="44">
        <v>0.04</v>
      </c>
      <c r="F11" s="59">
        <v>24.0</v>
      </c>
      <c r="G11" s="60">
        <v>0.01</v>
      </c>
      <c r="H11" s="59">
        <v>0.0</v>
      </c>
      <c r="I11" s="46">
        <v>0.0</v>
      </c>
    </row>
    <row r="12" ht="14.25" customHeight="1">
      <c r="A12" s="40" t="s">
        <v>49</v>
      </c>
      <c r="B12" s="41">
        <v>51967.0</v>
      </c>
      <c r="C12" s="42">
        <v>0.13</v>
      </c>
      <c r="D12" s="58">
        <v>3893.0</v>
      </c>
      <c r="E12" s="44">
        <v>0.12</v>
      </c>
      <c r="F12" s="59">
        <v>100.0</v>
      </c>
      <c r="G12" s="60">
        <v>0.03</v>
      </c>
      <c r="H12" s="59" t="s">
        <v>44</v>
      </c>
      <c r="I12" s="62" t="s">
        <v>30</v>
      </c>
    </row>
    <row r="13" ht="14.25" customHeight="1">
      <c r="A13" s="40" t="s">
        <v>50</v>
      </c>
      <c r="B13" s="41">
        <v>36169.0</v>
      </c>
      <c r="C13" s="42">
        <v>0.09</v>
      </c>
      <c r="D13" s="58">
        <v>2994.0</v>
      </c>
      <c r="E13" s="44">
        <v>0.09</v>
      </c>
      <c r="F13" s="59">
        <v>116.0</v>
      </c>
      <c r="G13" s="60">
        <v>0.03</v>
      </c>
      <c r="H13" s="59" t="s">
        <v>44</v>
      </c>
      <c r="I13" s="62" t="s">
        <v>30</v>
      </c>
    </row>
    <row r="14" ht="14.25" customHeight="1">
      <c r="A14" s="40" t="s">
        <v>51</v>
      </c>
      <c r="B14" s="41">
        <v>63001.0</v>
      </c>
      <c r="C14" s="42">
        <v>0.16</v>
      </c>
      <c r="D14" s="58">
        <v>5249.0</v>
      </c>
      <c r="E14" s="44">
        <v>0.16</v>
      </c>
      <c r="F14" s="59">
        <v>252.0</v>
      </c>
      <c r="G14" s="60">
        <v>0.07</v>
      </c>
      <c r="H14" s="59">
        <v>7.0</v>
      </c>
      <c r="I14" s="60">
        <v>0.01</v>
      </c>
    </row>
    <row r="15" ht="14.25" customHeight="1">
      <c r="A15" s="40" t="s">
        <v>52</v>
      </c>
      <c r="B15" s="41">
        <v>50523.0</v>
      </c>
      <c r="C15" s="42">
        <v>0.12</v>
      </c>
      <c r="D15" s="58">
        <v>4685.0</v>
      </c>
      <c r="E15" s="44">
        <v>0.14</v>
      </c>
      <c r="F15" s="59">
        <v>376.0</v>
      </c>
      <c r="G15" s="60">
        <v>0.11</v>
      </c>
      <c r="H15" s="59">
        <v>16.0</v>
      </c>
      <c r="I15" s="60">
        <v>0.01</v>
      </c>
    </row>
    <row r="16" ht="14.25" customHeight="1">
      <c r="A16" s="40" t="s">
        <v>53</v>
      </c>
      <c r="B16" s="41">
        <v>59430.0</v>
      </c>
      <c r="C16" s="42">
        <v>0.15</v>
      </c>
      <c r="D16" s="58">
        <v>4722.0</v>
      </c>
      <c r="E16" s="44">
        <v>0.14</v>
      </c>
      <c r="F16" s="59">
        <v>522.0</v>
      </c>
      <c r="G16" s="60">
        <v>0.15</v>
      </c>
      <c r="H16" s="59">
        <v>53.0</v>
      </c>
      <c r="I16" s="60">
        <v>0.04</v>
      </c>
    </row>
    <row r="17" ht="14.25" customHeight="1">
      <c r="A17" s="40" t="s">
        <v>54</v>
      </c>
      <c r="B17" s="41">
        <v>48474.0</v>
      </c>
      <c r="C17" s="42">
        <v>0.12</v>
      </c>
      <c r="D17" s="58">
        <v>3277.0</v>
      </c>
      <c r="E17" s="44">
        <v>0.1</v>
      </c>
      <c r="F17" s="59">
        <v>657.0</v>
      </c>
      <c r="G17" s="60">
        <v>0.19</v>
      </c>
      <c r="H17" s="59">
        <v>129.0</v>
      </c>
      <c r="I17" s="60">
        <v>0.11</v>
      </c>
    </row>
    <row r="18" ht="15.0" customHeight="1">
      <c r="A18" s="40" t="s">
        <v>55</v>
      </c>
      <c r="B18" s="41">
        <v>26068.0</v>
      </c>
      <c r="C18" s="42">
        <v>0.06</v>
      </c>
      <c r="D18" s="58">
        <v>1979.0</v>
      </c>
      <c r="E18" s="44">
        <v>0.06</v>
      </c>
      <c r="F18" s="59">
        <v>639.0</v>
      </c>
      <c r="G18" s="60">
        <v>0.19</v>
      </c>
      <c r="H18" s="59">
        <v>278.0</v>
      </c>
      <c r="I18" s="60">
        <v>0.23</v>
      </c>
    </row>
    <row r="19" ht="14.25" customHeight="1">
      <c r="A19" s="40" t="s">
        <v>56</v>
      </c>
      <c r="B19" s="41">
        <v>12996.0</v>
      </c>
      <c r="C19" s="42">
        <v>0.03</v>
      </c>
      <c r="D19" s="58">
        <v>1537.0</v>
      </c>
      <c r="E19" s="44">
        <v>0.05</v>
      </c>
      <c r="F19" s="59">
        <v>446.0</v>
      </c>
      <c r="G19" s="60">
        <v>0.13</v>
      </c>
      <c r="H19" s="59">
        <v>392.0</v>
      </c>
      <c r="I19" s="60">
        <v>0.32</v>
      </c>
    </row>
    <row r="20" ht="14.25" customHeight="1">
      <c r="A20" s="40" t="s">
        <v>57</v>
      </c>
      <c r="B20" s="41">
        <v>6095.0</v>
      </c>
      <c r="C20" s="42">
        <v>0.01</v>
      </c>
      <c r="D20" s="58">
        <v>998.0</v>
      </c>
      <c r="E20" s="44">
        <v>0.03</v>
      </c>
      <c r="F20" s="59">
        <v>202.0</v>
      </c>
      <c r="G20" s="60">
        <v>0.06</v>
      </c>
      <c r="H20" s="59">
        <v>327.0</v>
      </c>
      <c r="I20" s="60">
        <v>0.27</v>
      </c>
    </row>
    <row r="21" ht="14.25" customHeight="1">
      <c r="A21" s="40" t="s">
        <v>45</v>
      </c>
      <c r="B21" s="41">
        <v>440.0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28686.0</v>
      </c>
      <c r="C23" s="42">
        <v>0.18</v>
      </c>
      <c r="D23" s="58">
        <v>11370.0</v>
      </c>
      <c r="E23" s="44">
        <v>0.43</v>
      </c>
      <c r="F23" s="45">
        <v>981.0</v>
      </c>
      <c r="G23" s="46">
        <v>0.36</v>
      </c>
      <c r="H23" s="45">
        <v>114.0</v>
      </c>
      <c r="I23" s="46">
        <v>0.11</v>
      </c>
    </row>
    <row r="24" ht="14.25" customHeight="1">
      <c r="A24" s="63" t="s">
        <v>60</v>
      </c>
      <c r="B24" s="41">
        <v>3811.0</v>
      </c>
      <c r="C24" s="42">
        <v>0.02</v>
      </c>
      <c r="D24" s="58">
        <v>94.0</v>
      </c>
      <c r="E24" s="47" t="s">
        <v>43</v>
      </c>
      <c r="F24" s="45">
        <v>5.0</v>
      </c>
      <c r="G24" s="50" t="s">
        <v>43</v>
      </c>
      <c r="H24" s="45" t="s">
        <v>44</v>
      </c>
      <c r="I24" s="50" t="s">
        <v>30</v>
      </c>
    </row>
    <row r="25" ht="14.25" customHeight="1">
      <c r="A25" s="63" t="s">
        <v>61</v>
      </c>
      <c r="B25" s="41">
        <v>3769.0</v>
      </c>
      <c r="C25" s="42">
        <v>0.02</v>
      </c>
      <c r="D25" s="58">
        <v>482.0</v>
      </c>
      <c r="E25" s="44">
        <v>0.02</v>
      </c>
      <c r="F25" s="45">
        <v>50.0</v>
      </c>
      <c r="G25" s="46">
        <v>0.02</v>
      </c>
      <c r="H25" s="45">
        <v>14.0</v>
      </c>
      <c r="I25" s="46">
        <v>0.01</v>
      </c>
    </row>
    <row r="26" ht="14.25" customHeight="1">
      <c r="A26" s="63" t="s">
        <v>62</v>
      </c>
      <c r="B26" s="41">
        <v>11374.0</v>
      </c>
      <c r="C26" s="42">
        <v>0.07</v>
      </c>
      <c r="D26" s="58">
        <v>3022.0</v>
      </c>
      <c r="E26" s="44">
        <v>0.11</v>
      </c>
      <c r="F26" s="45">
        <v>338.0</v>
      </c>
      <c r="G26" s="46">
        <v>0.12</v>
      </c>
      <c r="H26" s="45">
        <v>63.0</v>
      </c>
      <c r="I26" s="46">
        <v>0.06</v>
      </c>
    </row>
    <row r="27" ht="14.25" customHeight="1">
      <c r="A27" s="63" t="s">
        <v>63</v>
      </c>
      <c r="B27" s="41">
        <v>470.0</v>
      </c>
      <c r="C27" s="48" t="s">
        <v>43</v>
      </c>
      <c r="D27" s="58">
        <v>0.0</v>
      </c>
      <c r="E27" s="44">
        <v>0.0</v>
      </c>
      <c r="F27" s="45">
        <v>0.0</v>
      </c>
      <c r="G27" s="46">
        <v>0.0</v>
      </c>
      <c r="H27" s="45">
        <v>0.0</v>
      </c>
      <c r="I27" s="46">
        <v>0.0</v>
      </c>
    </row>
    <row r="28" ht="14.25" customHeight="1">
      <c r="A28" s="63" t="s">
        <v>64</v>
      </c>
      <c r="B28" s="41">
        <v>94568.0</v>
      </c>
      <c r="C28" s="42">
        <v>0.6</v>
      </c>
      <c r="D28" s="58">
        <v>11097.0</v>
      </c>
      <c r="E28" s="44">
        <v>0.42</v>
      </c>
      <c r="F28" s="45">
        <v>1306.0</v>
      </c>
      <c r="G28" s="46">
        <v>0.47</v>
      </c>
      <c r="H28" s="45">
        <v>803.0</v>
      </c>
      <c r="I28" s="46">
        <v>0.81</v>
      </c>
    </row>
    <row r="29" ht="14.25" customHeight="1">
      <c r="A29" s="63" t="s">
        <v>65</v>
      </c>
      <c r="B29" s="41">
        <v>13563.0</v>
      </c>
      <c r="C29" s="42">
        <v>0.09</v>
      </c>
      <c r="D29" s="58">
        <v>428.0</v>
      </c>
      <c r="E29" s="44">
        <v>0.02</v>
      </c>
      <c r="F29" s="45">
        <v>59.0</v>
      </c>
      <c r="G29" s="46">
        <v>0.02</v>
      </c>
      <c r="H29" s="45">
        <v>0.0</v>
      </c>
      <c r="I29" s="46">
        <v>0.0</v>
      </c>
    </row>
    <row r="30" ht="14.25" customHeight="1">
      <c r="A30" s="63" t="s">
        <v>66</v>
      </c>
      <c r="B30" s="41">
        <v>136.0</v>
      </c>
      <c r="C30" s="47" t="s">
        <v>43</v>
      </c>
      <c r="D30" s="58">
        <v>233.0</v>
      </c>
      <c r="E30" s="44">
        <v>0.01</v>
      </c>
      <c r="F30" s="45">
        <v>12.0</v>
      </c>
      <c r="G30" s="48" t="s">
        <v>43</v>
      </c>
      <c r="H30" s="45">
        <v>0.0</v>
      </c>
      <c r="I30" s="46">
        <v>0.0</v>
      </c>
    </row>
    <row r="31" ht="14.25" customHeight="1">
      <c r="A31" s="63" t="s">
        <v>67</v>
      </c>
      <c r="B31" s="41">
        <v>3132.0</v>
      </c>
      <c r="C31" s="47" t="s">
        <v>30</v>
      </c>
      <c r="D31" s="58">
        <v>304.0</v>
      </c>
      <c r="E31" s="47" t="s">
        <v>30</v>
      </c>
      <c r="F31" s="45">
        <v>10.0</v>
      </c>
      <c r="G31" s="48" t="s">
        <v>30</v>
      </c>
      <c r="H31" s="45">
        <v>0.0</v>
      </c>
      <c r="I31" s="50" t="s">
        <v>30</v>
      </c>
    </row>
    <row r="32" ht="14.25" customHeight="1">
      <c r="A32" s="63" t="s">
        <v>68</v>
      </c>
      <c r="B32" s="41">
        <v>247358.0</v>
      </c>
      <c r="C32" s="47" t="s">
        <v>30</v>
      </c>
      <c r="D32" s="58">
        <v>5627.0</v>
      </c>
      <c r="E32" s="47" t="s">
        <v>30</v>
      </c>
      <c r="F32" s="45">
        <v>628.0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44139.0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417.0</v>
      </c>
      <c r="K15" s="50">
        <v>277.0</v>
      </c>
      <c r="L15" s="50">
        <v>201.0</v>
      </c>
      <c r="M15" s="50">
        <v>295.0</v>
      </c>
      <c r="N15" s="96">
        <v>2528.0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291.0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74.0</v>
      </c>
      <c r="J37" s="97">
        <v>89.0</v>
      </c>
      <c r="K37" s="97">
        <v>50.0</v>
      </c>
      <c r="L37" s="97">
        <v>37.0</v>
      </c>
      <c r="M37" s="97">
        <v>49.0</v>
      </c>
      <c r="N37" s="97">
        <v>712.0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67.0</v>
      </c>
      <c r="L38" s="97">
        <v>38.0</v>
      </c>
      <c r="M38" s="97">
        <v>46.0</v>
      </c>
      <c r="N38" s="97">
        <v>961.0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263.0</v>
      </c>
      <c r="G39" s="97">
        <v>106.0</v>
      </c>
      <c r="H39" s="97">
        <v>167.0</v>
      </c>
      <c r="I39" s="97">
        <v>152.0</v>
      </c>
      <c r="J39" s="97">
        <v>193.0</v>
      </c>
      <c r="K39" s="97">
        <v>106.0</v>
      </c>
      <c r="L39" s="97">
        <v>42.0</v>
      </c>
      <c r="M39" s="97">
        <v>38.0</v>
      </c>
      <c r="N39" s="97">
        <v>1225.0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231.0</v>
      </c>
      <c r="I40" s="97">
        <v>203.0</v>
      </c>
      <c r="J40" s="97">
        <v>237.0</v>
      </c>
      <c r="K40" s="97">
        <v>172.0</v>
      </c>
      <c r="L40" s="97">
        <v>66.0</v>
      </c>
      <c r="M40" s="97">
        <v>51.0</v>
      </c>
      <c r="N40" s="97">
        <v>1541.0</v>
      </c>
    </row>
    <row r="41">
      <c r="A41" s="94" t="s">
        <v>112</v>
      </c>
      <c r="B41" s="97">
        <v>42.0</v>
      </c>
      <c r="C41" s="97">
        <v>59.0</v>
      </c>
      <c r="D41" s="97">
        <v>93.0</v>
      </c>
      <c r="E41" s="97">
        <v>120.0</v>
      </c>
      <c r="F41" s="97">
        <v>277.0</v>
      </c>
      <c r="G41" s="97">
        <v>273.0</v>
      </c>
      <c r="H41" s="97">
        <v>481.0</v>
      </c>
      <c r="I41" s="97">
        <v>384.0</v>
      </c>
      <c r="J41" s="97">
        <v>347.0</v>
      </c>
      <c r="K41" s="97">
        <v>241.0</v>
      </c>
      <c r="L41" s="97">
        <v>115.0</v>
      </c>
      <c r="M41" s="97">
        <v>65.0</v>
      </c>
      <c r="N41" s="97">
        <v>2497.0</v>
      </c>
    </row>
    <row r="42">
      <c r="A42" s="94" t="s">
        <v>113</v>
      </c>
      <c r="B42" s="97">
        <v>60.0</v>
      </c>
      <c r="C42" s="97">
        <v>73.0</v>
      </c>
      <c r="D42" s="97">
        <v>123.0</v>
      </c>
      <c r="E42" s="97">
        <v>140.0</v>
      </c>
      <c r="F42" s="97">
        <v>310.0</v>
      </c>
      <c r="G42" s="97">
        <v>268.0</v>
      </c>
      <c r="H42" s="97">
        <v>463.0</v>
      </c>
      <c r="I42" s="97">
        <v>449.0</v>
      </c>
      <c r="J42" s="97">
        <v>423.0</v>
      </c>
      <c r="K42" s="97">
        <v>296.0</v>
      </c>
      <c r="L42" s="97">
        <v>155.0</v>
      </c>
      <c r="M42" s="97">
        <v>94.0</v>
      </c>
      <c r="N42" s="97">
        <v>2854.0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114</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115</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116</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117</v>
      </c>
      <c r="F9" s="50">
        <v>0.0</v>
      </c>
      <c r="G9" s="50">
        <v>0.0</v>
      </c>
      <c r="H9" s="50">
        <v>0.0</v>
      </c>
      <c r="I9" s="50" t="s">
        <v>117</v>
      </c>
      <c r="J9" s="50">
        <v>0.0</v>
      </c>
      <c r="K9" s="50" t="s">
        <v>117</v>
      </c>
      <c r="L9" s="50">
        <v>0.0</v>
      </c>
      <c r="M9" s="50">
        <v>0.0</v>
      </c>
      <c r="N9" s="50" t="s">
        <v>117</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117</v>
      </c>
      <c r="C10" s="50" t="s">
        <v>117</v>
      </c>
      <c r="D10" s="50">
        <v>0.0</v>
      </c>
      <c r="E10" s="50" t="s">
        <v>117</v>
      </c>
      <c r="F10" s="50">
        <v>0.0</v>
      </c>
      <c r="G10" s="50" t="s">
        <v>117</v>
      </c>
      <c r="H10" s="50" t="s">
        <v>117</v>
      </c>
      <c r="I10" s="50" t="s">
        <v>117</v>
      </c>
      <c r="J10" s="50" t="s">
        <v>117</v>
      </c>
      <c r="K10" s="50" t="s">
        <v>117</v>
      </c>
      <c r="L10" s="50" t="s">
        <v>117</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117</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117</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117</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117</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117</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117</v>
      </c>
      <c r="C27" s="50" t="s">
        <v>117</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52.0</v>
      </c>
      <c r="L39" s="97">
        <v>50.0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277.0</v>
      </c>
      <c r="G40" s="97">
        <v>138.0</v>
      </c>
      <c r="H40" s="97">
        <v>123.0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171.0</v>
      </c>
      <c r="I41" s="97">
        <v>163.0</v>
      </c>
      <c r="J41" s="97">
        <v>158.0</v>
      </c>
      <c r="K41" s="97">
        <v>132.0</v>
      </c>
      <c r="L41" s="97">
        <v>88.0</v>
      </c>
      <c r="M41" s="97">
        <v>105.0</v>
      </c>
      <c r="N41" s="97">
        <v>146.0</v>
      </c>
    </row>
    <row r="42">
      <c r="A42" s="94" t="s">
        <v>112</v>
      </c>
      <c r="B42" s="97">
        <v>77.0</v>
      </c>
      <c r="C42" s="97">
        <v>107.0</v>
      </c>
      <c r="D42" s="97">
        <v>158.0</v>
      </c>
      <c r="E42" s="97">
        <v>224.0</v>
      </c>
      <c r="F42" s="97">
        <v>292.0</v>
      </c>
      <c r="G42" s="97">
        <v>356.0</v>
      </c>
      <c r="H42" s="97">
        <v>355.0</v>
      </c>
      <c r="I42" s="97">
        <v>308.0</v>
      </c>
      <c r="J42" s="97">
        <v>231.0</v>
      </c>
      <c r="K42" s="97">
        <v>185.0</v>
      </c>
      <c r="L42" s="97">
        <v>153.0</v>
      </c>
      <c r="M42" s="97">
        <v>133.0</v>
      </c>
      <c r="N42" s="97">
        <v>236.0</v>
      </c>
    </row>
    <row r="43">
      <c r="A43" s="94" t="s">
        <v>113</v>
      </c>
      <c r="B43" s="97">
        <v>110.0</v>
      </c>
      <c r="C43" s="97">
        <v>133.0</v>
      </c>
      <c r="D43" s="97">
        <v>208.0</v>
      </c>
      <c r="E43" s="97">
        <v>262.0</v>
      </c>
      <c r="F43" s="97">
        <v>327.0</v>
      </c>
      <c r="G43" s="97">
        <v>350.0</v>
      </c>
      <c r="H43" s="97">
        <v>342.0</v>
      </c>
      <c r="I43" s="97">
        <v>360.0</v>
      </c>
      <c r="J43" s="97">
        <v>281.0</v>
      </c>
      <c r="K43" s="97">
        <v>228.0</v>
      </c>
      <c r="L43" s="97">
        <v>206.0</v>
      </c>
      <c r="M43" s="97">
        <v>193.0</v>
      </c>
      <c r="N43" s="97">
        <v>270.0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118</v>
      </c>
      <c r="H1" s="76"/>
      <c r="I1" s="76"/>
      <c r="J1" s="76"/>
      <c r="K1" s="76"/>
      <c r="L1" s="77"/>
    </row>
    <row r="2">
      <c r="A2" s="81" t="s">
        <v>74</v>
      </c>
      <c r="F2" s="78"/>
      <c r="G2" s="78"/>
      <c r="H2" s="78"/>
      <c r="I2" s="78"/>
      <c r="J2" s="78"/>
      <c r="K2" s="78"/>
      <c r="L2" s="82"/>
    </row>
    <row r="3">
      <c r="A3" s="81" t="s">
        <v>0</v>
      </c>
      <c r="B3" s="83">
        <v>44139.0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119</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120</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256.0</v>
      </c>
      <c r="H12" s="50">
        <v>5.0</v>
      </c>
      <c r="I12" s="50" t="s">
        <v>44</v>
      </c>
      <c r="J12" s="50" t="s">
        <v>44</v>
      </c>
      <c r="K12" s="50">
        <v>216.0</v>
      </c>
      <c r="L12" s="50">
        <v>625.0</v>
      </c>
    </row>
    <row r="13">
      <c r="A13" s="94" t="s">
        <v>84</v>
      </c>
      <c r="B13" s="50">
        <v>502.0</v>
      </c>
      <c r="C13" s="50">
        <v>8.0</v>
      </c>
      <c r="D13" s="50">
        <v>28.0</v>
      </c>
      <c r="E13" s="50">
        <v>165.0</v>
      </c>
      <c r="F13" s="50">
        <v>0.0</v>
      </c>
      <c r="G13" s="50">
        <v>764.0</v>
      </c>
      <c r="H13" s="50">
        <v>10.0</v>
      </c>
      <c r="I13" s="50">
        <v>5.0</v>
      </c>
      <c r="J13" s="50">
        <v>13.0</v>
      </c>
      <c r="K13" s="50">
        <v>335.0</v>
      </c>
      <c r="L13" s="96">
        <v>1830.0</v>
      </c>
    </row>
    <row r="14">
      <c r="A14" s="94" t="s">
        <v>85</v>
      </c>
      <c r="B14" s="50">
        <v>743.0</v>
      </c>
      <c r="C14" s="50">
        <v>11.0</v>
      </c>
      <c r="D14" s="50">
        <v>24.0</v>
      </c>
      <c r="E14" s="50">
        <v>219.0</v>
      </c>
      <c r="F14" s="50">
        <v>0.0</v>
      </c>
      <c r="G14" s="50">
        <v>604.0</v>
      </c>
      <c r="H14" s="50">
        <v>10.0</v>
      </c>
      <c r="I14" s="50">
        <v>10.0</v>
      </c>
      <c r="J14" s="50">
        <v>24.0</v>
      </c>
      <c r="K14" s="50">
        <v>290.0</v>
      </c>
      <c r="L14" s="96">
        <v>1935.0</v>
      </c>
    </row>
    <row r="15">
      <c r="A15" s="94" t="s">
        <v>86</v>
      </c>
      <c r="B15" s="50">
        <v>946.0</v>
      </c>
      <c r="C15" s="50">
        <v>10.0</v>
      </c>
      <c r="D15" s="50">
        <v>23.0</v>
      </c>
      <c r="E15" s="50">
        <v>278.0</v>
      </c>
      <c r="F15" s="50">
        <v>0.0</v>
      </c>
      <c r="G15" s="50">
        <v>722.0</v>
      </c>
      <c r="H15" s="50">
        <v>21.0</v>
      </c>
      <c r="I15" s="50">
        <v>14.0</v>
      </c>
      <c r="J15" s="50">
        <v>37.0</v>
      </c>
      <c r="K15" s="50">
        <v>477.0</v>
      </c>
      <c r="L15" s="96">
        <v>2528.0</v>
      </c>
    </row>
    <row r="16">
      <c r="A16" s="94" t="s">
        <v>87</v>
      </c>
      <c r="B16" s="50">
        <v>748.0</v>
      </c>
      <c r="C16" s="50">
        <v>6.0</v>
      </c>
      <c r="D16" s="50">
        <v>42.0</v>
      </c>
      <c r="E16" s="50">
        <v>230.0</v>
      </c>
      <c r="F16" s="50">
        <v>0.0</v>
      </c>
      <c r="G16" s="50">
        <v>482.0</v>
      </c>
      <c r="H16" s="50">
        <v>18.0</v>
      </c>
      <c r="I16" s="50">
        <v>7.0</v>
      </c>
      <c r="J16" s="50">
        <v>26.0</v>
      </c>
      <c r="K16" s="50">
        <v>435.0</v>
      </c>
      <c r="L16" s="96">
        <v>1994.0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122.0</v>
      </c>
      <c r="F19" s="50">
        <v>0.0</v>
      </c>
      <c r="G19" s="50">
        <v>300.0</v>
      </c>
      <c r="H19" s="50">
        <v>19.0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135.0</v>
      </c>
      <c r="H22" s="50">
        <v>9.0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168.0</v>
      </c>
      <c r="H27" s="50">
        <v>7.0</v>
      </c>
      <c r="I27" s="50">
        <v>11.0</v>
      </c>
      <c r="J27" s="50">
        <v>5.0</v>
      </c>
      <c r="K27" s="50">
        <v>34.0</v>
      </c>
      <c r="L27" s="50">
        <v>436.0</v>
      </c>
    </row>
    <row r="28">
      <c r="A28" s="94" t="s">
        <v>99</v>
      </c>
      <c r="B28" s="50">
        <v>241.0</v>
      </c>
      <c r="C28" s="50" t="s">
        <v>44</v>
      </c>
      <c r="D28" s="50">
        <v>13.0</v>
      </c>
      <c r="E28" s="50">
        <v>89.0</v>
      </c>
      <c r="F28" s="50">
        <v>0.0</v>
      </c>
      <c r="G28" s="50">
        <v>212.0</v>
      </c>
      <c r="H28" s="50">
        <v>22.0</v>
      </c>
      <c r="I28" s="50">
        <v>12.0</v>
      </c>
      <c r="J28" s="50">
        <v>10.0</v>
      </c>
      <c r="K28" s="50">
        <v>47.0</v>
      </c>
      <c r="L28" s="50">
        <v>647.0</v>
      </c>
    </row>
    <row r="29">
      <c r="A29" s="94" t="s">
        <v>100</v>
      </c>
      <c r="B29" s="50">
        <v>308.0</v>
      </c>
      <c r="C29" s="50" t="s">
        <v>44</v>
      </c>
      <c r="D29" s="50">
        <v>19.0</v>
      </c>
      <c r="E29" s="50">
        <v>75.0</v>
      </c>
      <c r="F29" s="50">
        <v>0.0</v>
      </c>
      <c r="G29" s="50">
        <v>204.0</v>
      </c>
      <c r="H29" s="50">
        <v>16.0</v>
      </c>
      <c r="I29" s="50">
        <v>9.0</v>
      </c>
      <c r="J29" s="50">
        <v>7.0</v>
      </c>
      <c r="K29" s="50">
        <v>46.0</v>
      </c>
      <c r="L29" s="50">
        <v>685.0</v>
      </c>
    </row>
    <row r="30">
      <c r="A30" s="94" t="s">
        <v>101</v>
      </c>
      <c r="B30" s="50">
        <v>324.0</v>
      </c>
      <c r="C30" s="50" t="s">
        <v>44</v>
      </c>
      <c r="D30" s="50">
        <v>15.0</v>
      </c>
      <c r="E30" s="50">
        <v>82.0</v>
      </c>
      <c r="F30" s="50">
        <v>0.0</v>
      </c>
      <c r="G30" s="50">
        <v>203.0</v>
      </c>
      <c r="H30" s="50">
        <v>7.0</v>
      </c>
      <c r="I30" s="50">
        <v>8.0</v>
      </c>
      <c r="J30" s="50" t="s">
        <v>44</v>
      </c>
      <c r="K30" s="50">
        <v>52.0</v>
      </c>
      <c r="L30" s="50">
        <v>697.0</v>
      </c>
    </row>
    <row r="31">
      <c r="A31" s="94" t="s">
        <v>102</v>
      </c>
      <c r="B31" s="50">
        <v>304.0</v>
      </c>
      <c r="C31" s="50">
        <v>0.0</v>
      </c>
      <c r="D31" s="50">
        <v>8.0</v>
      </c>
      <c r="E31" s="50">
        <v>41.0</v>
      </c>
      <c r="F31" s="50">
        <v>0.0</v>
      </c>
      <c r="G31" s="50">
        <v>190.0</v>
      </c>
      <c r="H31" s="50">
        <v>9.0</v>
      </c>
      <c r="I31" s="50">
        <v>7.0</v>
      </c>
      <c r="J31" s="50" t="s">
        <v>44</v>
      </c>
      <c r="K31" s="50">
        <v>50.0</v>
      </c>
      <c r="L31" s="50">
        <v>612.0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41.0</v>
      </c>
      <c r="L34" s="97">
        <v>483.0</v>
      </c>
    </row>
    <row r="35">
      <c r="A35" s="94" t="s">
        <v>106</v>
      </c>
      <c r="B35" s="97">
        <v>173.0</v>
      </c>
      <c r="C35" s="97" t="s">
        <v>44</v>
      </c>
      <c r="D35" s="97">
        <v>5.0</v>
      </c>
      <c r="E35" s="97">
        <v>63.0</v>
      </c>
      <c r="F35" s="97">
        <v>0.0</v>
      </c>
      <c r="G35" s="97">
        <v>225.0</v>
      </c>
      <c r="H35" s="97">
        <v>10.0</v>
      </c>
      <c r="I35" s="97" t="s">
        <v>44</v>
      </c>
      <c r="J35" s="97" t="s">
        <v>44</v>
      </c>
      <c r="K35" s="97">
        <v>58.0</v>
      </c>
      <c r="L35" s="97">
        <v>542.0</v>
      </c>
    </row>
    <row r="36">
      <c r="A36" s="94" t="s">
        <v>107</v>
      </c>
      <c r="B36" s="97">
        <v>231.0</v>
      </c>
      <c r="C36" s="97" t="s">
        <v>44</v>
      </c>
      <c r="D36" s="97">
        <v>9.0</v>
      </c>
      <c r="E36" s="97">
        <v>45.0</v>
      </c>
      <c r="F36" s="97">
        <v>0.0</v>
      </c>
      <c r="G36" s="97">
        <v>355.0</v>
      </c>
      <c r="H36" s="97">
        <v>16.0</v>
      </c>
      <c r="I36" s="97">
        <v>7.0</v>
      </c>
      <c r="J36" s="97">
        <v>5.0</v>
      </c>
      <c r="K36" s="97">
        <v>52.0</v>
      </c>
      <c r="L36" s="97">
        <v>723.0</v>
      </c>
    </row>
    <row r="37">
      <c r="A37" s="94" t="s">
        <v>108</v>
      </c>
      <c r="B37" s="105">
        <v>225.0</v>
      </c>
      <c r="C37" s="105" t="s">
        <v>44</v>
      </c>
      <c r="D37" s="105">
        <v>8.0</v>
      </c>
      <c r="E37" s="105">
        <v>68.0</v>
      </c>
      <c r="F37" s="105">
        <v>0.0</v>
      </c>
      <c r="G37" s="105">
        <v>324.0</v>
      </c>
      <c r="H37" s="105">
        <v>13.0</v>
      </c>
      <c r="I37" s="105">
        <v>10.0</v>
      </c>
      <c r="J37" s="105">
        <v>7.0</v>
      </c>
      <c r="K37" s="105">
        <v>56.0</v>
      </c>
      <c r="L37" s="105">
        <v>712.0</v>
      </c>
    </row>
    <row r="38">
      <c r="A38" s="94" t="s">
        <v>109</v>
      </c>
      <c r="B38" s="105">
        <v>273.0</v>
      </c>
      <c r="C38" s="105" t="s">
        <v>44</v>
      </c>
      <c r="D38" s="105">
        <v>8.0</v>
      </c>
      <c r="E38" s="105">
        <v>90.0</v>
      </c>
      <c r="F38" s="105">
        <v>0.0</v>
      </c>
      <c r="G38" s="105">
        <v>454.0</v>
      </c>
      <c r="H38" s="105">
        <v>22.0</v>
      </c>
      <c r="I38" s="105">
        <v>13.0</v>
      </c>
      <c r="J38" s="105">
        <v>7.0</v>
      </c>
      <c r="K38" s="105">
        <v>93.0</v>
      </c>
      <c r="L38" s="105">
        <v>961.0</v>
      </c>
    </row>
    <row r="39">
      <c r="A39" s="94" t="s">
        <v>110</v>
      </c>
      <c r="B39" s="105">
        <v>335.0</v>
      </c>
      <c r="C39" s="105">
        <v>6.0</v>
      </c>
      <c r="D39" s="105">
        <v>8.0</v>
      </c>
      <c r="E39" s="105">
        <v>101.0</v>
      </c>
      <c r="F39" s="105">
        <v>0.0</v>
      </c>
      <c r="G39" s="105">
        <v>600.0</v>
      </c>
      <c r="H39" s="105">
        <v>20.0</v>
      </c>
      <c r="I39" s="105">
        <v>11.0</v>
      </c>
      <c r="J39" s="105">
        <v>16.0</v>
      </c>
      <c r="K39" s="105">
        <v>128.0</v>
      </c>
      <c r="L39" s="105">
        <v>1225.0</v>
      </c>
    </row>
    <row r="40">
      <c r="A40" s="94" t="s">
        <v>111</v>
      </c>
      <c r="B40" s="105">
        <v>416.0</v>
      </c>
      <c r="C40" s="105">
        <v>5.0</v>
      </c>
      <c r="D40" s="105">
        <v>13.0</v>
      </c>
      <c r="E40" s="105">
        <v>88.0</v>
      </c>
      <c r="F40" s="105">
        <v>0.0</v>
      </c>
      <c r="G40" s="105">
        <v>630.0</v>
      </c>
      <c r="H40" s="105">
        <v>23.0</v>
      </c>
      <c r="I40" s="105">
        <v>10.0</v>
      </c>
      <c r="J40" s="105">
        <v>17.0</v>
      </c>
      <c r="K40" s="105">
        <v>339.0</v>
      </c>
      <c r="L40" s="105">
        <v>1541.0</v>
      </c>
    </row>
    <row r="41">
      <c r="A41" s="94" t="s">
        <v>112</v>
      </c>
      <c r="B41" s="105">
        <v>692.0</v>
      </c>
      <c r="C41" s="105" t="s">
        <v>44</v>
      </c>
      <c r="D41" s="105">
        <v>31.0</v>
      </c>
      <c r="E41" s="105">
        <v>142.0</v>
      </c>
      <c r="F41" s="105">
        <v>0.0</v>
      </c>
      <c r="G41" s="105">
        <v>900.0</v>
      </c>
      <c r="H41" s="105">
        <v>32.0</v>
      </c>
      <c r="I41" s="105">
        <v>17.0</v>
      </c>
      <c r="J41" s="105">
        <v>30.0</v>
      </c>
      <c r="K41" s="105">
        <v>650.0</v>
      </c>
      <c r="L41" s="105">
        <v>2497.0</v>
      </c>
    </row>
    <row r="42">
      <c r="A42" s="94" t="s">
        <v>113</v>
      </c>
      <c r="B42" s="105">
        <v>634.0</v>
      </c>
      <c r="C42" s="105" t="s">
        <v>44</v>
      </c>
      <c r="D42" s="105">
        <v>31.0</v>
      </c>
      <c r="E42" s="105">
        <v>135.0</v>
      </c>
      <c r="F42" s="105">
        <v>0.0</v>
      </c>
      <c r="G42" s="105">
        <v>916.0</v>
      </c>
      <c r="H42" s="105">
        <v>31.0</v>
      </c>
      <c r="I42" s="105">
        <v>13.0</v>
      </c>
      <c r="J42" s="105">
        <v>22.0</v>
      </c>
      <c r="K42" s="105">
        <v>1068.0</v>
      </c>
      <c r="L42" s="105">
        <v>2854.0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121</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122</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44139.0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123</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120</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116</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117</v>
      </c>
      <c r="H9" s="50" t="s">
        <v>117</v>
      </c>
      <c r="I9" s="50">
        <v>0.0</v>
      </c>
      <c r="J9" s="50" t="s">
        <v>117</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117</v>
      </c>
      <c r="C10" s="50">
        <v>0.0</v>
      </c>
      <c r="D10" s="50" t="s">
        <v>117</v>
      </c>
      <c r="E10" s="50">
        <v>0.0</v>
      </c>
      <c r="F10" s="50">
        <v>0.0</v>
      </c>
      <c r="G10" s="50">
        <v>1.0</v>
      </c>
      <c r="H10" s="50" t="s">
        <v>117</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117</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117</v>
      </c>
      <c r="D12" s="50" t="s">
        <v>117</v>
      </c>
      <c r="E12" s="50">
        <v>29.0</v>
      </c>
      <c r="F12" s="50">
        <v>0.0</v>
      </c>
      <c r="G12" s="50">
        <v>11.0</v>
      </c>
      <c r="H12" s="50" t="s">
        <v>117</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117</v>
      </c>
      <c r="D13" s="50" t="s">
        <v>117</v>
      </c>
      <c r="E13" s="50">
        <v>95.0</v>
      </c>
      <c r="F13" s="50">
        <v>0.0</v>
      </c>
      <c r="G13" s="50">
        <v>33.0</v>
      </c>
      <c r="H13" s="50">
        <v>71.0</v>
      </c>
      <c r="I13" s="50" t="s">
        <v>117</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117</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117</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117</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117</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117</v>
      </c>
      <c r="I22" s="50" t="s">
        <v>117</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117</v>
      </c>
      <c r="D23" s="50">
        <v>37.0</v>
      </c>
      <c r="E23" s="50">
        <v>80.0</v>
      </c>
      <c r="F23" s="50">
        <v>0.0</v>
      </c>
      <c r="G23" s="50">
        <v>18.0</v>
      </c>
      <c r="H23" s="50">
        <v>127.0</v>
      </c>
      <c r="I23" s="50" t="s">
        <v>117</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117</v>
      </c>
      <c r="D24" s="50" t="s">
        <v>117</v>
      </c>
      <c r="E24" s="50">
        <v>56.0</v>
      </c>
      <c r="F24" s="50">
        <v>0.0</v>
      </c>
      <c r="G24" s="50">
        <v>14.0</v>
      </c>
      <c r="H24" s="50" t="s">
        <v>117</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117</v>
      </c>
      <c r="D25" s="50" t="s">
        <v>117</v>
      </c>
      <c r="E25" s="50">
        <v>81.0</v>
      </c>
      <c r="F25" s="50">
        <v>0.0</v>
      </c>
      <c r="G25" s="50">
        <v>16.0</v>
      </c>
      <c r="H25" s="50" t="s">
        <v>117</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117</v>
      </c>
      <c r="D26" s="50">
        <v>31.0</v>
      </c>
      <c r="E26" s="50">
        <v>46.0</v>
      </c>
      <c r="F26" s="50">
        <v>0.0</v>
      </c>
      <c r="G26" s="50">
        <v>13.0</v>
      </c>
      <c r="H26" s="50" t="s">
        <v>117</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117</v>
      </c>
      <c r="D27" s="50">
        <v>26.0</v>
      </c>
      <c r="E27" s="50">
        <v>49.0</v>
      </c>
      <c r="F27" s="50">
        <v>0.0</v>
      </c>
      <c r="G27" s="50">
        <v>20.0</v>
      </c>
      <c r="H27" s="50">
        <v>85.0</v>
      </c>
      <c r="I27" s="50" t="s">
        <v>117</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117</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117</v>
      </c>
      <c r="D29" s="50">
        <v>37.0</v>
      </c>
      <c r="E29" s="50">
        <v>151.0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117</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117</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117</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117</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117</v>
      </c>
      <c r="D35" s="97">
        <v>46.0</v>
      </c>
      <c r="E35" s="97">
        <v>88.0</v>
      </c>
      <c r="F35" s="97">
        <v>0.0</v>
      </c>
      <c r="G35" s="97">
        <v>19.0</v>
      </c>
      <c r="H35" s="97">
        <v>113.0</v>
      </c>
      <c r="I35" s="97" t="s">
        <v>117</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117</v>
      </c>
      <c r="D36" s="97">
        <v>14.0</v>
      </c>
      <c r="E36" s="97">
        <v>107.0</v>
      </c>
      <c r="F36" s="97">
        <v>0.0</v>
      </c>
      <c r="G36" s="97">
        <v>29.0</v>
      </c>
      <c r="H36" s="97">
        <v>141.0</v>
      </c>
      <c r="I36" s="97" t="s">
        <v>117</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117</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117</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117</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211.0</v>
      </c>
      <c r="C40" s="105">
        <v>162.0</v>
      </c>
      <c r="D40" s="105">
        <v>23.0</v>
      </c>
      <c r="E40" s="105">
        <v>171.0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262.0</v>
      </c>
      <c r="C41" s="105">
        <v>135.0</v>
      </c>
      <c r="D41" s="105">
        <v>37.0</v>
      </c>
      <c r="E41" s="105">
        <v>149.0</v>
      </c>
      <c r="F41" s="105">
        <v>0.0</v>
      </c>
      <c r="G41" s="105">
        <v>82.0</v>
      </c>
      <c r="H41" s="105">
        <v>324.0</v>
      </c>
      <c r="I41" s="105">
        <v>41.0</v>
      </c>
      <c r="J41" s="105">
        <v>146.0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436.0</v>
      </c>
      <c r="C42" s="105" t="s">
        <v>117</v>
      </c>
      <c r="D42" s="105">
        <v>88.0</v>
      </c>
      <c r="E42" s="105">
        <v>241.0</v>
      </c>
      <c r="F42" s="105">
        <v>0.0</v>
      </c>
      <c r="G42" s="105">
        <v>117.0</v>
      </c>
      <c r="H42" s="105">
        <v>451.0</v>
      </c>
      <c r="I42" s="105">
        <v>70.0</v>
      </c>
      <c r="J42" s="105">
        <v>236.0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399.0</v>
      </c>
      <c r="C43" s="105" t="s">
        <v>117</v>
      </c>
      <c r="D43" s="105">
        <v>88.0</v>
      </c>
      <c r="E43" s="105">
        <v>229.0</v>
      </c>
      <c r="F43" s="105">
        <v>0.0</v>
      </c>
      <c r="G43" s="105">
        <v>119.0</v>
      </c>
      <c r="H43" s="105">
        <v>437.0</v>
      </c>
      <c r="I43" s="105">
        <v>53.0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124</v>
      </c>
      <c r="B1" s="115" t="s">
        <v>125</v>
      </c>
      <c r="C1" s="115" t="s">
        <v>126</v>
      </c>
      <c r="D1" s="115" t="s">
        <v>127</v>
      </c>
      <c r="E1" s="115" t="s">
        <v>128</v>
      </c>
      <c r="F1" s="115" t="s">
        <v>25</v>
      </c>
      <c r="G1" s="115" t="s">
        <v>129</v>
      </c>
    </row>
    <row r="2" ht="14.25" customHeight="1">
      <c r="A2" s="116" t="s">
        <v>130</v>
      </c>
      <c r="B2" s="117">
        <v>152.0</v>
      </c>
      <c r="C2" s="118">
        <v>940.0</v>
      </c>
      <c r="D2" s="119">
        <v>12.0</v>
      </c>
      <c r="E2" s="118">
        <v>74.0</v>
      </c>
      <c r="F2" s="118">
        <v>0.0</v>
      </c>
      <c r="G2" s="118">
        <v>0.0</v>
      </c>
    </row>
    <row r="3" ht="14.25" customHeight="1">
      <c r="A3" s="116" t="s">
        <v>131</v>
      </c>
      <c r="B3" s="117">
        <v>323.0</v>
      </c>
      <c r="C3" s="118">
        <v>1453.0</v>
      </c>
      <c r="D3" s="119">
        <v>19.0</v>
      </c>
      <c r="E3" s="118">
        <v>85.0</v>
      </c>
      <c r="F3" s="118">
        <v>9.0</v>
      </c>
      <c r="G3" s="118">
        <v>40.0</v>
      </c>
    </row>
    <row r="4" ht="14.25" customHeight="1">
      <c r="A4" s="116" t="s">
        <v>132</v>
      </c>
      <c r="B4" s="117">
        <v>242.0</v>
      </c>
      <c r="C4" s="118">
        <v>1471.0</v>
      </c>
      <c r="D4" s="119">
        <v>22.0</v>
      </c>
      <c r="E4" s="118">
        <v>134.0</v>
      </c>
      <c r="F4" s="118">
        <v>23.0</v>
      </c>
      <c r="G4" s="118">
        <v>140.0</v>
      </c>
    </row>
    <row r="5" ht="14.25" customHeight="1">
      <c r="A5" s="116" t="s">
        <v>133</v>
      </c>
      <c r="B5" s="117">
        <v>1844.0</v>
      </c>
      <c r="C5" s="118">
        <v>9514.0</v>
      </c>
      <c r="D5" s="119">
        <v>118.0</v>
      </c>
      <c r="E5" s="118">
        <v>609.0</v>
      </c>
      <c r="F5" s="118">
        <v>12.0</v>
      </c>
      <c r="G5" s="118">
        <v>62.0</v>
      </c>
    </row>
    <row r="6" ht="14.25" customHeight="1">
      <c r="A6" s="116" t="s">
        <v>134</v>
      </c>
      <c r="B6" s="117">
        <v>56.0</v>
      </c>
      <c r="C6" s="118">
        <v>720.0</v>
      </c>
      <c r="D6" s="119">
        <v>6.0</v>
      </c>
      <c r="E6" s="118">
        <v>77.0</v>
      </c>
      <c r="F6" s="118" t="s">
        <v>44</v>
      </c>
      <c r="G6" s="118" t="s">
        <v>30</v>
      </c>
    </row>
    <row r="7" ht="14.25" customHeight="1">
      <c r="A7" s="116" t="s">
        <v>135</v>
      </c>
      <c r="B7" s="117">
        <v>530.0</v>
      </c>
      <c r="C7" s="118">
        <v>1533.0</v>
      </c>
      <c r="D7" s="119">
        <v>50.0</v>
      </c>
      <c r="E7" s="118">
        <v>145.0</v>
      </c>
      <c r="F7" s="118">
        <v>21.0</v>
      </c>
      <c r="G7" s="118">
        <v>61.0</v>
      </c>
    </row>
    <row r="8" ht="14.25" customHeight="1">
      <c r="A8" s="116" t="s">
        <v>136</v>
      </c>
      <c r="B8" s="117">
        <v>2405.0</v>
      </c>
      <c r="C8" s="118">
        <v>2962.0</v>
      </c>
      <c r="D8" s="119">
        <v>215.0</v>
      </c>
      <c r="E8" s="118">
        <v>265.0</v>
      </c>
      <c r="F8" s="118">
        <v>35.0</v>
      </c>
      <c r="G8" s="118">
        <v>43.0</v>
      </c>
    </row>
    <row r="9" ht="14.25" customHeight="1">
      <c r="A9" s="116" t="s">
        <v>137</v>
      </c>
      <c r="B9" s="117">
        <v>749.0</v>
      </c>
      <c r="C9" s="118">
        <v>2161.0</v>
      </c>
      <c r="D9" s="119">
        <v>78.0</v>
      </c>
      <c r="E9" s="118">
        <v>225.0</v>
      </c>
      <c r="F9" s="118">
        <v>40.0</v>
      </c>
      <c r="G9" s="118">
        <v>115.0</v>
      </c>
    </row>
    <row r="10" ht="14.25" customHeight="1">
      <c r="A10" s="116" t="s">
        <v>138</v>
      </c>
      <c r="B10" s="117">
        <v>236.0</v>
      </c>
      <c r="C10" s="118">
        <v>1805.0</v>
      </c>
      <c r="D10" s="119">
        <v>16.0</v>
      </c>
      <c r="E10" s="118">
        <v>122.0</v>
      </c>
      <c r="F10" s="118" t="s">
        <v>44</v>
      </c>
      <c r="G10" s="118" t="s">
        <v>30</v>
      </c>
    </row>
    <row r="11" ht="14.25" customHeight="1">
      <c r="A11" s="116" t="s">
        <v>139</v>
      </c>
      <c r="B11" s="117">
        <v>1187.0</v>
      </c>
      <c r="C11" s="118">
        <v>2502.0</v>
      </c>
      <c r="D11" s="119">
        <v>112.0</v>
      </c>
      <c r="E11" s="118">
        <v>236.0</v>
      </c>
      <c r="F11" s="118">
        <v>113.0</v>
      </c>
      <c r="G11" s="118">
        <v>238.0</v>
      </c>
    </row>
    <row r="12" ht="14.25" customHeight="1">
      <c r="A12" s="116" t="s">
        <v>140</v>
      </c>
      <c r="B12" s="117">
        <v>66.0</v>
      </c>
      <c r="C12" s="118">
        <v>973.0</v>
      </c>
      <c r="D12" s="119">
        <v>8.0</v>
      </c>
      <c r="E12" s="118">
        <v>118.0</v>
      </c>
      <c r="F12" s="118" t="s">
        <v>44</v>
      </c>
      <c r="G12" s="118" t="s">
        <v>30</v>
      </c>
    </row>
    <row r="13" ht="14.25" customHeight="1">
      <c r="A13" s="116" t="s">
        <v>141</v>
      </c>
      <c r="B13" s="117">
        <v>60.0</v>
      </c>
      <c r="C13" s="118">
        <v>1280.0</v>
      </c>
      <c r="D13" s="119" t="s">
        <v>44</v>
      </c>
      <c r="E13" s="118" t="s">
        <v>30</v>
      </c>
      <c r="F13" s="118">
        <v>0.0</v>
      </c>
      <c r="G13" s="118">
        <v>0.0</v>
      </c>
    </row>
    <row r="14" ht="14.25" customHeight="1">
      <c r="A14" s="116" t="s">
        <v>142</v>
      </c>
      <c r="B14" s="117">
        <v>112.0</v>
      </c>
      <c r="C14" s="118">
        <v>1113.0</v>
      </c>
      <c r="D14" s="119">
        <v>9.0</v>
      </c>
      <c r="E14" s="118">
        <v>89.0</v>
      </c>
      <c r="F14" s="118">
        <v>0.0</v>
      </c>
      <c r="G14" s="118">
        <v>0.0</v>
      </c>
    </row>
    <row r="15" ht="14.25" customHeight="1">
      <c r="A15" s="116" t="s">
        <v>143</v>
      </c>
      <c r="B15" s="117">
        <v>27.0</v>
      </c>
      <c r="C15" s="118">
        <v>333.0</v>
      </c>
      <c r="D15" s="119" t="s">
        <v>44</v>
      </c>
      <c r="E15" s="118" t="s">
        <v>30</v>
      </c>
      <c r="F15" s="118" t="s">
        <v>44</v>
      </c>
      <c r="G15" s="118" t="s">
        <v>30</v>
      </c>
    </row>
    <row r="16" ht="14.25" customHeight="1">
      <c r="A16" s="116" t="s">
        <v>144</v>
      </c>
      <c r="B16" s="117">
        <v>48.0</v>
      </c>
      <c r="C16" s="118">
        <v>873.0</v>
      </c>
      <c r="D16" s="119" t="s">
        <v>44</v>
      </c>
      <c r="E16" s="118" t="s">
        <v>30</v>
      </c>
      <c r="F16" s="118">
        <v>0.0</v>
      </c>
      <c r="G16" s="118">
        <v>0.0</v>
      </c>
    </row>
    <row r="17" ht="14.25" customHeight="1">
      <c r="A17" s="116" t="s">
        <v>145</v>
      </c>
      <c r="B17" s="117">
        <v>1003.0</v>
      </c>
      <c r="C17" s="118">
        <v>3431.0</v>
      </c>
      <c r="D17" s="119">
        <v>93.0</v>
      </c>
      <c r="E17" s="118">
        <v>318.0</v>
      </c>
      <c r="F17" s="118">
        <v>91.0</v>
      </c>
      <c r="G17" s="118">
        <v>311.0</v>
      </c>
    </row>
    <row r="18" ht="14.25" customHeight="1">
      <c r="A18" s="116" t="s">
        <v>146</v>
      </c>
      <c r="B18" s="117">
        <v>518.0</v>
      </c>
      <c r="C18" s="118">
        <v>2393.0</v>
      </c>
      <c r="D18" s="119">
        <v>47.0</v>
      </c>
      <c r="E18" s="118">
        <v>217.0</v>
      </c>
      <c r="F18" s="118">
        <v>37.0</v>
      </c>
      <c r="G18" s="118">
        <v>171.0</v>
      </c>
    </row>
    <row r="19" ht="14.25" customHeight="1">
      <c r="A19" s="116" t="s">
        <v>147</v>
      </c>
      <c r="B19" s="117">
        <v>26.0</v>
      </c>
      <c r="C19" s="118">
        <v>742.0</v>
      </c>
      <c r="D19" s="119">
        <v>0.0</v>
      </c>
      <c r="E19" s="118">
        <v>0.0</v>
      </c>
      <c r="F19" s="118" t="s">
        <v>44</v>
      </c>
      <c r="G19" s="118" t="s">
        <v>30</v>
      </c>
    </row>
    <row r="20" ht="14.25" customHeight="1">
      <c r="A20" s="116" t="s">
        <v>148</v>
      </c>
      <c r="B20" s="117">
        <v>130.0</v>
      </c>
      <c r="C20" s="118">
        <v>809.0</v>
      </c>
      <c r="D20" s="119">
        <v>10.0</v>
      </c>
      <c r="E20" s="118">
        <v>62.0</v>
      </c>
      <c r="F20" s="118" t="s">
        <v>44</v>
      </c>
      <c r="G20" s="118" t="s">
        <v>30</v>
      </c>
    </row>
    <row r="21" ht="14.25" customHeight="1">
      <c r="A21" s="116" t="s">
        <v>149</v>
      </c>
      <c r="B21" s="117">
        <v>380.0</v>
      </c>
      <c r="C21" s="118">
        <v>2444.0</v>
      </c>
      <c r="D21" s="119">
        <v>9.0</v>
      </c>
      <c r="E21" s="118">
        <v>58.0</v>
      </c>
      <c r="F21" s="118" t="s">
        <v>44</v>
      </c>
      <c r="G21" s="118" t="s">
        <v>30</v>
      </c>
    </row>
    <row r="22" ht="14.25" customHeight="1">
      <c r="A22" s="116" t="s">
        <v>150</v>
      </c>
      <c r="B22" s="117">
        <v>8.0</v>
      </c>
      <c r="C22" s="118">
        <v>967.0</v>
      </c>
      <c r="D22" s="119">
        <v>0.0</v>
      </c>
      <c r="E22" s="118">
        <v>0.0</v>
      </c>
      <c r="F22" s="118">
        <v>0.0</v>
      </c>
      <c r="G22" s="118">
        <v>0.0</v>
      </c>
    </row>
    <row r="23" ht="14.25" customHeight="1">
      <c r="A23" s="116" t="s">
        <v>151</v>
      </c>
      <c r="B23" s="117">
        <v>243.0</v>
      </c>
      <c r="C23" s="118">
        <v>981.0</v>
      </c>
      <c r="D23" s="119">
        <v>20.0</v>
      </c>
      <c r="E23" s="118">
        <v>81.0</v>
      </c>
      <c r="F23" s="118" t="s">
        <v>44</v>
      </c>
      <c r="G23" s="118" t="s">
        <v>30</v>
      </c>
    </row>
    <row r="24" ht="14.25" customHeight="1">
      <c r="A24" s="116" t="s">
        <v>152</v>
      </c>
      <c r="B24" s="117">
        <v>433.0</v>
      </c>
      <c r="C24" s="118">
        <v>1652.0</v>
      </c>
      <c r="D24" s="119">
        <v>41.0</v>
      </c>
      <c r="E24" s="118">
        <v>156.0</v>
      </c>
      <c r="F24" s="118">
        <v>53.0</v>
      </c>
      <c r="G24" s="118">
        <v>202.0</v>
      </c>
    </row>
    <row r="25" ht="15.75" customHeight="1">
      <c r="A25" s="116" t="s">
        <v>153</v>
      </c>
      <c r="B25" s="117">
        <v>1364.0</v>
      </c>
      <c r="C25" s="118">
        <v>4202.0</v>
      </c>
      <c r="D25" s="119">
        <v>114.0</v>
      </c>
      <c r="E25" s="118">
        <v>351.0</v>
      </c>
      <c r="F25" s="118">
        <v>82.0</v>
      </c>
      <c r="G25" s="118">
        <v>253.0</v>
      </c>
    </row>
    <row r="26" ht="14.25" customHeight="1">
      <c r="A26" s="116" t="s">
        <v>154</v>
      </c>
      <c r="B26" s="117">
        <v>246.0</v>
      </c>
      <c r="C26" s="118">
        <v>1992.0</v>
      </c>
      <c r="D26" s="119">
        <v>22.0</v>
      </c>
      <c r="E26" s="118">
        <v>178.0</v>
      </c>
      <c r="F26" s="118">
        <v>28.0</v>
      </c>
      <c r="G26" s="118">
        <v>227.0</v>
      </c>
    </row>
    <row r="27" ht="14.25" customHeight="1">
      <c r="A27" s="116" t="s">
        <v>155</v>
      </c>
      <c r="B27" s="117">
        <v>3309.0</v>
      </c>
      <c r="C27" s="118">
        <v>4611.0</v>
      </c>
      <c r="D27" s="119">
        <v>257.0</v>
      </c>
      <c r="E27" s="118">
        <v>358.0</v>
      </c>
      <c r="F27" s="118">
        <v>56.0</v>
      </c>
      <c r="G27" s="118">
        <v>78.0</v>
      </c>
    </row>
    <row r="28" ht="14.25" customHeight="1">
      <c r="A28" s="116" t="s">
        <v>156</v>
      </c>
      <c r="B28" s="117">
        <v>140.0</v>
      </c>
      <c r="C28" s="118">
        <v>804.0</v>
      </c>
      <c r="D28" s="119" t="s">
        <v>44</v>
      </c>
      <c r="E28" s="118" t="s">
        <v>30</v>
      </c>
      <c r="F28" s="118">
        <v>0.0</v>
      </c>
      <c r="G28" s="118">
        <v>0.0</v>
      </c>
    </row>
    <row r="29" ht="14.25" customHeight="1">
      <c r="A29" s="116" t="s">
        <v>157</v>
      </c>
      <c r="B29" s="117">
        <v>10522.0</v>
      </c>
      <c r="C29" s="118">
        <v>5864.0</v>
      </c>
      <c r="D29" s="119">
        <v>1015.0</v>
      </c>
      <c r="E29" s="118">
        <v>566.0</v>
      </c>
      <c r="F29" s="118">
        <v>307.0</v>
      </c>
      <c r="G29" s="118">
        <v>171.0</v>
      </c>
    </row>
    <row r="30" ht="14.25" customHeight="1">
      <c r="A30" s="116" t="s">
        <v>158</v>
      </c>
      <c r="B30" s="117">
        <v>44.0</v>
      </c>
      <c r="C30" s="118">
        <v>577.0</v>
      </c>
      <c r="D30" s="119">
        <v>6.0</v>
      </c>
      <c r="E30" s="118">
        <v>79.0</v>
      </c>
      <c r="F30" s="118">
        <v>0.0</v>
      </c>
      <c r="G30" s="118">
        <v>0.0</v>
      </c>
    </row>
    <row r="31" ht="14.25" customHeight="1">
      <c r="A31" s="116" t="s">
        <v>159</v>
      </c>
      <c r="B31" s="117">
        <v>116.0</v>
      </c>
      <c r="C31" s="118">
        <v>1094.0</v>
      </c>
      <c r="D31" s="119" t="s">
        <v>44</v>
      </c>
      <c r="E31" s="118" t="s">
        <v>30</v>
      </c>
      <c r="F31" s="118" t="s">
        <v>44</v>
      </c>
      <c r="G31" s="118" t="s">
        <v>30</v>
      </c>
    </row>
    <row r="32" ht="14.25" customHeight="1">
      <c r="A32" s="116" t="s">
        <v>160</v>
      </c>
      <c r="B32" s="117">
        <v>520.0</v>
      </c>
      <c r="C32" s="118">
        <v>2404.0</v>
      </c>
      <c r="D32" s="119">
        <v>80.0</v>
      </c>
      <c r="E32" s="118">
        <v>370.0</v>
      </c>
      <c r="F32" s="118">
        <v>58.0</v>
      </c>
      <c r="G32" s="118">
        <v>268.0</v>
      </c>
    </row>
    <row r="33" ht="14.25" customHeight="1">
      <c r="A33" s="116" t="s">
        <v>161</v>
      </c>
      <c r="B33" s="117">
        <v>221.0</v>
      </c>
      <c r="C33" s="118">
        <v>719.0</v>
      </c>
      <c r="D33" s="119">
        <v>17.0</v>
      </c>
      <c r="E33" s="118">
        <v>55.0</v>
      </c>
      <c r="F33" s="118">
        <v>19.0</v>
      </c>
      <c r="G33" s="118">
        <v>62.0</v>
      </c>
    </row>
    <row r="34" ht="14.25" customHeight="1">
      <c r="A34" s="116" t="s">
        <v>162</v>
      </c>
      <c r="B34" s="117">
        <v>210.0</v>
      </c>
      <c r="C34" s="118">
        <v>1328.0</v>
      </c>
      <c r="D34" s="119" t="s">
        <v>44</v>
      </c>
      <c r="E34" s="118" t="s">
        <v>30</v>
      </c>
      <c r="F34" s="118">
        <v>5.0</v>
      </c>
      <c r="G34" s="118">
        <v>32.0</v>
      </c>
    </row>
    <row r="35" ht="14.25" customHeight="1">
      <c r="A35" s="116" t="s">
        <v>163</v>
      </c>
      <c r="B35" s="117">
        <v>186.0</v>
      </c>
      <c r="C35" s="118">
        <v>1773.0</v>
      </c>
      <c r="D35" s="119">
        <v>20.0</v>
      </c>
      <c r="E35" s="118">
        <v>191.0</v>
      </c>
      <c r="F35" s="118">
        <v>11.0</v>
      </c>
      <c r="G35" s="118">
        <v>105.0</v>
      </c>
    </row>
    <row r="36" ht="14.25" customHeight="1">
      <c r="A36" s="116" t="s">
        <v>164</v>
      </c>
      <c r="B36" s="117">
        <v>1443.0</v>
      </c>
      <c r="C36" s="118">
        <v>1780.0</v>
      </c>
      <c r="D36" s="119">
        <v>115.0</v>
      </c>
      <c r="E36" s="118">
        <v>142.0</v>
      </c>
      <c r="F36" s="118">
        <v>80.0</v>
      </c>
      <c r="G36" s="118">
        <v>99.0</v>
      </c>
    </row>
    <row r="37" ht="14.25" customHeight="1">
      <c r="A37" s="116" t="s">
        <v>165</v>
      </c>
      <c r="B37" s="117">
        <v>76.0</v>
      </c>
      <c r="C37" s="118">
        <v>1230.0</v>
      </c>
      <c r="D37" s="119" t="s">
        <v>44</v>
      </c>
      <c r="E37" s="118" t="s">
        <v>30</v>
      </c>
      <c r="F37" s="118">
        <v>0.0</v>
      </c>
      <c r="G37" s="118">
        <v>0.0</v>
      </c>
    </row>
    <row r="38" ht="14.25" customHeight="1">
      <c r="A38" s="116" t="s">
        <v>166</v>
      </c>
      <c r="B38" s="117">
        <v>623.0</v>
      </c>
      <c r="C38" s="118">
        <v>2152.0</v>
      </c>
      <c r="D38" s="119">
        <v>56.0</v>
      </c>
      <c r="E38" s="118">
        <v>193.0</v>
      </c>
      <c r="F38" s="118">
        <v>22.0</v>
      </c>
      <c r="G38" s="118">
        <v>76.0</v>
      </c>
    </row>
    <row r="39" ht="14.25" customHeight="1">
      <c r="A39" s="116" t="s">
        <v>167</v>
      </c>
      <c r="B39" s="117">
        <v>203.0</v>
      </c>
      <c r="C39" s="118">
        <v>897.0</v>
      </c>
      <c r="D39" s="119">
        <v>11.0</v>
      </c>
      <c r="E39" s="118">
        <v>49.0</v>
      </c>
      <c r="F39" s="118" t="s">
        <v>44</v>
      </c>
      <c r="G39" s="118" t="s">
        <v>30</v>
      </c>
    </row>
    <row r="40" ht="14.25" customHeight="1">
      <c r="A40" s="116" t="s">
        <v>168</v>
      </c>
      <c r="B40" s="117">
        <v>1112.0</v>
      </c>
      <c r="C40" s="118">
        <v>2677.0</v>
      </c>
      <c r="D40" s="119">
        <v>127.0</v>
      </c>
      <c r="E40" s="118">
        <v>306.0</v>
      </c>
      <c r="F40" s="118">
        <v>87.0</v>
      </c>
      <c r="G40" s="118">
        <v>209.0</v>
      </c>
    </row>
    <row r="41" ht="14.25" customHeight="1">
      <c r="A41" s="116" t="s">
        <v>45</v>
      </c>
      <c r="B41" s="117">
        <v>1544.0</v>
      </c>
      <c r="C41" s="118" t="s">
        <v>30</v>
      </c>
      <c r="D41" s="119">
        <v>141.0</v>
      </c>
      <c r="E41" s="118" t="s">
        <v>30</v>
      </c>
      <c r="F41" s="118" t="s">
        <v>44</v>
      </c>
      <c r="G41" s="118" t="s">
        <v>30</v>
      </c>
    </row>
    <row r="42" ht="14.25" customHeight="1">
      <c r="A42" s="120" t="s">
        <v>169</v>
      </c>
      <c r="B42" s="118">
        <v>32657.0</v>
      </c>
      <c r="C42" s="118">
        <v>3091.0</v>
      </c>
      <c r="D42" s="118">
        <v>2866.0</v>
      </c>
      <c r="E42" s="118">
        <v>271.0</v>
      </c>
      <c r="F42" s="118">
        <v>1207.0</v>
      </c>
      <c r="G42" s="118">
        <v>114.0</v>
      </c>
    </row>
    <row r="43" ht="14.25" customHeight="1">
      <c r="A43" s="121" t="s">
        <v>170</v>
      </c>
      <c r="D43" s="122"/>
      <c r="E43" s="122"/>
      <c r="F43" s="122"/>
      <c r="G43" s="122"/>
    </row>
    <row r="44" ht="15.0" customHeight="1">
      <c r="A44" s="123" t="s">
        <v>171</v>
      </c>
    </row>
    <row r="45" ht="14.25" customHeight="1"/>
    <row r="46" ht="14.25" customHeight="1"/>
    <row r="47" ht="14.25" customHeight="1">
      <c r="A47" s="71" t="s">
        <v>0</v>
      </c>
      <c r="B47" s="72">
        <v>44139.0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172</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173</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44139.0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174</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175</v>
      </c>
      <c r="C8" s="130" t="s">
        <v>176</v>
      </c>
      <c r="D8" s="130" t="s">
        <v>177</v>
      </c>
      <c r="E8" s="130" t="s">
        <v>178</v>
      </c>
      <c r="F8" s="130" t="s">
        <v>179</v>
      </c>
      <c r="G8" s="130" t="s">
        <v>180</v>
      </c>
      <c r="H8" s="130" t="s">
        <v>181</v>
      </c>
      <c r="I8" s="130" t="s">
        <v>182</v>
      </c>
      <c r="J8" s="130" t="s">
        <v>183</v>
      </c>
      <c r="K8" s="130" t="s">
        <v>184</v>
      </c>
      <c r="L8" s="130" t="s">
        <v>185</v>
      </c>
      <c r="M8" s="130" t="s">
        <v>186</v>
      </c>
      <c r="N8" s="130" t="s">
        <v>187</v>
      </c>
      <c r="O8" s="130" t="s">
        <v>188</v>
      </c>
      <c r="P8" s="130" t="s">
        <v>189</v>
      </c>
      <c r="Q8" s="130" t="s">
        <v>190</v>
      </c>
      <c r="R8" s="130" t="s">
        <v>191</v>
      </c>
      <c r="S8" s="130" t="s">
        <v>192</v>
      </c>
      <c r="T8" s="130" t="s">
        <v>193</v>
      </c>
      <c r="U8" s="130" t="s">
        <v>194</v>
      </c>
      <c r="V8" s="130" t="s">
        <v>195</v>
      </c>
      <c r="W8" s="130" t="s">
        <v>196</v>
      </c>
      <c r="X8" s="130" t="s">
        <v>197</v>
      </c>
      <c r="Y8" s="130" t="s">
        <v>198</v>
      </c>
      <c r="Z8" s="130" t="s">
        <v>199</v>
      </c>
      <c r="AA8" s="130" t="s">
        <v>200</v>
      </c>
      <c r="AB8" s="130" t="s">
        <v>201</v>
      </c>
      <c r="AC8" s="130" t="s">
        <v>202</v>
      </c>
      <c r="AD8" s="130" t="s">
        <v>203</v>
      </c>
      <c r="AE8" s="130" t="s">
        <v>204</v>
      </c>
      <c r="AF8" s="130" t="s">
        <v>205</v>
      </c>
      <c r="AG8" s="130" t="s">
        <v>206</v>
      </c>
      <c r="AH8" s="130" t="s">
        <v>207</v>
      </c>
      <c r="AI8" s="130" t="s">
        <v>208</v>
      </c>
      <c r="AJ8" s="130" t="s">
        <v>209</v>
      </c>
      <c r="AK8" s="130" t="s">
        <v>210</v>
      </c>
      <c r="AL8" s="130" t="s">
        <v>211</v>
      </c>
      <c r="AM8" s="130" t="s">
        <v>212</v>
      </c>
      <c r="AN8" s="130" t="s">
        <v>213</v>
      </c>
      <c r="AO8" s="130" t="s">
        <v>214</v>
      </c>
      <c r="AP8" s="130" t="s">
        <v>169</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41.0</v>
      </c>
      <c r="J14" s="48">
        <v>13.0</v>
      </c>
      <c r="K14" s="48">
        <v>60.0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1443.0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48.0</v>
      </c>
      <c r="AO15" s="48">
        <v>33.0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44</v>
      </c>
      <c r="AL16" s="48">
        <v>34.0</v>
      </c>
      <c r="AM16" s="48">
        <v>15.0</v>
      </c>
      <c r="AN16" s="48">
        <v>50.0</v>
      </c>
      <c r="AO16" s="48">
        <v>44.0</v>
      </c>
      <c r="AP16" s="96">
        <v>2005.0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200.0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34.0</v>
      </c>
      <c r="R21" s="48">
        <v>9.0</v>
      </c>
      <c r="S21" s="48">
        <v>0.0</v>
      </c>
      <c r="T21" s="48" t="s">
        <v>44</v>
      </c>
      <c r="U21" s="48" t="s">
        <v>44</v>
      </c>
      <c r="V21" s="48">
        <v>0.0</v>
      </c>
      <c r="W21" s="48">
        <v>9.0</v>
      </c>
      <c r="X21" s="48">
        <v>6.0</v>
      </c>
      <c r="Y21" s="48">
        <v>17.0</v>
      </c>
      <c r="Z21" s="48" t="s">
        <v>44</v>
      </c>
      <c r="AA21" s="48">
        <v>71.0</v>
      </c>
      <c r="AB21" s="48">
        <v>6.0</v>
      </c>
      <c r="AC21" s="48">
        <v>332.0</v>
      </c>
      <c r="AD21" s="48" t="s">
        <v>44</v>
      </c>
      <c r="AE21" s="48" t="s">
        <v>44</v>
      </c>
      <c r="AF21" s="48">
        <v>0.0</v>
      </c>
      <c r="AG21" s="48">
        <v>0.0</v>
      </c>
      <c r="AH21" s="48" t="s">
        <v>44</v>
      </c>
      <c r="AI21" s="48">
        <v>0.0</v>
      </c>
      <c r="AJ21" s="48">
        <v>20.0</v>
      </c>
      <c r="AK21" s="48" t="s">
        <v>44</v>
      </c>
      <c r="AL21" s="48">
        <v>9.0</v>
      </c>
      <c r="AM21" s="48" t="s">
        <v>44</v>
      </c>
      <c r="AN21" s="48">
        <v>38.0</v>
      </c>
      <c r="AO21" s="48">
        <v>11.0</v>
      </c>
      <c r="AP21" s="50">
        <v>721.0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257.0</v>
      </c>
      <c r="AD22" s="48">
        <v>0.0</v>
      </c>
      <c r="AE22" s="48" t="s">
        <v>44</v>
      </c>
      <c r="AF22" s="48" t="s">
        <v>44</v>
      </c>
      <c r="AG22" s="48">
        <v>0.0</v>
      </c>
      <c r="AH22" s="48" t="s">
        <v>44</v>
      </c>
      <c r="AI22" s="48" t="s">
        <v>44</v>
      </c>
      <c r="AJ22" s="48">
        <v>19.0</v>
      </c>
      <c r="AK22" s="48">
        <v>0.0</v>
      </c>
      <c r="AL22" s="48">
        <v>9.0</v>
      </c>
      <c r="AM22" s="48">
        <v>0.0</v>
      </c>
      <c r="AN22" s="48">
        <v>25.0</v>
      </c>
      <c r="AO22" s="48">
        <v>5.0</v>
      </c>
      <c r="AP22" s="50">
        <v>531.0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5.0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15.0</v>
      </c>
      <c r="AO24" s="48">
        <v>5.0</v>
      </c>
      <c r="AP24" s="50">
        <v>292.0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121.0</v>
      </c>
      <c r="AD28" s="48">
        <v>0.0</v>
      </c>
      <c r="AE28" s="48" t="s">
        <v>44</v>
      </c>
      <c r="AF28" s="48">
        <v>13.0</v>
      </c>
      <c r="AG28" s="48">
        <v>0.0</v>
      </c>
      <c r="AH28" s="48" t="s">
        <v>44</v>
      </c>
      <c r="AI28" s="48" t="s">
        <v>44</v>
      </c>
      <c r="AJ28" s="48">
        <v>20.0</v>
      </c>
      <c r="AK28" s="48">
        <v>0.0</v>
      </c>
      <c r="AL28" s="48">
        <v>9.0</v>
      </c>
      <c r="AM28" s="48" t="s">
        <v>44</v>
      </c>
      <c r="AN28" s="48">
        <v>16.0</v>
      </c>
      <c r="AO28" s="48">
        <v>18.0</v>
      </c>
      <c r="AP28" s="50">
        <v>417.0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7.0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611.0</v>
      </c>
    </row>
    <row r="30">
      <c r="A30" s="131" t="s">
        <v>100</v>
      </c>
      <c r="B30" s="48" t="s">
        <v>44</v>
      </c>
      <c r="C30" s="48">
        <v>5.0</v>
      </c>
      <c r="D30" s="48">
        <v>7.0</v>
      </c>
      <c r="E30" s="132">
        <v>37.0</v>
      </c>
      <c r="F30" s="48" t="s">
        <v>44</v>
      </c>
      <c r="G30" s="48">
        <v>7.0</v>
      </c>
      <c r="H30" s="132">
        <v>77.0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671.0</v>
      </c>
    </row>
    <row r="31">
      <c r="A31" s="133" t="s">
        <v>101</v>
      </c>
      <c r="B31" s="48" t="s">
        <v>44</v>
      </c>
      <c r="C31" s="48">
        <v>5.0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222.0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34.0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569.0</v>
      </c>
    </row>
    <row r="33">
      <c r="A33" s="133" t="s">
        <v>103</v>
      </c>
      <c r="B33" s="134">
        <v>0.0</v>
      </c>
      <c r="C33" s="134">
        <v>15.0</v>
      </c>
      <c r="D33" s="134" t="s">
        <v>44</v>
      </c>
      <c r="E33" s="135">
        <v>36.0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7.0</v>
      </c>
      <c r="U33" s="134">
        <v>9.0</v>
      </c>
      <c r="V33" s="134">
        <v>0.0</v>
      </c>
      <c r="W33" s="134" t="s">
        <v>44</v>
      </c>
      <c r="X33" s="134">
        <v>22.0</v>
      </c>
      <c r="Y33" s="134">
        <v>19.0</v>
      </c>
      <c r="Z33" s="134" t="s">
        <v>44</v>
      </c>
      <c r="AA33" s="135">
        <v>54.0</v>
      </c>
      <c r="AB33" s="134" t="s">
        <v>44</v>
      </c>
      <c r="AC33" s="135">
        <v>219.0</v>
      </c>
      <c r="AD33" s="134">
        <v>0.0</v>
      </c>
      <c r="AE33" s="134" t="s">
        <v>44</v>
      </c>
      <c r="AF33" s="134">
        <v>9.0</v>
      </c>
      <c r="AG33" s="134">
        <v>7.0</v>
      </c>
      <c r="AH33" s="134">
        <v>7.0</v>
      </c>
      <c r="AI33" s="134" t="s">
        <v>44</v>
      </c>
      <c r="AJ33" s="134">
        <v>36.0</v>
      </c>
      <c r="AK33" s="134" t="s">
        <v>44</v>
      </c>
      <c r="AL33" s="134" t="s">
        <v>44</v>
      </c>
      <c r="AM33" s="134" t="s">
        <v>44</v>
      </c>
      <c r="AN33" s="134">
        <v>16.0</v>
      </c>
      <c r="AO33" s="134">
        <v>12.0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37.0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29.0</v>
      </c>
      <c r="Z35" s="134" t="s">
        <v>44</v>
      </c>
      <c r="AA35" s="135">
        <v>38.0</v>
      </c>
      <c r="AB35" s="134" t="s">
        <v>44</v>
      </c>
      <c r="AC35" s="135">
        <v>179.0</v>
      </c>
      <c r="AD35" s="134">
        <v>0.0</v>
      </c>
      <c r="AE35" s="134" t="s">
        <v>44</v>
      </c>
      <c r="AF35" s="134">
        <v>6.0</v>
      </c>
      <c r="AG35" s="134">
        <v>0.0</v>
      </c>
      <c r="AH35" s="134">
        <v>6.0</v>
      </c>
      <c r="AI35" s="134" t="s">
        <v>44</v>
      </c>
      <c r="AJ35" s="134">
        <v>26.0</v>
      </c>
      <c r="AK35" s="134">
        <v>0.0</v>
      </c>
      <c r="AL35" s="134" t="s">
        <v>44</v>
      </c>
      <c r="AM35" s="134" t="s">
        <v>44</v>
      </c>
      <c r="AN35" s="134">
        <v>12.0</v>
      </c>
      <c r="AO35" s="134">
        <v>18.0</v>
      </c>
      <c r="AP35" s="136">
        <v>451.0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77.0</v>
      </c>
      <c r="AB38" s="134">
        <v>0.0</v>
      </c>
      <c r="AC38" s="135">
        <v>242.0</v>
      </c>
      <c r="AD38" s="134" t="s">
        <v>44</v>
      </c>
      <c r="AE38" s="134" t="s">
        <v>44</v>
      </c>
      <c r="AF38" s="134">
        <v>11.0</v>
      </c>
      <c r="AG38" s="134" t="s">
        <v>44</v>
      </c>
      <c r="AH38" s="134" t="s">
        <v>44</v>
      </c>
      <c r="AI38" s="134">
        <v>7.0</v>
      </c>
      <c r="AJ38" s="134">
        <v>23.0</v>
      </c>
      <c r="AK38" s="134" t="s">
        <v>44</v>
      </c>
      <c r="AL38" s="134">
        <v>9.0</v>
      </c>
      <c r="AM38" s="134">
        <v>10.0</v>
      </c>
      <c r="AN38" s="134">
        <v>11.0</v>
      </c>
      <c r="AO38" s="134">
        <v>18.0</v>
      </c>
      <c r="AP38" s="136">
        <v>655.0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11.0</v>
      </c>
      <c r="AH39" s="134" t="s">
        <v>44</v>
      </c>
      <c r="AI39" s="134">
        <v>0.0</v>
      </c>
      <c r="AJ39" s="134">
        <v>39.0</v>
      </c>
      <c r="AK39" s="134" t="s">
        <v>44</v>
      </c>
      <c r="AL39" s="134">
        <v>14.0</v>
      </c>
      <c r="AM39" s="134">
        <v>12.0</v>
      </c>
      <c r="AN39" s="134">
        <v>25.0</v>
      </c>
      <c r="AO39" s="134">
        <v>29.0</v>
      </c>
      <c r="AP39" s="136">
        <v>896.0</v>
      </c>
    </row>
    <row r="40">
      <c r="A40" s="133" t="s">
        <v>110</v>
      </c>
      <c r="B40" s="134">
        <v>7.0</v>
      </c>
      <c r="C40" s="134">
        <v>12.0</v>
      </c>
      <c r="D40" s="134">
        <v>8.0</v>
      </c>
      <c r="E40" s="135">
        <v>46.0</v>
      </c>
      <c r="F40" s="134" t="s">
        <v>44</v>
      </c>
      <c r="G40" s="134">
        <v>19.0</v>
      </c>
      <c r="H40" s="135">
        <v>92.0</v>
      </c>
      <c r="I40" s="134">
        <v>32.0</v>
      </c>
      <c r="J40" s="134">
        <v>8.0</v>
      </c>
      <c r="K40" s="134">
        <v>32.0</v>
      </c>
      <c r="L40" s="134">
        <v>5.0</v>
      </c>
      <c r="M40" s="134">
        <v>6.0</v>
      </c>
      <c r="N40" s="134" t="s">
        <v>44</v>
      </c>
      <c r="O40" s="134">
        <v>0.0</v>
      </c>
      <c r="P40" s="134">
        <v>6.0</v>
      </c>
      <c r="Q40" s="134">
        <v>22.0</v>
      </c>
      <c r="R40" s="134">
        <v>18.0</v>
      </c>
      <c r="S40" s="134" t="s">
        <v>44</v>
      </c>
      <c r="T40" s="134" t="s">
        <v>44</v>
      </c>
      <c r="U40" s="134">
        <v>94.0</v>
      </c>
      <c r="V40" s="134">
        <v>0.0</v>
      </c>
      <c r="W40" s="134">
        <v>8.0</v>
      </c>
      <c r="X40" s="134">
        <v>19.0</v>
      </c>
      <c r="Y40" s="134">
        <v>43.0</v>
      </c>
      <c r="Z40" s="134">
        <v>9.0</v>
      </c>
      <c r="AA40" s="135">
        <v>116.0</v>
      </c>
      <c r="AB40" s="134">
        <v>5.0</v>
      </c>
      <c r="AC40" s="135">
        <v>284.0</v>
      </c>
      <c r="AD40" s="134" t="s">
        <v>44</v>
      </c>
      <c r="AE40" s="134" t="s">
        <v>44</v>
      </c>
      <c r="AF40" s="134">
        <v>12.0</v>
      </c>
      <c r="AG40" s="134">
        <v>24.0</v>
      </c>
      <c r="AH40" s="134">
        <v>16.0</v>
      </c>
      <c r="AI40" s="134">
        <v>6.0</v>
      </c>
      <c r="AJ40" s="134">
        <v>63.0</v>
      </c>
      <c r="AK40" s="134">
        <v>5.0</v>
      </c>
      <c r="AL40" s="134">
        <v>26.0</v>
      </c>
      <c r="AM40" s="134">
        <v>21.0</v>
      </c>
      <c r="AN40" s="134">
        <v>38.0</v>
      </c>
      <c r="AO40" s="134">
        <v>84.0</v>
      </c>
      <c r="AP40" s="136">
        <v>1196.0</v>
      </c>
    </row>
    <row r="41">
      <c r="A41" s="133" t="s">
        <v>111</v>
      </c>
      <c r="B41" s="134">
        <v>7.0</v>
      </c>
      <c r="C41" s="134">
        <v>24.0</v>
      </c>
      <c r="D41" s="134">
        <v>17.0</v>
      </c>
      <c r="E41" s="135">
        <v>68.0</v>
      </c>
      <c r="F41" s="134" t="s">
        <v>44</v>
      </c>
      <c r="G41" s="134">
        <v>32.0</v>
      </c>
      <c r="H41" s="135">
        <v>135.0</v>
      </c>
      <c r="I41" s="134">
        <v>41.0</v>
      </c>
      <c r="J41" s="134">
        <v>12.0</v>
      </c>
      <c r="K41" s="134">
        <v>41.0</v>
      </c>
      <c r="L41" s="134" t="s">
        <v>44</v>
      </c>
      <c r="M41" s="134" t="s">
        <v>44</v>
      </c>
      <c r="N41" s="134">
        <v>0.0</v>
      </c>
      <c r="O41" s="134">
        <v>0.0</v>
      </c>
      <c r="P41" s="134" t="s">
        <v>44</v>
      </c>
      <c r="Q41" s="134">
        <v>49.0</v>
      </c>
      <c r="R41" s="134">
        <v>21.0</v>
      </c>
      <c r="S41" s="134" t="s">
        <v>44</v>
      </c>
      <c r="T41" s="134" t="s">
        <v>44</v>
      </c>
      <c r="U41" s="134">
        <v>37.0</v>
      </c>
      <c r="V41" s="134" t="s">
        <v>44</v>
      </c>
      <c r="W41" s="134">
        <v>12.0</v>
      </c>
      <c r="X41" s="134">
        <v>15.0</v>
      </c>
      <c r="Y41" s="134">
        <v>57.0</v>
      </c>
      <c r="Z41" s="134">
        <v>18.0</v>
      </c>
      <c r="AA41" s="135">
        <v>157.0</v>
      </c>
      <c r="AB41" s="134">
        <v>11.0</v>
      </c>
      <c r="AC41" s="135">
        <v>355.0</v>
      </c>
      <c r="AD41" s="134" t="s">
        <v>44</v>
      </c>
      <c r="AE41" s="134" t="s">
        <v>44</v>
      </c>
      <c r="AF41" s="134">
        <v>23.0</v>
      </c>
      <c r="AG41" s="134">
        <v>12.0</v>
      </c>
      <c r="AH41" s="134">
        <v>15.0</v>
      </c>
      <c r="AI41" s="134" t="s">
        <v>44</v>
      </c>
      <c r="AJ41" s="134">
        <v>54.0</v>
      </c>
      <c r="AK41" s="134">
        <v>12.0</v>
      </c>
      <c r="AL41" s="134">
        <v>26.0</v>
      </c>
      <c r="AM41" s="134">
        <v>14.0</v>
      </c>
      <c r="AN41" s="134">
        <v>48.0</v>
      </c>
      <c r="AO41" s="134">
        <v>113.0</v>
      </c>
      <c r="AP41" s="136">
        <v>1453.0</v>
      </c>
    </row>
    <row r="42">
      <c r="A42" s="133" t="s">
        <v>112</v>
      </c>
      <c r="B42" s="134">
        <v>21.0</v>
      </c>
      <c r="C42" s="134">
        <v>24.0</v>
      </c>
      <c r="D42" s="134">
        <v>20.0</v>
      </c>
      <c r="E42" s="135">
        <v>92.0</v>
      </c>
      <c r="F42" s="134">
        <v>6.0</v>
      </c>
      <c r="G42" s="134">
        <v>48.0</v>
      </c>
      <c r="H42" s="135">
        <v>210.0</v>
      </c>
      <c r="I42" s="134">
        <v>54.0</v>
      </c>
      <c r="J42" s="134">
        <v>33.0</v>
      </c>
      <c r="K42" s="134">
        <v>72.0</v>
      </c>
      <c r="L42" s="134" t="s">
        <v>44</v>
      </c>
      <c r="M42" s="134" t="s">
        <v>44</v>
      </c>
      <c r="N42" s="134">
        <v>20.0</v>
      </c>
      <c r="O42" s="134" t="s">
        <v>44</v>
      </c>
      <c r="P42" s="134">
        <v>0.0</v>
      </c>
      <c r="Q42" s="134">
        <v>78.0</v>
      </c>
      <c r="R42" s="134">
        <v>35.0</v>
      </c>
      <c r="S42" s="134" t="s">
        <v>44</v>
      </c>
      <c r="T42" s="134">
        <v>8.0</v>
      </c>
      <c r="U42" s="134">
        <v>33.0</v>
      </c>
      <c r="V42" s="134">
        <v>0.0</v>
      </c>
      <c r="W42" s="134">
        <v>19.0</v>
      </c>
      <c r="X42" s="134">
        <v>26.0</v>
      </c>
      <c r="Y42" s="134">
        <v>83.0</v>
      </c>
      <c r="Z42" s="134">
        <v>21.0</v>
      </c>
      <c r="AA42" s="135">
        <v>245.0</v>
      </c>
      <c r="AB42" s="134">
        <v>9.0</v>
      </c>
      <c r="AC42" s="135">
        <v>605.0</v>
      </c>
      <c r="AD42" s="134" t="s">
        <v>44</v>
      </c>
      <c r="AE42" s="134">
        <v>13.0</v>
      </c>
      <c r="AF42" s="134">
        <v>38.0</v>
      </c>
      <c r="AG42" s="134">
        <v>13.0</v>
      </c>
      <c r="AH42" s="134">
        <v>14.0</v>
      </c>
      <c r="AI42" s="134">
        <v>12.0</v>
      </c>
      <c r="AJ42" s="134">
        <v>120.0</v>
      </c>
      <c r="AK42" s="134">
        <v>16.0</v>
      </c>
      <c r="AL42" s="134">
        <v>51.0</v>
      </c>
      <c r="AM42" s="134">
        <v>10.0</v>
      </c>
      <c r="AN42" s="134">
        <v>61.0</v>
      </c>
      <c r="AO42" s="134">
        <v>249.0</v>
      </c>
      <c r="AP42" s="136">
        <v>2375.0</v>
      </c>
    </row>
    <row r="43">
      <c r="A43" s="133" t="s">
        <v>113</v>
      </c>
      <c r="B43" s="134">
        <v>31.0</v>
      </c>
      <c r="C43" s="134">
        <v>35.0</v>
      </c>
      <c r="D43" s="134">
        <v>27.0</v>
      </c>
      <c r="E43" s="135">
        <v>145.0</v>
      </c>
      <c r="F43" s="134" t="s">
        <v>44</v>
      </c>
      <c r="G43" s="134">
        <v>42.0</v>
      </c>
      <c r="H43" s="135">
        <v>254.0</v>
      </c>
      <c r="I43" s="134">
        <v>75.0</v>
      </c>
      <c r="J43" s="134">
        <v>27.0</v>
      </c>
      <c r="K43" s="134">
        <v>93.0</v>
      </c>
      <c r="L43" s="134" t="s">
        <v>44</v>
      </c>
      <c r="M43" s="134">
        <v>12.0</v>
      </c>
      <c r="N43" s="134">
        <v>19.0</v>
      </c>
      <c r="O43" s="134" t="s">
        <v>44</v>
      </c>
      <c r="P43" s="134">
        <v>6.0</v>
      </c>
      <c r="Q43" s="134">
        <v>98.0</v>
      </c>
      <c r="R43" s="134">
        <v>45.0</v>
      </c>
      <c r="S43" s="134" t="s">
        <v>44</v>
      </c>
      <c r="T43" s="134">
        <v>25.0</v>
      </c>
      <c r="U43" s="134">
        <v>15.0</v>
      </c>
      <c r="V43" s="134" t="s">
        <v>44</v>
      </c>
      <c r="W43" s="134">
        <v>21.0</v>
      </c>
      <c r="X43" s="134">
        <v>30.0</v>
      </c>
      <c r="Y43" s="134">
        <v>110.0</v>
      </c>
      <c r="Z43" s="134">
        <v>13.0</v>
      </c>
      <c r="AA43" s="135">
        <v>248.0</v>
      </c>
      <c r="AB43" s="134">
        <v>27.0</v>
      </c>
      <c r="AC43" s="135">
        <v>603.0</v>
      </c>
      <c r="AD43" s="134" t="s">
        <v>44</v>
      </c>
      <c r="AE43" s="134">
        <v>18.0</v>
      </c>
      <c r="AF43" s="134">
        <v>34.0</v>
      </c>
      <c r="AG43" s="134">
        <v>10.0</v>
      </c>
      <c r="AH43" s="134">
        <v>28.0</v>
      </c>
      <c r="AI43" s="134">
        <v>30.0</v>
      </c>
      <c r="AJ43" s="134">
        <v>180.0</v>
      </c>
      <c r="AK43" s="134">
        <v>7.0</v>
      </c>
      <c r="AL43" s="134">
        <v>72.0</v>
      </c>
      <c r="AM43" s="134">
        <v>15.0</v>
      </c>
      <c r="AN43" s="134">
        <v>59.0</v>
      </c>
      <c r="AO43" s="134">
        <v>265.0</v>
      </c>
      <c r="AP43" s="136">
        <v>2734.0</v>
      </c>
    </row>
  </sheetData>
  <mergeCells count="4">
    <mergeCell ref="A1:J1"/>
    <mergeCell ref="A2:E2"/>
    <mergeCell ref="A3:J3"/>
    <mergeCell ref="A6:K6"/>
  </mergeCells>
  <drawing r:id="rId1"/>
</worksheet>
</file>