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<sst xmlns="http://schemas.openxmlformats.org/spreadsheetml/2006/main" count="5266" uniqueCount="814">
  <si>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</si>
  <si>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</si>
  <si>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</si>
  <si>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</si>
  <si>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</si>
  <si>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</si>
  <si>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</si>
  <si>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</si>
  <si>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</si>
  <si>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</si>
  <si>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</si>
  <si>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</si>
  <si>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</si>
  <si>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</si>
  <si>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</si>
  <si>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</si>
  <si>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</si>
  <si>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</si>
  <si>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</si>
  <si>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</si>
  <si>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</si>
  <si>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</si>
  <si>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</si>
  <si>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</si>
  <si>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</si>
  <si>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</si>
  <si>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</si>
  <si>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</si>
  <si>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</si>
  <si>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</si>
  <si>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</si>
  <si>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</si>
  <si>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</si>
  <si>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</si>
  <si>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</si>
  <si>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</si>
  <si>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N=428,514</t>
  </si>
  <si>
    <t>N=36,375</t>
  </si>
  <si>
    <t>N=3,595</t>
  </si>
  <si>
    <t>N=1,232</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</si>
  <si>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</si>
  <si>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</si>
  <si>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</si>
  <si>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</si>
  <si>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</si>
  <si>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</si>
  <si>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</si>
  <si>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</si>
  <si>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</si>
  <si>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</si>
  <si>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</si>
  <si>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</si>
  <si>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</si>
  <si>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</si>
  <si>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</si>
  <si>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</si>
  <si>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</si>
  <si>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</si>
  <si>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</si>
  <si>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</si>
  <si>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</si>
  <si>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</si>
  <si>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</si>
  <si>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</si>
  <si>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</si>
  <si>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</si>
  <si>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</si>
  <si>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</si>
  <si>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</si>
  <si>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</si>
  <si>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</si>
  <si>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</si>
  <si>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</si>
  <si>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</si>
  <si>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</si>
  <si>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</si>
  <si>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</si>
  <si>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</si>
  <si>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</si>
  <si>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</si>
  <si>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</si>
  <si>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</si>
  <si>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</si>
  <si>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</si>
  <si>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</si>
  <si>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</si>
  <si>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</si>
  <si>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</si>
  <si>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</si>
  <si>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</si>
  <si>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</si>
  <si>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</si>
  <si>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</si>
  <si>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</si>
  <si>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</si>
  <si>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</si>
  <si>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</si>
  <si>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</si>
  <si>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</si>
  <si>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</si>
  <si>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</si>
  <si>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</si>
  <si>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</si>
  <si>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</si>
  <si>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</si>
  <si>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</si>
  <si>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</si>
  <si>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</si>
  <si>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</si>
  <si>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</si>
  <si>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</si>
  <si>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</si>
  <si>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</si>
  <si>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</si>
  <si>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</si>
  <si>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</si>
  <si>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</si>
  <si>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</si>
  <si>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</si>
  <si>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</si>
  <si>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</si>
  <si>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</si>
  <si>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</si>
  <si>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</si>
  <si>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</si>
  <si>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</si>
  <si>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</si>
  <si>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</si>
  <si>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</si>
  <si>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</si>
  <si>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</si>
  <si>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</si>
  <si>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</si>
  <si>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</si>
  <si>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</si>
  <si>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</si>
  <si>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</si>
  <si>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</si>
  <si>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</si>
  <si>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</si>
  <si>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</si>
  <si>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</si>
  <si>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</si>
  <si>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</si>
  <si>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</si>
  <si>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</si>
  <si>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</si>
  <si>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</si>
  <si>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</si>
  <si>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</si>
  <si>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</si>
  <si>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</si>
  <si>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</si>
  <si>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</si>
  <si>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</si>
  <si>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</si>
  <si>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</si>
  <si>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</si>
  <si>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</si>
  <si>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</si>
  <si>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</si>
  <si>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</si>
  <si>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</si>
  <si>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</si>
  <si>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</si>
  <si>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</si>
  <si>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</si>
  <si>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</si>
  <si>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</si>
  <si>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</si>
  <si>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</si>
  <si>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</si>
  <si>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</si>
  <si>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</si>
  <si>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</si>
  <si>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</si>
  <si>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</si>
  <si>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</si>
  <si>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</si>
  <si>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</si>
  <si>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</si>
  <si>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</si>
  <si>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</si>
  <si>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</si>
  <si>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</si>
  <si>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</si>
  <si>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</si>
  <si>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</si>
  <si>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</si>
  <si>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</si>
  <si>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</si>
  <si>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</si>
  <si>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</si>
  <si>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</si>
  <si>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</si>
  <si>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</si>
  <si>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</si>
  <si>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</si>
  <si>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</si>
  <si>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</si>
  <si>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</si>
  <si>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</si>
  <si>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</si>
  <si>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</si>
  <si>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</si>
  <si>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</si>
  <si>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</si>
  <si>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</si>
  <si>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</si>
  <si>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</si>
  <si>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</si>
  <si>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</si>
  <si>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</si>
  <si>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</si>
  <si>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</si>
  <si>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</si>
  <si>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</si>
  <si>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</si>
  <si>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</si>
  <si>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</si>
  <si>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</si>
  <si>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</si>
  <si>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</si>
  <si>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</si>
  <si>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</si>
  <si>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</si>
  <si>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</si>
  <si>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</si>
  <si>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</si>
  <si>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</si>
  <si>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</si>
  <si>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</si>
  <si>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</si>
  <si>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</si>
  <si>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</si>
  <si>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</si>
  <si>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</si>
  <si>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</si>
  <si>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</si>
  <si>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</si>
  <si>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</si>
  <si>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</si>
  <si>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</si>
  <si>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</si>
  <si>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</si>
  <si>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</si>
  <si>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</si>
  <si>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</si>
  <si>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</si>
  <si>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</si>
  <si>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</si>
  <si>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</si>
  <si>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</si>
  <si>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</si>
  <si>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</si>
  <si>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</si>
  <si>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</si>
  <si>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</si>
  <si>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</si>
  <si>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</si>
  <si>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</si>
  <si>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</si>
  <si>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</si>
  <si>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</si>
  <si>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</si>
  <si>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</si>
  <si>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</si>
  <si>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</si>
  <si>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</si>
  <si>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</si>
  <si>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</si>
  <si>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</si>
  <si>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</si>
  <si>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</si>
  <si>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</si>
  <si>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</si>
  <si>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</si>
  <si>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</si>
  <si>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</si>
  <si>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</si>
  <si>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</si>
  <si>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</si>
  <si>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</si>
  <si>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</si>
  <si>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</si>
  <si>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</si>
  <si>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</si>
  <si>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</si>
  <si>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</si>
  <si>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</si>
  <si>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</si>
  <si>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</si>
  <si>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</si>
  <si>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</si>
  <si>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</si>
  <si>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</si>
  <si>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</si>
  <si>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</si>
  <si>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</si>
  <si>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</si>
  <si>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</si>
  <si>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</si>
  <si>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</si>
  <si>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</si>
  <si>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</si>
  <si>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</si>
  <si>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</si>
  <si>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</si>
  <si>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</si>
  <si>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</si>
  <si>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</si>
  <si>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</si>
  <si>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</si>
  <si>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</si>
  <si>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</si>
  <si>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</si>
  <si>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</si>
  <si>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</si>
  <si>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</si>
  <si>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</si>
  <si>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</si>
  <si>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</si>
  <si>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</si>
  <si>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</si>
  <si>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</si>
  <si>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</si>
  <si>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</si>
  <si>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</si>
  <si>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40 to 44</t>
  </si>
  <si>
    <t>10 to 14</t>
  </si>
  <si>
    <t>Briarcliffe Manor (Johnston)</t>
  </si>
  <si>
    <t>70 to 74</t>
  </si>
  <si>
    <t>Fewer than five</t>
  </si>
  <si>
    <t>25 to 29</t>
  </si>
  <si>
    <t>Brookdale Sakonnet Bay (Tiverton)</t>
  </si>
  <si>
    <t>Brookdale South Bay (Wakefield)</t>
  </si>
  <si>
    <t>Cedar Crest (Cranston)</t>
  </si>
  <si>
    <t>Charlesgate Nursing Center (Providence)</t>
  </si>
  <si>
    <t>75 to 79</t>
  </si>
  <si>
    <t>Cherry Hill Manor (Johnston)</t>
  </si>
  <si>
    <t>120 to 124</t>
  </si>
  <si>
    <t>45 to 49</t>
  </si>
  <si>
    <t>Crestwood Nursing &amp; Rehab (Warren)</t>
  </si>
  <si>
    <t>Crystal Lake Rehabilitation &amp; Care Center (Burrillville)</t>
  </si>
  <si>
    <t>Eastgate Nursing &amp; Rehab (East Providence)</t>
  </si>
  <si>
    <t>Elmhurst Healthcare Center (Providence)</t>
  </si>
  <si>
    <t>105 to 109</t>
  </si>
  <si>
    <t>30 to 34</t>
  </si>
  <si>
    <t>Elmwood Nursing and Rehab Center (Providence)</t>
  </si>
  <si>
    <t>Evergreen House Health Center (East Providence)</t>
  </si>
  <si>
    <t>20 to 24</t>
  </si>
  <si>
    <t>Friendly Home (Woonsocket)</t>
  </si>
  <si>
    <t>60 to 64</t>
  </si>
  <si>
    <t>Golden Crest (North Providence)</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</si>
  <si>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</si>
  <si>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</si>
  <si>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</si>
  <si>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</si>
  <si>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</si>
  <si>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</si>
  <si>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</si>
  <si>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</si>
  <si>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</si>
  <si>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</si>
  <si>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</si>
  <si>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</si>
  <si>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</si>
  <si>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</si>
  <si>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</si>
  <si>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</si>
  <si>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</si>
  <si>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</si>
  <si>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</si>
  <si>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</si>
  <si>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</si>
  <si>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</si>
  <si>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</si>
  <si>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</si>
  <si>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</si>
  <si>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</si>
  <si>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</si>
  <si>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</si>
  <si>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</si>
  <si>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</si>
  <si>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</si>
  <si>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</si>
  <si>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</si>
  <si>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</si>
  <si>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</si>
  <si>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</si>
  <si>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</si>
  <si>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65 to 69</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</si>
  <si>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</si>
  <si>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</si>
  <si>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</si>
  <si>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</si>
  <si>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</si>
  <si>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</si>
  <si>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</si>
  <si>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</si>
  <si>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</si>
  <si>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</si>
  <si>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</si>
  <si>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</si>
  <si>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</si>
  <si>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</si>
  <si>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3365 to 3369</t>
  </si>
  <si>
    <t>230 to 234</t>
  </si>
  <si>
    <t>870 to 874</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</si>
  <si>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</si>
  <si>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</si>
  <si>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</si>
  <si>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</si>
  <si>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</si>
  <si>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</si>
  <si>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</si>
  <si>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</si>
  <si>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</si>
  <si>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</si>
  <si>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</si>
  <si>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</si>
  <si>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</si>
  <si>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</si>
  <si>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</si>
  <si>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</si>
  <si>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</si>
  <si>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</si>
  <si>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</si>
  <si>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315 to 319</t>
  </si>
  <si>
    <t>Note: These data are updated weekly and represent cumulative number of cases and deaths, and number of new resident cases in the past 14 days at each facility. Because these data will change throughout the week, number ranges are being presented. Data last updated 11/11/2020.</t>
  </si>
  <si>
    <t>Number of COVID-19 Cases by School and Learning Style</t>
  </si>
  <si>
    <t>Data last updated 11/12/2020 and include positive cases as of 11/7/2020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</si>
  <si>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</si>
  <si>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</si>
  <si>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</si>
  <si>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</si>
  <si>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</si>
  <si>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</si>
  <si>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</si>
  <si>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</si>
  <si>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</si>
  <si>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</si>
  <si>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</si>
  <si>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</si>
  <si>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</si>
  <si>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</si>
  <si>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</si>
  <si>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</si>
  <si>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</si>
  <si>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</si>
  <si>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</si>
  <si>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</si>
  <si>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</si>
  <si>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</si>
  <si>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</si>
  <si>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</si>
  <si>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</si>
  <si>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</si>
  <si>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</si>
  <si>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</si>
  <si>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</si>
  <si>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</si>
  <si>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</si>
  <si>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</si>
  <si>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</si>
  <si>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</si>
  <si>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</si>
  <si>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</si>
  <si>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</si>
  <si>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</si>
  <si>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</si>
  <si>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</si>
  <si>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</si>
  <si>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</si>
  <si>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</si>
  <si>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</si>
  <si>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</si>
  <si>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</si>
  <si>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</si>
  <si>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</si>
  <si>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</si>
  <si>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</si>
  <si>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</si>
  <si>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</si>
  <si>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</si>
  <si>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</si>
  <si>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</si>
  <si>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</si>
  <si>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</si>
  <si>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</si>
  <si>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</si>
  <si>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</si>
  <si>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</si>
  <si>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</si>
  <si>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</si>
  <si>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</si>
  <si>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</si>
  <si>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</si>
  <si>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</si>
  <si>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</si>
  <si>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</si>
  <si>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</si>
  <si>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</si>
  <si>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</si>
  <si>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</si>
  <si>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</si>
  <si>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</si>
  <si>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</si>
  <si>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</si>
  <si>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</si>
  <si>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</si>
  <si>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</si>
  <si>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</si>
  <si>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</si>
  <si>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</si>
  <si>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</si>
  <si>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</si>
  <si>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</si>
  <si>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</si>
  <si>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</si>
  <si>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</si>
  <si>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</si>
  <si>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</si>
  <si>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</si>
  <si>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</si>
  <si>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</si>
  <si>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</si>
  <si>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</si>
  <si>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</si>
  <si>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</si>
  <si>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</si>
  <si>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</si>
  <si>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</si>
  <si>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</si>
  <si>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</si>
  <si>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Woodridge School</t>
  </si>
  <si>
    <t>Ashton School</t>
  </si>
  <si>
    <t>B.F. Norton Elementary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</si>
  <si>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</si>
  <si>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</si>
  <si>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</si>
  <si>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</si>
  <si>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</si>
  <si>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</si>
  <si>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</si>
  <si>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</si>
  <si>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</si>
  <si>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</si>
  <si>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</si>
  <si>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</si>
  <si>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</si>
  <si>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</si>
  <si>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</si>
  <si>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</si>
  <si>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</si>
  <si>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</si>
  <si>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</si>
  <si>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</si>
  <si>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</si>
  <si>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</si>
  <si>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</si>
  <si>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</si>
  <si>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</si>
  <si>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</si>
  <si>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</si>
  <si>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</si>
  <si>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</si>
  <si>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</si>
  <si>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</si>
  <si>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</si>
  <si>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</si>
  <si>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</si>
  <si>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</si>
  <si>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</si>
  <si>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</si>
  <si>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</si>
  <si>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</si>
  <si>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</si>
  <si>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</si>
  <si>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</si>
  <si>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</si>
  <si>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</si>
  <si>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</si>
  <si>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</si>
  <si>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</si>
  <si>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</si>
  <si>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</si>
  <si>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</si>
  <si>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</si>
  <si>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</si>
  <si>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</si>
  <si>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</si>
  <si>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</si>
  <si>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</si>
  <si>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</si>
  <si>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</si>
  <si>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</si>
  <si>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</si>
  <si>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</si>
  <si>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</si>
  <si>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</si>
  <si>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</si>
  <si>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</si>
  <si>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</si>
  <si>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</si>
  <si>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</si>
  <si>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</si>
  <si>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</si>
  <si>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</si>
  <si>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</si>
  <si>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</si>
  <si>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</si>
  <si>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</si>
  <si>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</si>
  <si>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</si>
  <si>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</si>
  <si>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</si>
  <si>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</si>
  <si>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</si>
  <si>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</si>
  <si>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</si>
  <si>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</si>
  <si>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</si>
  <si>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</si>
  <si>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</si>
  <si>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</si>
  <si>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</si>
  <si>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</si>
  <si>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</si>
  <si>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</si>
  <si>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</si>
  <si>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</si>
  <si>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</si>
  <si>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</si>
  <si>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</si>
  <si>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Brown Fox Point Early Childhood Ed. Center</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</si>
  <si>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</si>
  <si>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</si>
  <si>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</si>
  <si>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</si>
  <si>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</si>
  <si>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</si>
  <si>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</si>
  <si>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</si>
  <si>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</si>
  <si>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</si>
  <si>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</si>
  <si>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</si>
  <si>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</si>
  <si>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</si>
  <si>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</si>
  <si>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</si>
  <si>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</si>
  <si>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</si>
  <si>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</si>
  <si>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</si>
  <si>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</si>
  <si>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</si>
  <si>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</si>
  <si>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</si>
  <si>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</si>
  <si>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</si>
  <si>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</si>
  <si>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</si>
  <si>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</si>
  <si>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</si>
  <si>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</si>
  <si>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</si>
  <si>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</si>
  <si>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</si>
  <si>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</si>
  <si>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</si>
  <si>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</si>
  <si>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</si>
  <si>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</si>
  <si>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</si>
  <si>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</si>
  <si>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</si>
  <si>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</si>
  <si>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</si>
  <si>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</si>
  <si>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</si>
  <si>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</si>
  <si>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</si>
  <si>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</si>
  <si>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</si>
  <si>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</si>
  <si>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</si>
  <si>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</si>
  <si>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</si>
  <si>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</si>
  <si>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</si>
  <si>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</si>
  <si>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</si>
  <si>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</si>
  <si>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</si>
  <si>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</si>
  <si>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</si>
  <si>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</si>
  <si>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</si>
  <si>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</si>
  <si>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</si>
  <si>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</si>
  <si>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</si>
  <si>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</si>
  <si>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</si>
  <si>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</si>
  <si>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</si>
  <si>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</si>
  <si>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</si>
  <si>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</si>
  <si>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</si>
  <si>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</si>
  <si>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</si>
  <si>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</si>
  <si>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</si>
  <si>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</si>
  <si>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</si>
  <si>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</si>
  <si>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</si>
  <si>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</si>
  <si>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</si>
  <si>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</si>
  <si>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</si>
  <si>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</si>
  <si>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</si>
  <si>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</si>
  <si>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</si>
  <si>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</si>
  <si>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</si>
  <si>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</si>
  <si>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</si>
  <si>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</si>
  <si>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</si>
  <si>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</si>
  <si>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</si>
  <si>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</si>
  <si>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</si>
  <si>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</si>
  <si>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</si>
  <si>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</si>
  <si>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</si>
  <si>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</si>
  <si>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</si>
  <si>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</si>
  <si>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</si>
  <si>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</si>
  <si>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</si>
  <si>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</si>
  <si>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</si>
  <si>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</si>
  <si>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</si>
  <si>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</si>
  <si>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</si>
  <si>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</si>
  <si>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</si>
  <si>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</si>
  <si>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</si>
  <si>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</si>
  <si>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</si>
  <si>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</si>
  <si>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</si>
  <si>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</si>
  <si>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</si>
  <si>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</si>
  <si>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</si>
  <si>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</si>
  <si>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</si>
  <si>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</si>
  <si>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</si>
  <si>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150 to 154</t>
  </si>
  <si>
    <t>695 to 699</t>
  </si>
  <si>
    <t>395 to 399</t>
  </si>
  <si>
    <t>Virtual Cases‡</t>
  </si>
  <si>
    <t>AF Iluminar Mayoral Academy Middle School</t>
  </si>
  <si>
    <t>Blackstone Valley Prep Junior High School (JHS)</t>
  </si>
  <si>
    <t>Blackstone Valley Prep Upper Elementary School (UES)</t>
  </si>
  <si>
    <t>Chariho Area Career and Technical Center</t>
  </si>
  <si>
    <t>Edward S. Rhodes School</t>
  </si>
  <si>
    <t>Oak Lawn School</t>
  </si>
  <si>
    <t>Community School</t>
  </si>
  <si>
    <t>John J. McLaughlin Cumberland Hill School</t>
  </si>
  <si>
    <t>Exeter-West Greenwich Regional Junior High</t>
  </si>
  <si>
    <t>Early Childhood Center</t>
  </si>
  <si>
    <t>Centredale School</t>
  </si>
  <si>
    <t>Charles E. Shea High School</t>
  </si>
  <si>
    <t>Curvin-McCabe School</t>
  </si>
  <si>
    <t>Flora S. Curtis Memorial School</t>
  </si>
  <si>
    <t>Jacqueline M. Walsh School for the Performing and Visual Arts</t>
  </si>
  <si>
    <t>M. Virginia Cunningham School</t>
  </si>
  <si>
    <t>Samuel Slater Middle School</t>
  </si>
  <si>
    <t>Portsmouth Middle School</t>
  </si>
  <si>
    <t>Kid's Kingdom</t>
  </si>
  <si>
    <t>Mount Pleasant Academy</t>
  </si>
  <si>
    <t>Trinity Christian Academy</t>
  </si>
  <si>
    <t>Providence Virtual Learning Academy</t>
  </si>
  <si>
    <t>Sheila Skip Nowell Leadership Academy (Central Campus)</t>
  </si>
  <si>
    <t>Trinity Academy for the Performing Arts</t>
  </si>
  <si>
    <t>Greenwood School</t>
  </si>
  <si>
    <t>Harold F. Scott School</t>
  </si>
  <si>
    <t>Lippitt School</t>
  </si>
  <si>
    <t>Pilgrim High School</t>
  </si>
  <si>
    <t>Winman Middle School</t>
  </si>
  <si>
    <t>Wyman School</t>
  </si>
  <si>
    <t>Greenbush Elementary School</t>
  </si>
  <si>
    <t>John F. Horgan Elementary School</t>
  </si>
  <si>
    <t>115 to 119</t>
  </si>
  <si>
    <t>530 to 534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</si>
  <si>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11/12/2020 9am.
 †New cases in past 7 days include positive cases between 11/1/2020 and 11/7/2020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</si>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</sst>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0">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6" fillId="0" fontId="26" numFmtId="0" xfId="0" applyAlignment="1" applyBorder="1" applyFont="1">
      <alignment horizontal="left" readingOrder="0" shrinkToFit="0" vertical="top" wrapText="1"/>
    </xf>
    <xf borderId="6" fillId="0" fontId="27" numFmtId="0" xfId="0" applyAlignment="1" applyBorder="1" applyFont="1">
      <alignment horizontal="left" readingOrder="0" shrinkToFit="0" vertical="bottom" wrapText="0"/>
    </xf>
    <xf borderId="0" fillId="0" fontId="28" numFmtId="0" xfId="0" applyFont="1"/>
    <xf borderId="6" fillId="0" fontId="22"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1"/>
    </xf>
    <xf borderId="8" fillId="0" fontId="22" numFmtId="0" xfId="0" applyAlignment="1" applyBorder="1" applyFont="1">
      <alignment horizontal="left" readingOrder="0" shrinkToFit="0" vertical="bottom" wrapText="0"/>
    </xf>
    <xf borderId="5" fillId="0" fontId="22" numFmtId="0" xfId="0" applyAlignment="1" applyBorder="1" applyFont="1">
      <alignment horizontal="left" readingOrder="0" shrinkToFit="0" vertical="bottom" wrapText="0"/>
    </xf>
    <xf borderId="2" fillId="17" fontId="22" numFmtId="0" xfId="0" applyAlignment="1" applyBorder="1" applyFill="1" applyFont="1">
      <alignment readingOrder="0"/>
    </xf>
    <xf borderId="5" fillId="17" fontId="22" numFmtId="0" xfId="0" applyAlignment="1" applyBorder="1" applyFont="1">
      <alignment readingOrder="0"/>
    </xf>
    <xf borderId="5" fillId="11" fontId="22" numFmtId="0" xfId="0" applyAlignment="1" applyBorder="1" applyFont="1">
      <alignment horizontal="left" readingOrder="0" shrinkToFit="0" vertical="bottom" wrapText="1"/>
    </xf>
    <xf borderId="5" fillId="4" fontId="22" numFmtId="0" xfId="0" applyAlignment="1" applyBorder="1" applyFont="1">
      <alignment readingOrder="0" shrinkToFit="0" vertical="bottom" wrapText="1"/>
    </xf>
    <xf borderId="0" fillId="0" fontId="22" numFmtId="0" xfId="0" applyAlignment="1" applyFont="1">
      <alignment horizontal="left" readingOrder="0" shrinkToFit="0" vertical="bottom" wrapText="0"/>
    </xf>
    <xf borderId="9" fillId="16" fontId="22" numFmtId="0" xfId="0" applyAlignment="1" applyBorder="1" applyFont="1">
      <alignment horizontal="left" readingOrder="0"/>
    </xf>
    <xf borderId="8" fillId="0" fontId="6" numFmtId="0" xfId="0" applyBorder="1" applyFont="1"/>
    <xf borderId="5" fillId="0" fontId="6" numFmtId="0" xfId="0" applyBorder="1" applyFont="1"/>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9" numFmtId="0" xfId="0" applyAlignment="1" applyBorder="1" applyFont="1">
      <alignment shrinkToFit="0" vertical="bottom" wrapText="0"/>
    </xf>
    <xf borderId="5" fillId="0" fontId="29" numFmtId="0" xfId="0" applyAlignment="1" applyBorder="1" applyFont="1">
      <alignment horizontal="right" readingOrder="0" shrinkToFit="0" vertical="bottom" wrapText="0"/>
    </xf>
    <xf borderId="5" fillId="0" fontId="29" numFmtId="0" xfId="0" applyAlignment="1" applyBorder="1" applyFont="1">
      <alignment horizontal="center" readingOrder="0" shrinkToFit="0" vertical="bottom" wrapText="0"/>
    </xf>
    <xf borderId="6" fillId="16" fontId="29" numFmtId="0" xfId="0" applyAlignment="1" applyBorder="1" applyFont="1">
      <alignment horizontal="left" readingOrder="0"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44147.0</v>
      </c>
    </row>
    <row r="2" ht="14.25" customHeight="1">
      <c r="A2" s="3" t="s">
        <v>1</v>
      </c>
      <c r="B2" s="4">
        <v>1021.0</v>
      </c>
    </row>
    <row r="3" ht="14.25" customHeight="1">
      <c r="A3" s="3" t="s">
        <v>2</v>
      </c>
      <c r="B3" s="4">
        <v>957.0</v>
      </c>
    </row>
    <row r="4" ht="14.25" customHeight="1">
      <c r="A4" s="3" t="s">
        <v>3</v>
      </c>
      <c r="B4" s="4">
        <v>52410.0</v>
      </c>
    </row>
    <row r="5" ht="14.25" customHeight="1">
      <c r="A5" s="3" t="s">
        <v>4</v>
      </c>
      <c r="B5" s="4">
        <v>18820.0</v>
      </c>
    </row>
    <row r="6" ht="14.25" customHeight="1">
      <c r="A6" s="5" t="s">
        <v>5</v>
      </c>
      <c r="B6" s="4">
        <v>1248876.0</v>
      </c>
    </row>
    <row r="7" ht="14.25" customHeight="1">
      <c r="A7" s="6" t="s">
        <v>6</v>
      </c>
      <c r="B7" s="4">
        <v>19841.0</v>
      </c>
    </row>
    <row r="8" ht="14.25" customHeight="1">
      <c r="A8" s="6" t="s">
        <v>7</v>
      </c>
      <c r="B8" s="7">
        <v>1301286.0</v>
      </c>
    </row>
    <row r="9" ht="14.25" customHeight="1">
      <c r="A9" s="8" t="s">
        <v>8</v>
      </c>
      <c r="B9" s="7">
        <v>936.0</v>
      </c>
    </row>
    <row r="10" ht="14.25" customHeight="1">
      <c r="A10" s="9" t="s">
        <v>9</v>
      </c>
      <c r="B10" s="7">
        <v>883.0</v>
      </c>
    </row>
    <row r="11" ht="14.25" customHeight="1">
      <c r="A11" s="8" t="s">
        <v>10</v>
      </c>
      <c r="B11" s="7">
        <v>40764.0</v>
      </c>
    </row>
    <row r="12" ht="14.25" customHeight="1">
      <c r="A12" s="8" t="s">
        <v>11</v>
      </c>
      <c r="B12" s="7">
        <v>2575.0</v>
      </c>
    </row>
    <row r="13" ht="14.25" customHeight="1">
      <c r="A13" s="8" t="s">
        <v>12</v>
      </c>
      <c r="B13" s="7">
        <v>433650.0</v>
      </c>
    </row>
    <row r="14" ht="15.0" customHeight="1">
      <c r="A14" s="8" t="s">
        <v>13</v>
      </c>
      <c r="B14" s="7">
        <v>474414.0</v>
      </c>
    </row>
    <row r="15" ht="14.25" customHeight="1">
      <c r="A15" s="10" t="s">
        <v>14</v>
      </c>
      <c r="B15" s="4">
        <v>37.0</v>
      </c>
    </row>
    <row r="16" ht="14.25" customHeight="1">
      <c r="A16" s="10" t="s">
        <v>15</v>
      </c>
      <c r="B16" s="4">
        <v>3701.0</v>
      </c>
    </row>
    <row r="17" ht="14.25" customHeight="1">
      <c r="A17" s="10" t="s">
        <v>16</v>
      </c>
      <c r="B17" s="4">
        <v>30.0</v>
      </c>
    </row>
    <row r="18" ht="14.25" customHeight="1">
      <c r="A18" s="10" t="s">
        <v>17</v>
      </c>
      <c r="B18" s="4">
        <v>3052.0</v>
      </c>
    </row>
    <row r="19" ht="14.25" customHeight="1">
      <c r="A19" s="10" t="s">
        <v>18</v>
      </c>
      <c r="B19" s="4">
        <v>0.0</v>
      </c>
    </row>
    <row r="20" ht="14.25" customHeight="1">
      <c r="A20" s="10" t="s">
        <v>19</v>
      </c>
      <c r="B20" s="4">
        <v>417.0</v>
      </c>
    </row>
    <row r="21" ht="14.25" customHeight="1">
      <c r="A21" s="10" t="s">
        <v>20</v>
      </c>
      <c r="B21" s="7">
        <v>232.0</v>
      </c>
    </row>
    <row r="22" ht="14.25" customHeight="1">
      <c r="A22" s="10" t="s">
        <v>21</v>
      </c>
      <c r="B22" s="7">
        <v>227.0</v>
      </c>
    </row>
    <row r="23" ht="14.25" customHeight="1">
      <c r="A23" s="10" t="s">
        <v>22</v>
      </c>
      <c r="B23" s="7">
        <v>28.0</v>
      </c>
    </row>
    <row r="24" ht="14.25" customHeight="1">
      <c r="A24" s="10" t="s">
        <v>23</v>
      </c>
      <c r="B24" s="7">
        <v>17.0</v>
      </c>
    </row>
    <row r="25" ht="14.25" customHeight="1">
      <c r="A25" s="11" t="s">
        <v>24</v>
      </c>
      <c r="B25" s="7">
        <v>7.0</v>
      </c>
    </row>
    <row r="26" ht="14.25" customHeight="1">
      <c r="A26" s="12" t="s">
        <v>25</v>
      </c>
      <c r="B26" s="7">
        <v>1250.0</v>
      </c>
    </row>
    <row r="27" ht="14.25" customHeight="1">
      <c r="A27" s="13" t="s">
        <v>26</v>
      </c>
      <c r="B27" s="7">
        <v>1289640.0</v>
      </c>
    </row>
    <row r="28" ht="14.25" customHeight="1">
      <c r="A28" s="13" t="s">
        <v>27</v>
      </c>
      <c r="B28" s="7">
        <v>19756.0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216</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217</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44146.0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175</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176</v>
      </c>
      <c r="C8" s="144" t="s">
        <v>177</v>
      </c>
      <c r="D8" s="144" t="s">
        <v>178</v>
      </c>
      <c r="E8" s="144" t="s">
        <v>179</v>
      </c>
      <c r="F8" s="144" t="s">
        <v>180</v>
      </c>
      <c r="G8" s="144" t="s">
        <v>181</v>
      </c>
      <c r="H8" s="144" t="s">
        <v>182</v>
      </c>
      <c r="I8" s="144" t="s">
        <v>183</v>
      </c>
      <c r="J8" s="144" t="s">
        <v>184</v>
      </c>
      <c r="K8" s="144" t="s">
        <v>185</v>
      </c>
      <c r="L8" s="144" t="s">
        <v>186</v>
      </c>
      <c r="M8" s="144" t="s">
        <v>187</v>
      </c>
      <c r="N8" s="144" t="s">
        <v>188</v>
      </c>
      <c r="O8" s="144" t="s">
        <v>189</v>
      </c>
      <c r="P8" s="144" t="s">
        <v>190</v>
      </c>
      <c r="Q8" s="144" t="s">
        <v>191</v>
      </c>
      <c r="R8" s="144" t="s">
        <v>192</v>
      </c>
      <c r="S8" s="144" t="s">
        <v>193</v>
      </c>
      <c r="T8" s="144" t="s">
        <v>194</v>
      </c>
      <c r="U8" s="144" t="s">
        <v>195</v>
      </c>
      <c r="V8" s="144" t="s">
        <v>196</v>
      </c>
      <c r="W8" s="144" t="s">
        <v>197</v>
      </c>
      <c r="X8" s="144" t="s">
        <v>198</v>
      </c>
      <c r="Y8" s="144" t="s">
        <v>199</v>
      </c>
      <c r="Z8" s="144" t="s">
        <v>200</v>
      </c>
      <c r="AA8" s="144" t="s">
        <v>201</v>
      </c>
      <c r="AB8" s="144" t="s">
        <v>202</v>
      </c>
      <c r="AC8" s="144" t="s">
        <v>203</v>
      </c>
      <c r="AD8" s="144" t="s">
        <v>204</v>
      </c>
      <c r="AE8" s="144" t="s">
        <v>205</v>
      </c>
      <c r="AF8" s="144" t="s">
        <v>206</v>
      </c>
      <c r="AG8" s="144" t="s">
        <v>207</v>
      </c>
      <c r="AH8" s="144" t="s">
        <v>208</v>
      </c>
      <c r="AI8" s="144" t="s">
        <v>209</v>
      </c>
      <c r="AJ8" s="144" t="s">
        <v>210</v>
      </c>
      <c r="AK8" s="144" t="s">
        <v>211</v>
      </c>
      <c r="AL8" s="144" t="s">
        <v>212</v>
      </c>
      <c r="AM8" s="144" t="s">
        <v>213</v>
      </c>
      <c r="AN8" s="144" t="s">
        <v>214</v>
      </c>
      <c r="AO8" s="144" t="s">
        <v>170</v>
      </c>
    </row>
    <row r="9">
      <c r="A9" s="145" t="s">
        <v>218</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118</v>
      </c>
      <c r="H10" s="97">
        <v>0.0</v>
      </c>
      <c r="I10" s="97" t="s">
        <v>118</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118</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118</v>
      </c>
    </row>
    <row r="11">
      <c r="A11" s="145" t="s">
        <v>80</v>
      </c>
      <c r="B11" s="97" t="s">
        <v>118</v>
      </c>
      <c r="C11" s="97">
        <v>0.0</v>
      </c>
      <c r="D11" s="97" t="s">
        <v>118</v>
      </c>
      <c r="E11" s="97">
        <v>0.0</v>
      </c>
      <c r="F11" s="97">
        <v>0.0</v>
      </c>
      <c r="G11" s="97">
        <v>0.0</v>
      </c>
      <c r="H11" s="97" t="s">
        <v>118</v>
      </c>
      <c r="I11" s="97">
        <v>0.0</v>
      </c>
      <c r="J11" s="97">
        <v>0.0</v>
      </c>
      <c r="K11" s="97" t="s">
        <v>118</v>
      </c>
      <c r="L11" s="97">
        <v>0.0</v>
      </c>
      <c r="M11" s="97">
        <v>0.0</v>
      </c>
      <c r="N11" s="97">
        <v>0.0</v>
      </c>
      <c r="O11" s="97">
        <v>0.0</v>
      </c>
      <c r="P11" s="97">
        <v>0.0</v>
      </c>
      <c r="Q11" s="97">
        <v>0.0</v>
      </c>
      <c r="R11" s="97" t="s">
        <v>118</v>
      </c>
      <c r="S11" s="97">
        <v>0.0</v>
      </c>
      <c r="T11" s="97" t="s">
        <v>118</v>
      </c>
      <c r="U11" s="97" t="s">
        <v>118</v>
      </c>
      <c r="V11" s="97">
        <v>0.0</v>
      </c>
      <c r="W11" s="97">
        <v>0.0</v>
      </c>
      <c r="X11" s="97">
        <v>0.0</v>
      </c>
      <c r="Y11" s="97">
        <v>0.0</v>
      </c>
      <c r="Z11" s="97">
        <v>0.0</v>
      </c>
      <c r="AA11" s="97">
        <v>0.0</v>
      </c>
      <c r="AB11" s="97">
        <v>0.0</v>
      </c>
      <c r="AC11" s="97" t="s">
        <v>118</v>
      </c>
      <c r="AD11" s="97">
        <v>0.0</v>
      </c>
      <c r="AE11" s="97" t="s">
        <v>118</v>
      </c>
      <c r="AF11" s="97">
        <v>0.0</v>
      </c>
      <c r="AG11" s="97">
        <v>0.0</v>
      </c>
      <c r="AH11" s="97">
        <v>0.0</v>
      </c>
      <c r="AI11" s="97">
        <v>0.0</v>
      </c>
      <c r="AJ11" s="97" t="s">
        <v>118</v>
      </c>
      <c r="AK11" s="97">
        <v>0.0</v>
      </c>
      <c r="AL11" s="97">
        <v>0.0</v>
      </c>
      <c r="AM11" s="97" t="s">
        <v>118</v>
      </c>
      <c r="AN11" s="97">
        <v>0.0</v>
      </c>
      <c r="AO11" s="97">
        <v>1.0</v>
      </c>
    </row>
    <row r="12">
      <c r="A12" s="145" t="s">
        <v>81</v>
      </c>
      <c r="B12" s="97" t="s">
        <v>118</v>
      </c>
      <c r="C12" s="97" t="s">
        <v>118</v>
      </c>
      <c r="D12" s="97">
        <v>0.0</v>
      </c>
      <c r="E12" s="97" t="s">
        <v>118</v>
      </c>
      <c r="F12" s="97">
        <v>0.0</v>
      </c>
      <c r="G12" s="97" t="s">
        <v>118</v>
      </c>
      <c r="H12" s="97" t="s">
        <v>118</v>
      </c>
      <c r="I12" s="97" t="s">
        <v>118</v>
      </c>
      <c r="J12" s="97">
        <v>0.0</v>
      </c>
      <c r="K12" s="97" t="s">
        <v>118</v>
      </c>
      <c r="L12" s="97">
        <v>0.0</v>
      </c>
      <c r="M12" s="97" t="s">
        <v>118</v>
      </c>
      <c r="N12" s="97">
        <v>0.0</v>
      </c>
      <c r="O12" s="97">
        <v>0.0</v>
      </c>
      <c r="P12" s="97" t="s">
        <v>118</v>
      </c>
      <c r="Q12" s="97" t="s">
        <v>118</v>
      </c>
      <c r="R12" s="97">
        <v>0.0</v>
      </c>
      <c r="S12" s="97" t="s">
        <v>118</v>
      </c>
      <c r="T12" s="97" t="s">
        <v>118</v>
      </c>
      <c r="U12" s="97">
        <v>0.0</v>
      </c>
      <c r="V12" s="97">
        <v>0.0</v>
      </c>
      <c r="W12" s="97" t="s">
        <v>118</v>
      </c>
      <c r="X12" s="97">
        <v>0.0</v>
      </c>
      <c r="Y12" s="97">
        <v>0.0</v>
      </c>
      <c r="Z12" s="97" t="s">
        <v>118</v>
      </c>
      <c r="AA12" s="97" t="s">
        <v>118</v>
      </c>
      <c r="AB12" s="97" t="s">
        <v>118</v>
      </c>
      <c r="AC12" s="97">
        <v>14.0</v>
      </c>
      <c r="AD12" s="97">
        <v>0.0</v>
      </c>
      <c r="AE12" s="97" t="s">
        <v>118</v>
      </c>
      <c r="AF12" s="97">
        <v>0.0</v>
      </c>
      <c r="AG12" s="97" t="s">
        <v>118</v>
      </c>
      <c r="AH12" s="97">
        <v>0.0</v>
      </c>
      <c r="AI12" s="97" t="s">
        <v>118</v>
      </c>
      <c r="AJ12" s="97" t="s">
        <v>118</v>
      </c>
      <c r="AK12" s="97">
        <v>0.0</v>
      </c>
      <c r="AL12" s="97">
        <v>0.0</v>
      </c>
      <c r="AM12" s="97" t="s">
        <v>118</v>
      </c>
      <c r="AN12" s="97">
        <v>0.0</v>
      </c>
      <c r="AO12" s="97">
        <v>6.0</v>
      </c>
    </row>
    <row r="13">
      <c r="A13" s="145" t="s">
        <v>82</v>
      </c>
      <c r="B13" s="97">
        <v>31.0</v>
      </c>
      <c r="C13" s="97" t="s">
        <v>118</v>
      </c>
      <c r="D13" s="97">
        <v>30.0</v>
      </c>
      <c r="E13" s="97" t="s">
        <v>118</v>
      </c>
      <c r="F13" s="97" t="s">
        <v>118</v>
      </c>
      <c r="G13" s="97" t="s">
        <v>118</v>
      </c>
      <c r="H13" s="97">
        <v>33.0</v>
      </c>
      <c r="I13" s="97">
        <v>17.0</v>
      </c>
      <c r="J13" s="97">
        <v>0.0</v>
      </c>
      <c r="K13" s="97">
        <v>17.0</v>
      </c>
      <c r="L13" s="97" t="s">
        <v>118</v>
      </c>
      <c r="M13" s="97">
        <v>0.0</v>
      </c>
      <c r="N13" s="97">
        <v>0.0</v>
      </c>
      <c r="O13" s="97" t="s">
        <v>118</v>
      </c>
      <c r="P13" s="97">
        <v>0.0</v>
      </c>
      <c r="Q13" s="97" t="s">
        <v>118</v>
      </c>
      <c r="R13" s="97" t="s">
        <v>118</v>
      </c>
      <c r="S13" s="97">
        <v>0.0</v>
      </c>
      <c r="T13" s="97">
        <v>0.0</v>
      </c>
      <c r="U13" s="97" t="s">
        <v>118</v>
      </c>
      <c r="V13" s="97">
        <v>0.0</v>
      </c>
      <c r="W13" s="97" t="s">
        <v>118</v>
      </c>
      <c r="X13" s="97">
        <v>27.0</v>
      </c>
      <c r="Y13" s="97">
        <v>15.0</v>
      </c>
      <c r="Z13" s="97" t="s">
        <v>118</v>
      </c>
      <c r="AA13" s="97">
        <v>22.0</v>
      </c>
      <c r="AB13" s="97" t="s">
        <v>118</v>
      </c>
      <c r="AC13" s="97">
        <v>26.0</v>
      </c>
      <c r="AD13" s="97">
        <v>0.0</v>
      </c>
      <c r="AE13" s="97">
        <v>47.0</v>
      </c>
      <c r="AF13" s="97" t="s">
        <v>118</v>
      </c>
      <c r="AG13" s="97" t="s">
        <v>118</v>
      </c>
      <c r="AH13" s="97">
        <v>38.0</v>
      </c>
      <c r="AI13" s="97">
        <v>0.0</v>
      </c>
      <c r="AJ13" s="97">
        <v>19.0</v>
      </c>
      <c r="AK13" s="97">
        <v>0.0</v>
      </c>
      <c r="AL13" s="97">
        <v>21.0</v>
      </c>
      <c r="AM13" s="97" t="s">
        <v>118</v>
      </c>
      <c r="AN13" s="97" t="s">
        <v>118</v>
      </c>
      <c r="AO13" s="97">
        <v>19.0</v>
      </c>
    </row>
    <row r="14">
      <c r="A14" s="145" t="s">
        <v>83</v>
      </c>
      <c r="B14" s="97" t="s">
        <v>118</v>
      </c>
      <c r="C14" s="97">
        <v>27.0</v>
      </c>
      <c r="D14" s="97">
        <v>36.0</v>
      </c>
      <c r="E14" s="97">
        <v>52.0</v>
      </c>
      <c r="F14" s="97" t="s">
        <v>118</v>
      </c>
      <c r="G14" s="97">
        <v>35.0</v>
      </c>
      <c r="H14" s="97">
        <v>52.0</v>
      </c>
      <c r="I14" s="97">
        <v>49.0</v>
      </c>
      <c r="J14" s="97">
        <v>38.0</v>
      </c>
      <c r="K14" s="97">
        <v>32.0</v>
      </c>
      <c r="L14" s="97" t="s">
        <v>118</v>
      </c>
      <c r="M14" s="97">
        <v>0.0</v>
      </c>
      <c r="N14" s="97" t="s">
        <v>118</v>
      </c>
      <c r="O14" s="97" t="s">
        <v>118</v>
      </c>
      <c r="P14" s="97" t="s">
        <v>118</v>
      </c>
      <c r="Q14" s="97">
        <v>38.0</v>
      </c>
      <c r="R14" s="97">
        <v>42.0</v>
      </c>
      <c r="S14" s="97" t="s">
        <v>118</v>
      </c>
      <c r="T14" s="97" t="s">
        <v>118</v>
      </c>
      <c r="U14" s="97" t="s">
        <v>118</v>
      </c>
      <c r="V14" s="97" t="s">
        <v>118</v>
      </c>
      <c r="W14" s="97">
        <v>24.0</v>
      </c>
      <c r="X14" s="97">
        <v>31.0</v>
      </c>
      <c r="Y14" s="97">
        <v>80.0</v>
      </c>
      <c r="Z14" s="97" t="s">
        <v>118</v>
      </c>
      <c r="AA14" s="97">
        <v>77.0</v>
      </c>
      <c r="AB14" s="97">
        <v>40.0</v>
      </c>
      <c r="AC14" s="97">
        <v>63.0</v>
      </c>
      <c r="AD14" s="97">
        <v>0.0</v>
      </c>
      <c r="AE14" s="97" t="s">
        <v>118</v>
      </c>
      <c r="AF14" s="97">
        <v>37.0</v>
      </c>
      <c r="AG14" s="97">
        <v>26.0</v>
      </c>
      <c r="AH14" s="97">
        <v>32.0</v>
      </c>
      <c r="AI14" s="97" t="s">
        <v>118</v>
      </c>
      <c r="AJ14" s="97">
        <v>36.0</v>
      </c>
      <c r="AK14" s="97" t="s">
        <v>118</v>
      </c>
      <c r="AL14" s="97">
        <v>52.0</v>
      </c>
      <c r="AM14" s="97">
        <v>40.0</v>
      </c>
      <c r="AN14" s="97">
        <v>26.0</v>
      </c>
      <c r="AO14" s="97">
        <v>46.0</v>
      </c>
    </row>
    <row r="15">
      <c r="A15" s="145" t="s">
        <v>84</v>
      </c>
      <c r="B15" s="97">
        <v>37.0</v>
      </c>
      <c r="C15" s="97">
        <v>40.0</v>
      </c>
      <c r="D15" s="97">
        <v>85.0</v>
      </c>
      <c r="E15" s="97">
        <v>248.0</v>
      </c>
      <c r="F15" s="97" t="s">
        <v>118</v>
      </c>
      <c r="G15" s="97">
        <v>67.0</v>
      </c>
      <c r="H15" s="97">
        <v>134.0</v>
      </c>
      <c r="I15" s="97">
        <v>118.0</v>
      </c>
      <c r="J15" s="97">
        <v>99.0</v>
      </c>
      <c r="K15" s="97">
        <v>126.0</v>
      </c>
      <c r="L15" s="97" t="s">
        <v>118</v>
      </c>
      <c r="M15" s="97">
        <v>107.0</v>
      </c>
      <c r="N15" s="97" t="s">
        <v>118</v>
      </c>
      <c r="O15" s="97" t="s">
        <v>118</v>
      </c>
      <c r="P15" s="97" t="s">
        <v>118</v>
      </c>
      <c r="Q15" s="97">
        <v>130.0</v>
      </c>
      <c r="R15" s="97">
        <v>88.0</v>
      </c>
      <c r="S15" s="97" t="s">
        <v>118</v>
      </c>
      <c r="T15" s="97">
        <v>37.0</v>
      </c>
      <c r="U15" s="97">
        <v>84.0</v>
      </c>
      <c r="V15" s="97">
        <v>0.0</v>
      </c>
      <c r="W15" s="97">
        <v>32.0</v>
      </c>
      <c r="X15" s="97">
        <v>84.0</v>
      </c>
      <c r="Y15" s="97">
        <v>182.0</v>
      </c>
      <c r="Z15" s="97">
        <v>40.0</v>
      </c>
      <c r="AA15" s="97">
        <v>201.0</v>
      </c>
      <c r="AB15" s="97" t="s">
        <v>118</v>
      </c>
      <c r="AC15" s="97">
        <v>293.0</v>
      </c>
      <c r="AD15" s="97" t="s">
        <v>118</v>
      </c>
      <c r="AE15" s="97">
        <v>57.0</v>
      </c>
      <c r="AF15" s="97">
        <v>83.0</v>
      </c>
      <c r="AG15" s="97">
        <v>62.0</v>
      </c>
      <c r="AH15" s="97">
        <v>89.0</v>
      </c>
      <c r="AI15" s="97" t="s">
        <v>118</v>
      </c>
      <c r="AJ15" s="97">
        <v>81.0</v>
      </c>
      <c r="AK15" s="97">
        <v>81.0</v>
      </c>
      <c r="AL15" s="97">
        <v>73.0</v>
      </c>
      <c r="AM15" s="97">
        <v>35.0</v>
      </c>
      <c r="AN15" s="97">
        <v>91.0</v>
      </c>
      <c r="AO15" s="97">
        <v>137.0</v>
      </c>
    </row>
    <row r="16">
      <c r="A16" s="145" t="s">
        <v>85</v>
      </c>
      <c r="B16" s="97" t="s">
        <v>118</v>
      </c>
      <c r="C16" s="97">
        <v>54.0</v>
      </c>
      <c r="D16" s="97">
        <v>49.0</v>
      </c>
      <c r="E16" s="97">
        <v>578.0</v>
      </c>
      <c r="F16" s="97" t="s">
        <v>118</v>
      </c>
      <c r="G16" s="97">
        <v>52.0</v>
      </c>
      <c r="H16" s="97">
        <v>170.0</v>
      </c>
      <c r="I16" s="97">
        <v>81.0</v>
      </c>
      <c r="J16" s="97">
        <v>38.0</v>
      </c>
      <c r="K16" s="97">
        <v>114.0</v>
      </c>
      <c r="L16" s="97" t="s">
        <v>118</v>
      </c>
      <c r="M16" s="97" t="s">
        <v>118</v>
      </c>
      <c r="N16" s="97">
        <v>60.0</v>
      </c>
      <c r="O16" s="97">
        <v>0.0</v>
      </c>
      <c r="P16" s="97" t="s">
        <v>118</v>
      </c>
      <c r="Q16" s="97">
        <v>133.0</v>
      </c>
      <c r="R16" s="97">
        <v>92.0</v>
      </c>
      <c r="S16" s="97" t="s">
        <v>118</v>
      </c>
      <c r="T16" s="97" t="s">
        <v>118</v>
      </c>
      <c r="U16" s="97" t="s">
        <v>118</v>
      </c>
      <c r="V16" s="97">
        <v>0.0</v>
      </c>
      <c r="W16" s="97">
        <v>0.0</v>
      </c>
      <c r="X16" s="97">
        <v>23.0</v>
      </c>
      <c r="Y16" s="97">
        <v>259.0</v>
      </c>
      <c r="Z16" s="97" t="s">
        <v>118</v>
      </c>
      <c r="AA16" s="97">
        <v>288.0</v>
      </c>
      <c r="AB16" s="97" t="s">
        <v>118</v>
      </c>
      <c r="AC16" s="97">
        <v>349.0</v>
      </c>
      <c r="AD16" s="97" t="s">
        <v>118</v>
      </c>
      <c r="AE16" s="97">
        <v>57.0</v>
      </c>
      <c r="AF16" s="97">
        <v>32.0</v>
      </c>
      <c r="AG16" s="97">
        <v>33.0</v>
      </c>
      <c r="AH16" s="97">
        <v>51.0</v>
      </c>
      <c r="AI16" s="97" t="s">
        <v>118</v>
      </c>
      <c r="AJ16" s="97">
        <v>76.0</v>
      </c>
      <c r="AK16" s="97" t="s">
        <v>118</v>
      </c>
      <c r="AL16" s="97">
        <v>107.0</v>
      </c>
      <c r="AM16" s="97">
        <v>27.0</v>
      </c>
      <c r="AN16" s="97">
        <v>116.0</v>
      </c>
      <c r="AO16" s="97">
        <v>153.0</v>
      </c>
    </row>
    <row r="17">
      <c r="A17" s="145" t="s">
        <v>86</v>
      </c>
      <c r="B17" s="97">
        <v>37.0</v>
      </c>
      <c r="C17" s="97">
        <v>54.0</v>
      </c>
      <c r="D17" s="97">
        <v>61.0</v>
      </c>
      <c r="E17" s="97">
        <v>903.0</v>
      </c>
      <c r="F17" s="97" t="s">
        <v>118</v>
      </c>
      <c r="G17" s="97">
        <v>46.0</v>
      </c>
      <c r="H17" s="97">
        <v>153.0</v>
      </c>
      <c r="I17" s="97">
        <v>101.0</v>
      </c>
      <c r="J17" s="97">
        <v>92.0</v>
      </c>
      <c r="K17" s="97">
        <v>103.0</v>
      </c>
      <c r="L17" s="97">
        <v>74.0</v>
      </c>
      <c r="M17" s="97" t="s">
        <v>118</v>
      </c>
      <c r="N17" s="97">
        <v>70.0</v>
      </c>
      <c r="O17" s="97" t="s">
        <v>118</v>
      </c>
      <c r="P17" s="97" t="s">
        <v>118</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79.0</v>
      </c>
      <c r="AG17" s="97">
        <v>23.0</v>
      </c>
      <c r="AH17" s="97">
        <v>76.0</v>
      </c>
      <c r="AI17" s="97">
        <v>133.0</v>
      </c>
      <c r="AJ17" s="97">
        <v>73.0</v>
      </c>
      <c r="AK17" s="97" t="s">
        <v>118</v>
      </c>
      <c r="AL17" s="97">
        <v>117.0</v>
      </c>
      <c r="AM17" s="97">
        <v>66.0</v>
      </c>
      <c r="AN17" s="97">
        <v>120.0</v>
      </c>
      <c r="AO17" s="97">
        <v>190.0</v>
      </c>
    </row>
    <row r="18">
      <c r="A18" s="145" t="s">
        <v>87</v>
      </c>
      <c r="B18" s="97" t="s">
        <v>118</v>
      </c>
      <c r="C18" s="97">
        <v>45.0</v>
      </c>
      <c r="D18" s="97">
        <v>61.0</v>
      </c>
      <c r="E18" s="97">
        <v>691.0</v>
      </c>
      <c r="F18" s="97" t="s">
        <v>118</v>
      </c>
      <c r="G18" s="97">
        <v>35.0</v>
      </c>
      <c r="H18" s="97">
        <v>134.0</v>
      </c>
      <c r="I18" s="97">
        <v>58.0</v>
      </c>
      <c r="J18" s="97">
        <v>76.0</v>
      </c>
      <c r="K18" s="97">
        <v>91.0</v>
      </c>
      <c r="L18" s="97" t="s">
        <v>118</v>
      </c>
      <c r="M18" s="97" t="s">
        <v>118</v>
      </c>
      <c r="N18" s="97" t="s">
        <v>118</v>
      </c>
      <c r="O18" s="97">
        <v>0.0</v>
      </c>
      <c r="P18" s="97">
        <v>0.0</v>
      </c>
      <c r="Q18" s="97">
        <v>86.0</v>
      </c>
      <c r="R18" s="97">
        <v>88.0</v>
      </c>
      <c r="S18" s="97">
        <v>0.0</v>
      </c>
      <c r="T18" s="97" t="s">
        <v>118</v>
      </c>
      <c r="U18" s="97" t="s">
        <v>118</v>
      </c>
      <c r="V18" s="97">
        <v>0.0</v>
      </c>
      <c r="W18" s="97">
        <v>32.0</v>
      </c>
      <c r="X18" s="97">
        <v>19.0</v>
      </c>
      <c r="Y18" s="97">
        <v>179.0</v>
      </c>
      <c r="Z18" s="97" t="s">
        <v>118</v>
      </c>
      <c r="AA18" s="97">
        <v>277.0</v>
      </c>
      <c r="AB18" s="97" t="s">
        <v>118</v>
      </c>
      <c r="AC18" s="97">
        <v>389.0</v>
      </c>
      <c r="AD18" s="97">
        <v>66.0</v>
      </c>
      <c r="AE18" s="97" t="s">
        <v>118</v>
      </c>
      <c r="AF18" s="97">
        <v>51.0</v>
      </c>
      <c r="AG18" s="97" t="s">
        <v>118</v>
      </c>
      <c r="AH18" s="97">
        <v>44.0</v>
      </c>
      <c r="AI18" s="97" t="s">
        <v>118</v>
      </c>
      <c r="AJ18" s="97">
        <v>72.0</v>
      </c>
      <c r="AK18" s="97" t="s">
        <v>118</v>
      </c>
      <c r="AL18" s="97">
        <v>86.0</v>
      </c>
      <c r="AM18" s="97">
        <v>31.0</v>
      </c>
      <c r="AN18" s="97">
        <v>130.0</v>
      </c>
      <c r="AO18" s="97">
        <v>155.0</v>
      </c>
    </row>
    <row r="19">
      <c r="A19" s="145" t="s">
        <v>88</v>
      </c>
      <c r="B19" s="97" t="s">
        <v>118</v>
      </c>
      <c r="C19" s="97">
        <v>40.0</v>
      </c>
      <c r="D19" s="97" t="s">
        <v>118</v>
      </c>
      <c r="E19" s="97">
        <v>666.0</v>
      </c>
      <c r="F19" s="97" t="s">
        <v>118</v>
      </c>
      <c r="G19" s="97">
        <v>35.0</v>
      </c>
      <c r="H19" s="97">
        <v>101.0</v>
      </c>
      <c r="I19" s="97">
        <v>61.0</v>
      </c>
      <c r="J19" s="97">
        <v>54.0</v>
      </c>
      <c r="K19" s="97">
        <v>107.0</v>
      </c>
      <c r="L19" s="97">
        <v>88.0</v>
      </c>
      <c r="M19" s="97" t="s">
        <v>118</v>
      </c>
      <c r="N19" s="97" t="s">
        <v>118</v>
      </c>
      <c r="O19" s="97" t="s">
        <v>118</v>
      </c>
      <c r="P19" s="97" t="s">
        <v>118</v>
      </c>
      <c r="Q19" s="97">
        <v>113.0</v>
      </c>
      <c r="R19" s="97">
        <v>92.0</v>
      </c>
      <c r="S19" s="97" t="s">
        <v>118</v>
      </c>
      <c r="T19" s="97" t="s">
        <v>118</v>
      </c>
      <c r="U19" s="97" t="s">
        <v>118</v>
      </c>
      <c r="V19" s="97">
        <v>0.0</v>
      </c>
      <c r="W19" s="97">
        <v>32.0</v>
      </c>
      <c r="X19" s="97">
        <v>31.0</v>
      </c>
      <c r="Y19" s="97">
        <v>139.0</v>
      </c>
      <c r="Z19" s="97" t="s">
        <v>118</v>
      </c>
      <c r="AA19" s="97">
        <v>270.0</v>
      </c>
      <c r="AB19" s="97" t="s">
        <v>118</v>
      </c>
      <c r="AC19" s="97">
        <v>304.0</v>
      </c>
      <c r="AD19" s="97" t="s">
        <v>118</v>
      </c>
      <c r="AE19" s="97" t="s">
        <v>118</v>
      </c>
      <c r="AF19" s="97">
        <v>51.0</v>
      </c>
      <c r="AG19" s="97" t="s">
        <v>118</v>
      </c>
      <c r="AH19" s="97">
        <v>32.0</v>
      </c>
      <c r="AI19" s="97" t="s">
        <v>118</v>
      </c>
      <c r="AJ19" s="97">
        <v>56.0</v>
      </c>
      <c r="AK19" s="97">
        <v>0.0</v>
      </c>
      <c r="AL19" s="97">
        <v>97.0</v>
      </c>
      <c r="AM19" s="97" t="s">
        <v>118</v>
      </c>
      <c r="AN19" s="97">
        <v>137.0</v>
      </c>
      <c r="AO19" s="97">
        <v>131.0</v>
      </c>
    </row>
    <row r="20">
      <c r="A20" s="145" t="s">
        <v>89</v>
      </c>
      <c r="B20" s="97">
        <v>43.0</v>
      </c>
      <c r="C20" s="97">
        <v>27.0</v>
      </c>
      <c r="D20" s="97" t="s">
        <v>118</v>
      </c>
      <c r="E20" s="97">
        <v>495.0</v>
      </c>
      <c r="F20" s="97">
        <v>0.0</v>
      </c>
      <c r="G20" s="97">
        <v>38.0</v>
      </c>
      <c r="H20" s="97">
        <v>94.0</v>
      </c>
      <c r="I20" s="97">
        <v>32.0</v>
      </c>
      <c r="J20" s="97">
        <v>46.0</v>
      </c>
      <c r="K20" s="97">
        <v>76.0</v>
      </c>
      <c r="L20" s="97" t="s">
        <v>118</v>
      </c>
      <c r="M20" s="97" t="s">
        <v>118</v>
      </c>
      <c r="N20" s="97">
        <v>89.0</v>
      </c>
      <c r="O20" s="97" t="s">
        <v>118</v>
      </c>
      <c r="P20" s="97">
        <v>0.0</v>
      </c>
      <c r="Q20" s="97">
        <v>79.0</v>
      </c>
      <c r="R20" s="97">
        <v>60.0</v>
      </c>
      <c r="S20" s="97">
        <v>0.0</v>
      </c>
      <c r="T20" s="97">
        <v>0.0</v>
      </c>
      <c r="U20" s="97" t="s">
        <v>118</v>
      </c>
      <c r="V20" s="97">
        <v>0.0</v>
      </c>
      <c r="W20" s="97" t="s">
        <v>118</v>
      </c>
      <c r="X20" s="97">
        <v>19.0</v>
      </c>
      <c r="Y20" s="97">
        <v>145.0</v>
      </c>
      <c r="Z20" s="97">
        <v>73.0</v>
      </c>
      <c r="AA20" s="97">
        <v>170.0</v>
      </c>
      <c r="AB20" s="97" t="s">
        <v>118</v>
      </c>
      <c r="AC20" s="97">
        <v>268.0</v>
      </c>
      <c r="AD20" s="97" t="s">
        <v>118</v>
      </c>
      <c r="AE20" s="97">
        <v>47.0</v>
      </c>
      <c r="AF20" s="97">
        <v>55.0</v>
      </c>
      <c r="AG20" s="97" t="s">
        <v>118</v>
      </c>
      <c r="AH20" s="97">
        <v>44.0</v>
      </c>
      <c r="AI20" s="97">
        <v>133.0</v>
      </c>
      <c r="AJ20" s="97">
        <v>43.0</v>
      </c>
      <c r="AK20" s="97" t="s">
        <v>118</v>
      </c>
      <c r="AL20" s="97">
        <v>41.0</v>
      </c>
      <c r="AM20" s="97">
        <v>0.0</v>
      </c>
      <c r="AN20" s="97">
        <v>104.0</v>
      </c>
      <c r="AO20" s="97">
        <v>106.0</v>
      </c>
    </row>
    <row r="21">
      <c r="A21" s="145" t="s">
        <v>90</v>
      </c>
      <c r="B21" s="97">
        <v>43.0</v>
      </c>
      <c r="C21" s="97">
        <v>45.0</v>
      </c>
      <c r="D21" s="97">
        <v>55.0</v>
      </c>
      <c r="E21" s="97">
        <v>330.0</v>
      </c>
      <c r="F21" s="97">
        <v>0.0</v>
      </c>
      <c r="G21" s="97">
        <v>49.0</v>
      </c>
      <c r="H21" s="97">
        <v>91.0</v>
      </c>
      <c r="I21" s="97">
        <v>32.0</v>
      </c>
      <c r="J21" s="97" t="s">
        <v>118</v>
      </c>
      <c r="K21" s="97">
        <v>36.0</v>
      </c>
      <c r="L21" s="97" t="s">
        <v>118</v>
      </c>
      <c r="M21" s="97" t="s">
        <v>118</v>
      </c>
      <c r="N21" s="97" t="s">
        <v>118</v>
      </c>
      <c r="O21" s="97" t="s">
        <v>118</v>
      </c>
      <c r="P21" s="97" t="s">
        <v>118</v>
      </c>
      <c r="Q21" s="97">
        <v>65.0</v>
      </c>
      <c r="R21" s="97">
        <v>51.0</v>
      </c>
      <c r="S21" s="97" t="s">
        <v>118</v>
      </c>
      <c r="T21" s="97" t="s">
        <v>118</v>
      </c>
      <c r="U21" s="97" t="s">
        <v>118</v>
      </c>
      <c r="V21" s="97">
        <v>0.0</v>
      </c>
      <c r="W21" s="97" t="s">
        <v>118</v>
      </c>
      <c r="X21" s="97">
        <v>19.0</v>
      </c>
      <c r="Y21" s="97">
        <v>80.0</v>
      </c>
      <c r="Z21" s="97">
        <v>49.0</v>
      </c>
      <c r="AA21" s="97">
        <v>155.0</v>
      </c>
      <c r="AB21" s="97">
        <v>40.0</v>
      </c>
      <c r="AC21" s="97">
        <v>227.0</v>
      </c>
      <c r="AD21" s="97" t="s">
        <v>118</v>
      </c>
      <c r="AE21" s="97" t="s">
        <v>118</v>
      </c>
      <c r="AF21" s="97">
        <v>28.0</v>
      </c>
      <c r="AG21" s="97" t="s">
        <v>118</v>
      </c>
      <c r="AH21" s="97">
        <v>57.0</v>
      </c>
      <c r="AI21" s="97">
        <v>48.0</v>
      </c>
      <c r="AJ21" s="97">
        <v>44.0</v>
      </c>
      <c r="AK21" s="97" t="s">
        <v>118</v>
      </c>
      <c r="AL21" s="97">
        <v>41.0</v>
      </c>
      <c r="AM21" s="97" t="s">
        <v>118</v>
      </c>
      <c r="AN21" s="97">
        <v>89.0</v>
      </c>
      <c r="AO21" s="97">
        <v>91.0</v>
      </c>
    </row>
    <row r="22">
      <c r="A22" s="145" t="s">
        <v>91</v>
      </c>
      <c r="B22" s="97" t="s">
        <v>118</v>
      </c>
      <c r="C22" s="97">
        <v>40.0</v>
      </c>
      <c r="D22" s="97" t="s">
        <v>118</v>
      </c>
      <c r="E22" s="97">
        <v>160.0</v>
      </c>
      <c r="F22" s="97" t="s">
        <v>118</v>
      </c>
      <c r="G22" s="97">
        <v>29.0</v>
      </c>
      <c r="H22" s="97">
        <v>60.0</v>
      </c>
      <c r="I22" s="97">
        <v>17.0</v>
      </c>
      <c r="J22" s="97">
        <v>0.0</v>
      </c>
      <c r="K22" s="97">
        <v>44.0</v>
      </c>
      <c r="L22" s="97">
        <v>0.0</v>
      </c>
      <c r="M22" s="97" t="s">
        <v>118</v>
      </c>
      <c r="N22" s="97" t="s">
        <v>118</v>
      </c>
      <c r="O22" s="97">
        <v>0.0</v>
      </c>
      <c r="P22" s="97" t="s">
        <v>118</v>
      </c>
      <c r="Q22" s="97">
        <v>116.0</v>
      </c>
      <c r="R22" s="97">
        <v>42.0</v>
      </c>
      <c r="S22" s="97">
        <v>0.0</v>
      </c>
      <c r="T22" s="97" t="s">
        <v>118</v>
      </c>
      <c r="U22" s="97" t="s">
        <v>118</v>
      </c>
      <c r="V22" s="97">
        <v>0.0</v>
      </c>
      <c r="W22" s="97">
        <v>36.0</v>
      </c>
      <c r="X22" s="97">
        <v>23.0</v>
      </c>
      <c r="Y22" s="97">
        <v>52.0</v>
      </c>
      <c r="Z22" s="97" t="s">
        <v>118</v>
      </c>
      <c r="AA22" s="97">
        <v>99.0</v>
      </c>
      <c r="AB22" s="97">
        <v>34.0</v>
      </c>
      <c r="AC22" s="97">
        <v>185.0</v>
      </c>
      <c r="AD22" s="97" t="s">
        <v>118</v>
      </c>
      <c r="AE22" s="97" t="s">
        <v>118</v>
      </c>
      <c r="AF22" s="97">
        <v>0.0</v>
      </c>
      <c r="AG22" s="97">
        <v>0.0</v>
      </c>
      <c r="AH22" s="97" t="s">
        <v>118</v>
      </c>
      <c r="AI22" s="97">
        <v>0.0</v>
      </c>
      <c r="AJ22" s="97">
        <v>25.0</v>
      </c>
      <c r="AK22" s="97" t="s">
        <v>118</v>
      </c>
      <c r="AL22" s="97">
        <v>31.0</v>
      </c>
      <c r="AM22" s="97" t="s">
        <v>118</v>
      </c>
      <c r="AN22" s="97">
        <v>91.0</v>
      </c>
      <c r="AO22" s="97">
        <v>68.0</v>
      </c>
    </row>
    <row r="23">
      <c r="A23" s="145" t="s">
        <v>92</v>
      </c>
      <c r="B23" s="97" t="s">
        <v>118</v>
      </c>
      <c r="C23" s="97" t="s">
        <v>118</v>
      </c>
      <c r="D23" s="97" t="s">
        <v>118</v>
      </c>
      <c r="E23" s="97">
        <v>170.0</v>
      </c>
      <c r="F23" s="97">
        <v>0.0</v>
      </c>
      <c r="G23" s="97" t="s">
        <v>118</v>
      </c>
      <c r="H23" s="97">
        <v>43.0</v>
      </c>
      <c r="I23" s="97">
        <v>32.0</v>
      </c>
      <c r="J23" s="97" t="s">
        <v>118</v>
      </c>
      <c r="K23" s="97">
        <v>25.0</v>
      </c>
      <c r="L23" s="97" t="s">
        <v>118</v>
      </c>
      <c r="M23" s="97">
        <v>0.0</v>
      </c>
      <c r="N23" s="97" t="s">
        <v>118</v>
      </c>
      <c r="O23" s="97">
        <v>0.0</v>
      </c>
      <c r="P23" s="97" t="s">
        <v>118</v>
      </c>
      <c r="Q23" s="97">
        <v>41.0</v>
      </c>
      <c r="R23" s="97" t="s">
        <v>118</v>
      </c>
      <c r="S23" s="97">
        <v>0.0</v>
      </c>
      <c r="T23" s="97" t="s">
        <v>118</v>
      </c>
      <c r="U23" s="97" t="s">
        <v>118</v>
      </c>
      <c r="V23" s="97">
        <v>0.0</v>
      </c>
      <c r="W23" s="97" t="s">
        <v>118</v>
      </c>
      <c r="X23" s="97" t="s">
        <v>118</v>
      </c>
      <c r="Y23" s="97">
        <v>62.0</v>
      </c>
      <c r="Z23" s="97" t="s">
        <v>118</v>
      </c>
      <c r="AA23" s="97">
        <v>71.0</v>
      </c>
      <c r="AB23" s="97">
        <v>29.0</v>
      </c>
      <c r="AC23" s="97">
        <v>143.0</v>
      </c>
      <c r="AD23" s="97">
        <v>0.0</v>
      </c>
      <c r="AE23" s="97" t="s">
        <v>118</v>
      </c>
      <c r="AF23" s="97" t="s">
        <v>118</v>
      </c>
      <c r="AG23" s="97">
        <v>0.0</v>
      </c>
      <c r="AH23" s="97" t="s">
        <v>118</v>
      </c>
      <c r="AI23" s="97" t="s">
        <v>118</v>
      </c>
      <c r="AJ23" s="97">
        <v>23.0</v>
      </c>
      <c r="AK23" s="97">
        <v>0.0</v>
      </c>
      <c r="AL23" s="97">
        <v>31.0</v>
      </c>
      <c r="AM23" s="97">
        <v>0.0</v>
      </c>
      <c r="AN23" s="97">
        <v>60.0</v>
      </c>
      <c r="AO23" s="97">
        <v>50.0</v>
      </c>
    </row>
    <row r="24">
      <c r="A24" s="145" t="s">
        <v>93</v>
      </c>
      <c r="B24" s="97" t="s">
        <v>118</v>
      </c>
      <c r="C24" s="97" t="s">
        <v>118</v>
      </c>
      <c r="D24" s="97" t="s">
        <v>118</v>
      </c>
      <c r="E24" s="97">
        <v>119.0</v>
      </c>
      <c r="F24" s="97" t="s">
        <v>118</v>
      </c>
      <c r="G24" s="97" t="s">
        <v>118</v>
      </c>
      <c r="H24" s="97">
        <v>39.0</v>
      </c>
      <c r="I24" s="97">
        <v>26.0</v>
      </c>
      <c r="J24" s="97" t="s">
        <v>118</v>
      </c>
      <c r="K24" s="97">
        <v>25.0</v>
      </c>
      <c r="L24" s="97" t="s">
        <v>118</v>
      </c>
      <c r="M24" s="97">
        <v>0.0</v>
      </c>
      <c r="N24" s="97">
        <v>0.0</v>
      </c>
      <c r="O24" s="97">
        <v>0.0</v>
      </c>
      <c r="P24" s="97">
        <v>0.0</v>
      </c>
      <c r="Q24" s="97">
        <v>51.0</v>
      </c>
      <c r="R24" s="97">
        <v>28.0</v>
      </c>
      <c r="S24" s="97">
        <v>0.0</v>
      </c>
      <c r="T24" s="97" t="s">
        <v>118</v>
      </c>
      <c r="U24" s="97">
        <v>0.0</v>
      </c>
      <c r="V24" s="97">
        <v>0.0</v>
      </c>
      <c r="W24" s="97" t="s">
        <v>118</v>
      </c>
      <c r="X24" s="97" t="s">
        <v>118</v>
      </c>
      <c r="Y24" s="97">
        <v>28.0</v>
      </c>
      <c r="Z24" s="97">
        <v>57.0</v>
      </c>
      <c r="AA24" s="97">
        <v>57.0</v>
      </c>
      <c r="AB24" s="97">
        <v>0.0</v>
      </c>
      <c r="AC24" s="97">
        <v>89.0</v>
      </c>
      <c r="AD24" s="97">
        <v>0.0</v>
      </c>
      <c r="AE24" s="97" t="s">
        <v>118</v>
      </c>
      <c r="AF24" s="97" t="s">
        <v>118</v>
      </c>
      <c r="AG24" s="97" t="s">
        <v>118</v>
      </c>
      <c r="AH24" s="97" t="s">
        <v>118</v>
      </c>
      <c r="AI24" s="97" t="s">
        <v>118</v>
      </c>
      <c r="AJ24" s="97">
        <v>12.0</v>
      </c>
      <c r="AK24" s="97">
        <v>0.0</v>
      </c>
      <c r="AL24" s="97" t="s">
        <v>118</v>
      </c>
      <c r="AM24" s="97">
        <v>0.0</v>
      </c>
      <c r="AN24" s="97">
        <v>46.0</v>
      </c>
      <c r="AO24" s="97">
        <v>36.0</v>
      </c>
    </row>
    <row r="25">
      <c r="A25" s="145" t="s">
        <v>94</v>
      </c>
      <c r="B25" s="97">
        <v>0.0</v>
      </c>
      <c r="C25" s="97" t="s">
        <v>118</v>
      </c>
      <c r="D25" s="97" t="s">
        <v>118</v>
      </c>
      <c r="E25" s="97">
        <v>114.0</v>
      </c>
      <c r="F25" s="97" t="s">
        <v>118</v>
      </c>
      <c r="G25" s="97">
        <v>0.0</v>
      </c>
      <c r="H25" s="97">
        <v>22.0</v>
      </c>
      <c r="I25" s="97" t="s">
        <v>118</v>
      </c>
      <c r="J25" s="97" t="s">
        <v>118</v>
      </c>
      <c r="K25" s="97">
        <v>17.0</v>
      </c>
      <c r="L25" s="97">
        <v>0.0</v>
      </c>
      <c r="M25" s="97">
        <v>0.0</v>
      </c>
      <c r="N25" s="97">
        <v>0.0</v>
      </c>
      <c r="O25" s="97">
        <v>0.0</v>
      </c>
      <c r="P25" s="97" t="s">
        <v>118</v>
      </c>
      <c r="Q25" s="97">
        <v>21.0</v>
      </c>
      <c r="R25" s="97">
        <v>23.0</v>
      </c>
      <c r="S25" s="97">
        <v>0.0</v>
      </c>
      <c r="T25" s="97" t="s">
        <v>118</v>
      </c>
      <c r="U25" s="97" t="s">
        <v>118</v>
      </c>
      <c r="V25" s="97">
        <v>0.0</v>
      </c>
      <c r="W25" s="97">
        <v>28.0</v>
      </c>
      <c r="X25" s="97" t="s">
        <v>118</v>
      </c>
      <c r="Y25" s="97" t="s">
        <v>118</v>
      </c>
      <c r="Z25" s="97" t="s">
        <v>118</v>
      </c>
      <c r="AA25" s="97">
        <v>36.0</v>
      </c>
      <c r="AB25" s="97">
        <v>0.0</v>
      </c>
      <c r="AC25" s="97">
        <v>72.0</v>
      </c>
      <c r="AD25" s="97" t="s">
        <v>118</v>
      </c>
      <c r="AE25" s="97" t="s">
        <v>118</v>
      </c>
      <c r="AF25" s="97" t="s">
        <v>118</v>
      </c>
      <c r="AG25" s="97">
        <v>0.0</v>
      </c>
      <c r="AH25" s="97">
        <v>0.0</v>
      </c>
      <c r="AI25" s="97" t="s">
        <v>118</v>
      </c>
      <c r="AJ25" s="97">
        <v>14.0</v>
      </c>
      <c r="AK25" s="97">
        <v>0.0</v>
      </c>
      <c r="AL25" s="97">
        <v>35.0</v>
      </c>
      <c r="AM25" s="97" t="s">
        <v>118</v>
      </c>
      <c r="AN25" s="97">
        <v>36.0</v>
      </c>
      <c r="AO25" s="97">
        <v>28.0</v>
      </c>
    </row>
    <row r="26">
      <c r="A26" s="145" t="s">
        <v>95</v>
      </c>
      <c r="B26" s="97" t="s">
        <v>118</v>
      </c>
      <c r="C26" s="97" t="s">
        <v>118</v>
      </c>
      <c r="D26" s="97" t="s">
        <v>118</v>
      </c>
      <c r="E26" s="97">
        <v>62.0</v>
      </c>
      <c r="F26" s="97" t="s">
        <v>118</v>
      </c>
      <c r="G26" s="97" t="s">
        <v>118</v>
      </c>
      <c r="H26" s="97">
        <v>16.0</v>
      </c>
      <c r="I26" s="97">
        <v>26.0</v>
      </c>
      <c r="J26" s="97" t="s">
        <v>118</v>
      </c>
      <c r="K26" s="97">
        <v>15.0</v>
      </c>
      <c r="L26" s="97">
        <v>0.0</v>
      </c>
      <c r="M26" s="97" t="s">
        <v>118</v>
      </c>
      <c r="N26" s="97" t="s">
        <v>118</v>
      </c>
      <c r="O26" s="97" t="s">
        <v>118</v>
      </c>
      <c r="P26" s="97">
        <v>0.0</v>
      </c>
      <c r="Q26" s="97">
        <v>31.0</v>
      </c>
      <c r="R26" s="97">
        <v>23.0</v>
      </c>
      <c r="S26" s="97">
        <v>0.0</v>
      </c>
      <c r="T26" s="97">
        <v>37.0</v>
      </c>
      <c r="U26" s="97">
        <v>0.0</v>
      </c>
      <c r="V26" s="97">
        <v>0.0</v>
      </c>
      <c r="W26" s="97">
        <v>48.0</v>
      </c>
      <c r="X26" s="97" t="s">
        <v>118</v>
      </c>
      <c r="Y26" s="97">
        <v>37.0</v>
      </c>
      <c r="Z26" s="97" t="s">
        <v>118</v>
      </c>
      <c r="AA26" s="97">
        <v>56.0</v>
      </c>
      <c r="AB26" s="97" t="s">
        <v>118</v>
      </c>
      <c r="AC26" s="97">
        <v>66.0</v>
      </c>
      <c r="AD26" s="97">
        <v>0.0</v>
      </c>
      <c r="AE26" s="97" t="s">
        <v>118</v>
      </c>
      <c r="AF26" s="97" t="s">
        <v>118</v>
      </c>
      <c r="AG26" s="97" t="s">
        <v>118</v>
      </c>
      <c r="AH26" s="97" t="s">
        <v>118</v>
      </c>
      <c r="AI26" s="97" t="s">
        <v>118</v>
      </c>
      <c r="AJ26" s="97">
        <v>12.0</v>
      </c>
      <c r="AK26" s="97" t="s">
        <v>118</v>
      </c>
      <c r="AL26" s="97">
        <v>31.0</v>
      </c>
      <c r="AM26" s="97" t="s">
        <v>118</v>
      </c>
      <c r="AN26" s="97">
        <v>39.0</v>
      </c>
      <c r="AO26" s="97">
        <v>31.0</v>
      </c>
    </row>
    <row r="27">
      <c r="A27" s="145" t="s">
        <v>96</v>
      </c>
      <c r="B27" s="97" t="s">
        <v>118</v>
      </c>
      <c r="C27" s="97" t="s">
        <v>118</v>
      </c>
      <c r="D27" s="97" t="s">
        <v>118</v>
      </c>
      <c r="E27" s="97">
        <v>31.0</v>
      </c>
      <c r="F27" s="97" t="s">
        <v>118</v>
      </c>
      <c r="G27" s="97">
        <v>26.0</v>
      </c>
      <c r="H27" s="97">
        <v>39.0</v>
      </c>
      <c r="I27" s="97" t="s">
        <v>118</v>
      </c>
      <c r="J27" s="97" t="s">
        <v>118</v>
      </c>
      <c r="K27" s="97">
        <v>13.0</v>
      </c>
      <c r="L27" s="97">
        <v>0.0</v>
      </c>
      <c r="M27" s="97" t="s">
        <v>118</v>
      </c>
      <c r="N27" s="97" t="s">
        <v>118</v>
      </c>
      <c r="O27" s="97">
        <v>0.0</v>
      </c>
      <c r="P27" s="97" t="s">
        <v>118</v>
      </c>
      <c r="Q27" s="97">
        <v>31.0</v>
      </c>
      <c r="R27" s="97" t="s">
        <v>118</v>
      </c>
      <c r="S27" s="97" t="s">
        <v>118</v>
      </c>
      <c r="T27" s="97">
        <v>31.0</v>
      </c>
      <c r="U27" s="97">
        <v>0.0</v>
      </c>
      <c r="V27" s="97">
        <v>0.0</v>
      </c>
      <c r="W27" s="97">
        <v>36.0</v>
      </c>
      <c r="X27" s="97" t="s">
        <v>118</v>
      </c>
      <c r="Y27" s="97">
        <v>31.0</v>
      </c>
      <c r="Z27" s="97" t="s">
        <v>118</v>
      </c>
      <c r="AA27" s="97">
        <v>18.0</v>
      </c>
      <c r="AB27" s="97" t="s">
        <v>118</v>
      </c>
      <c r="AC27" s="97">
        <v>47.0</v>
      </c>
      <c r="AD27" s="97">
        <v>0.0</v>
      </c>
      <c r="AE27" s="97" t="s">
        <v>118</v>
      </c>
      <c r="AF27" s="97">
        <v>23.0</v>
      </c>
      <c r="AG27" s="97">
        <v>0.0</v>
      </c>
      <c r="AH27" s="97" t="s">
        <v>118</v>
      </c>
      <c r="AI27" s="97" t="s">
        <v>118</v>
      </c>
      <c r="AJ27" s="97">
        <v>12.0</v>
      </c>
      <c r="AK27" s="97">
        <v>0.0</v>
      </c>
      <c r="AL27" s="97">
        <v>28.0</v>
      </c>
      <c r="AM27" s="97">
        <v>22.0</v>
      </c>
      <c r="AN27" s="97">
        <v>17.0</v>
      </c>
      <c r="AO27" s="97">
        <v>25.0</v>
      </c>
    </row>
    <row r="28">
      <c r="A28" s="145" t="s">
        <v>97</v>
      </c>
      <c r="B28" s="97" t="s">
        <v>118</v>
      </c>
      <c r="C28" s="97">
        <v>31.0</v>
      </c>
      <c r="D28" s="97" t="s">
        <v>118</v>
      </c>
      <c r="E28" s="97">
        <v>77.0</v>
      </c>
      <c r="F28" s="97" t="s">
        <v>118</v>
      </c>
      <c r="G28" s="97">
        <v>26.0</v>
      </c>
      <c r="H28" s="97">
        <v>30.0</v>
      </c>
      <c r="I28" s="97" t="s">
        <v>118</v>
      </c>
      <c r="J28" s="97">
        <v>54.0</v>
      </c>
      <c r="K28" s="97">
        <v>15.0</v>
      </c>
      <c r="L28" s="97">
        <v>0.0</v>
      </c>
      <c r="M28" s="97">
        <v>0.0</v>
      </c>
      <c r="N28" s="97" t="s">
        <v>118</v>
      </c>
      <c r="O28" s="97" t="s">
        <v>118</v>
      </c>
      <c r="P28" s="97" t="s">
        <v>118</v>
      </c>
      <c r="Q28" s="97">
        <v>21.0</v>
      </c>
      <c r="R28" s="97">
        <v>28.0</v>
      </c>
      <c r="S28" s="97">
        <v>0.0</v>
      </c>
      <c r="T28" s="97">
        <v>50.0</v>
      </c>
      <c r="U28" s="97" t="s">
        <v>118</v>
      </c>
      <c r="V28" s="97" t="s">
        <v>118</v>
      </c>
      <c r="W28" s="97">
        <v>44.0</v>
      </c>
      <c r="X28" s="97">
        <v>0.0</v>
      </c>
      <c r="Y28" s="97">
        <v>49.0</v>
      </c>
      <c r="Z28" s="97">
        <v>40.0</v>
      </c>
      <c r="AA28" s="97">
        <v>39.0</v>
      </c>
      <c r="AB28" s="97" t="s">
        <v>118</v>
      </c>
      <c r="AC28" s="97">
        <v>57.0</v>
      </c>
      <c r="AD28" s="97">
        <v>0.0</v>
      </c>
      <c r="AE28" s="97" t="s">
        <v>118</v>
      </c>
      <c r="AF28" s="97">
        <v>23.0</v>
      </c>
      <c r="AG28" s="97" t="s">
        <v>118</v>
      </c>
      <c r="AH28" s="97" t="s">
        <v>118</v>
      </c>
      <c r="AI28" s="97" t="s">
        <v>118</v>
      </c>
      <c r="AJ28" s="97">
        <v>21.0</v>
      </c>
      <c r="AK28" s="97" t="s">
        <v>118</v>
      </c>
      <c r="AL28" s="97">
        <v>45.0</v>
      </c>
      <c r="AM28" s="97" t="s">
        <v>118</v>
      </c>
      <c r="AN28" s="97">
        <v>29.0</v>
      </c>
      <c r="AO28" s="97">
        <v>32.0</v>
      </c>
    </row>
    <row r="29">
      <c r="A29" s="145" t="s">
        <v>98</v>
      </c>
      <c r="B29" s="97" t="s">
        <v>118</v>
      </c>
      <c r="C29" s="97">
        <v>36.0</v>
      </c>
      <c r="D29" s="97" t="s">
        <v>118</v>
      </c>
      <c r="E29" s="97">
        <v>108.0</v>
      </c>
      <c r="F29" s="97" t="s">
        <v>118</v>
      </c>
      <c r="G29" s="97" t="s">
        <v>118</v>
      </c>
      <c r="H29" s="97">
        <v>43.0</v>
      </c>
      <c r="I29" s="97">
        <v>32.0</v>
      </c>
      <c r="J29" s="97" t="s">
        <v>118</v>
      </c>
      <c r="K29" s="97">
        <v>32.0</v>
      </c>
      <c r="L29" s="97">
        <v>0.0</v>
      </c>
      <c r="M29" s="97">
        <v>0.0</v>
      </c>
      <c r="N29" s="97">
        <v>0.0</v>
      </c>
      <c r="O29" s="97">
        <v>0.0</v>
      </c>
      <c r="P29" s="97">
        <v>0.0</v>
      </c>
      <c r="Q29" s="97">
        <v>38.0</v>
      </c>
      <c r="R29" s="97">
        <v>23.0</v>
      </c>
      <c r="S29" s="97" t="s">
        <v>118</v>
      </c>
      <c r="T29" s="97" t="s">
        <v>118</v>
      </c>
      <c r="U29" s="97" t="s">
        <v>118</v>
      </c>
      <c r="V29" s="97">
        <v>0.0</v>
      </c>
      <c r="W29" s="97" t="s">
        <v>118</v>
      </c>
      <c r="X29" s="97" t="s">
        <v>118</v>
      </c>
      <c r="Y29" s="97">
        <v>43.0</v>
      </c>
      <c r="Z29" s="97" t="s">
        <v>118</v>
      </c>
      <c r="AA29" s="97">
        <v>82.0</v>
      </c>
      <c r="AB29" s="97" t="s">
        <v>118</v>
      </c>
      <c r="AC29" s="97">
        <v>67.0</v>
      </c>
      <c r="AD29" s="97">
        <v>0.0</v>
      </c>
      <c r="AE29" s="97" t="s">
        <v>118</v>
      </c>
      <c r="AF29" s="97">
        <v>60.0</v>
      </c>
      <c r="AG29" s="97">
        <v>0.0</v>
      </c>
      <c r="AH29" s="97" t="s">
        <v>118</v>
      </c>
      <c r="AI29" s="97" t="s">
        <v>118</v>
      </c>
      <c r="AJ29" s="97">
        <v>25.0</v>
      </c>
      <c r="AK29" s="97">
        <v>0.0</v>
      </c>
      <c r="AL29" s="97">
        <v>31.0</v>
      </c>
      <c r="AM29" s="97" t="s">
        <v>118</v>
      </c>
      <c r="AN29" s="97">
        <v>39.0</v>
      </c>
      <c r="AO29" s="97">
        <v>39.0</v>
      </c>
    </row>
    <row r="30">
      <c r="A30" s="145" t="s">
        <v>99</v>
      </c>
      <c r="B30" s="97">
        <v>0.0</v>
      </c>
      <c r="C30" s="97">
        <v>36.0</v>
      </c>
      <c r="D30" s="97" t="s">
        <v>118</v>
      </c>
      <c r="E30" s="97">
        <v>181.0</v>
      </c>
      <c r="F30" s="97" t="s">
        <v>118</v>
      </c>
      <c r="G30" s="97">
        <v>32.0</v>
      </c>
      <c r="H30" s="97">
        <v>54.0</v>
      </c>
      <c r="I30" s="97">
        <v>29.0</v>
      </c>
      <c r="J30" s="97">
        <v>46.0</v>
      </c>
      <c r="K30" s="97">
        <v>42.0</v>
      </c>
      <c r="L30" s="97" t="s">
        <v>118</v>
      </c>
      <c r="M30" s="97">
        <v>0.0</v>
      </c>
      <c r="N30" s="97" t="s">
        <v>118</v>
      </c>
      <c r="O30" s="97" t="s">
        <v>118</v>
      </c>
      <c r="P30" s="97" t="s">
        <v>118</v>
      </c>
      <c r="Q30" s="97">
        <v>65.0</v>
      </c>
      <c r="R30" s="97">
        <v>23.0</v>
      </c>
      <c r="S30" s="97">
        <v>0.0</v>
      </c>
      <c r="T30" s="97" t="s">
        <v>118</v>
      </c>
      <c r="U30" s="97" t="s">
        <v>118</v>
      </c>
      <c r="V30" s="97" t="s">
        <v>118</v>
      </c>
      <c r="W30" s="97">
        <v>28.0</v>
      </c>
      <c r="X30" s="97">
        <v>19.0</v>
      </c>
      <c r="Y30" s="97">
        <v>102.0</v>
      </c>
      <c r="Z30" s="97" t="s">
        <v>118</v>
      </c>
      <c r="AA30" s="97">
        <v>130.0</v>
      </c>
      <c r="AB30" s="97" t="s">
        <v>118</v>
      </c>
      <c r="AC30" s="97">
        <v>94.0</v>
      </c>
      <c r="AD30" s="97">
        <v>0.0</v>
      </c>
      <c r="AE30" s="97" t="s">
        <v>118</v>
      </c>
      <c r="AF30" s="97">
        <v>42.0</v>
      </c>
      <c r="AG30" s="97">
        <v>0.0</v>
      </c>
      <c r="AH30" s="97" t="s">
        <v>118</v>
      </c>
      <c r="AI30" s="97">
        <v>86.0</v>
      </c>
      <c r="AJ30" s="97">
        <v>42.0</v>
      </c>
      <c r="AK30" s="97" t="s">
        <v>118</v>
      </c>
      <c r="AL30" s="97">
        <v>35.0</v>
      </c>
      <c r="AM30" s="97" t="s">
        <v>118</v>
      </c>
      <c r="AN30" s="97">
        <v>41.0</v>
      </c>
      <c r="AO30" s="97">
        <v>58.0</v>
      </c>
    </row>
    <row r="31">
      <c r="A31" s="147" t="s">
        <v>100</v>
      </c>
      <c r="B31" s="97" t="s">
        <v>118</v>
      </c>
      <c r="C31" s="97">
        <v>22.0</v>
      </c>
      <c r="D31" s="97">
        <v>43.0</v>
      </c>
      <c r="E31" s="97">
        <v>191.0</v>
      </c>
      <c r="F31" s="97" t="s">
        <v>118</v>
      </c>
      <c r="G31" s="97">
        <v>20.0</v>
      </c>
      <c r="H31" s="97">
        <v>95.0</v>
      </c>
      <c r="I31" s="97">
        <v>29.0</v>
      </c>
      <c r="J31" s="97">
        <v>54.0</v>
      </c>
      <c r="K31" s="97">
        <v>30.0</v>
      </c>
      <c r="L31" s="97" t="s">
        <v>118</v>
      </c>
      <c r="M31" s="97" t="s">
        <v>118</v>
      </c>
      <c r="N31" s="97" t="s">
        <v>118</v>
      </c>
      <c r="O31" s="97">
        <v>0.0</v>
      </c>
      <c r="P31" s="97" t="s">
        <v>118</v>
      </c>
      <c r="Q31" s="97">
        <v>34.0</v>
      </c>
      <c r="R31" s="97">
        <v>60.0</v>
      </c>
      <c r="S31" s="97">
        <v>0.0</v>
      </c>
      <c r="T31" s="97">
        <v>37.0</v>
      </c>
      <c r="U31" s="97">
        <v>0.0</v>
      </c>
      <c r="V31" s="97" t="s">
        <v>118</v>
      </c>
      <c r="W31" s="97">
        <v>28.0</v>
      </c>
      <c r="X31" s="97">
        <v>19.0</v>
      </c>
      <c r="Y31" s="97">
        <v>105.0</v>
      </c>
      <c r="Z31" s="97" t="s">
        <v>118</v>
      </c>
      <c r="AA31" s="97">
        <v>145.0</v>
      </c>
      <c r="AB31" s="97">
        <v>0.0</v>
      </c>
      <c r="AC31" s="97">
        <v>106.0</v>
      </c>
      <c r="AD31" s="97" t="s">
        <v>118</v>
      </c>
      <c r="AE31" s="97" t="s">
        <v>118</v>
      </c>
      <c r="AF31" s="97" t="s">
        <v>118</v>
      </c>
      <c r="AG31" s="97" t="s">
        <v>118</v>
      </c>
      <c r="AH31" s="97" t="s">
        <v>118</v>
      </c>
      <c r="AI31" s="97" t="s">
        <v>118</v>
      </c>
      <c r="AJ31" s="97">
        <v>44.0</v>
      </c>
      <c r="AK31" s="97" t="s">
        <v>118</v>
      </c>
      <c r="AL31" s="97">
        <v>73.0</v>
      </c>
      <c r="AM31" s="97" t="s">
        <v>118</v>
      </c>
      <c r="AN31" s="97">
        <v>48.0</v>
      </c>
      <c r="AO31" s="97">
        <v>64.0</v>
      </c>
    </row>
    <row r="32">
      <c r="A32" s="147" t="s">
        <v>101</v>
      </c>
      <c r="B32" s="97" t="s">
        <v>118</v>
      </c>
      <c r="C32" s="97">
        <v>22.0</v>
      </c>
      <c r="D32" s="97" t="s">
        <v>118</v>
      </c>
      <c r="E32" s="97">
        <v>196.0</v>
      </c>
      <c r="F32" s="97">
        <v>0.0</v>
      </c>
      <c r="G32" s="97">
        <v>23.0</v>
      </c>
      <c r="H32" s="97">
        <v>116.0</v>
      </c>
      <c r="I32" s="97">
        <v>32.0</v>
      </c>
      <c r="J32" s="97" t="s">
        <v>118</v>
      </c>
      <c r="K32" s="97">
        <v>40.0</v>
      </c>
      <c r="L32" s="97" t="s">
        <v>118</v>
      </c>
      <c r="M32" s="97" t="s">
        <v>118</v>
      </c>
      <c r="N32" s="97" t="s">
        <v>118</v>
      </c>
      <c r="O32" s="97" t="s">
        <v>118</v>
      </c>
      <c r="P32" s="97">
        <v>0.0</v>
      </c>
      <c r="Q32" s="97">
        <v>55.0</v>
      </c>
      <c r="R32" s="97">
        <v>65.0</v>
      </c>
      <c r="S32" s="97">
        <v>0.0</v>
      </c>
      <c r="T32" s="97" t="s">
        <v>118</v>
      </c>
      <c r="U32" s="97" t="s">
        <v>118</v>
      </c>
      <c r="V32" s="97" t="s">
        <v>118</v>
      </c>
      <c r="W32" s="97">
        <v>20.0</v>
      </c>
      <c r="X32" s="97">
        <v>27.0</v>
      </c>
      <c r="Y32" s="97">
        <v>83.0</v>
      </c>
      <c r="Z32" s="97" t="s">
        <v>118</v>
      </c>
      <c r="AA32" s="97">
        <v>116.0</v>
      </c>
      <c r="AB32" s="97" t="s">
        <v>118</v>
      </c>
      <c r="AC32" s="97">
        <v>124.0</v>
      </c>
      <c r="AD32" s="97" t="s">
        <v>118</v>
      </c>
      <c r="AE32" s="97">
        <v>47.0</v>
      </c>
      <c r="AF32" s="97">
        <v>32.0</v>
      </c>
      <c r="AG32" s="97" t="s">
        <v>118</v>
      </c>
      <c r="AH32" s="97">
        <v>0.0</v>
      </c>
      <c r="AI32" s="97">
        <v>0.0</v>
      </c>
      <c r="AJ32" s="97">
        <v>37.0</v>
      </c>
      <c r="AK32" s="97">
        <v>0.0</v>
      </c>
      <c r="AL32" s="97">
        <v>38.0</v>
      </c>
      <c r="AM32" s="97">
        <v>22.0</v>
      </c>
      <c r="AN32" s="97">
        <v>51.0</v>
      </c>
      <c r="AO32" s="97">
        <v>62.0</v>
      </c>
    </row>
    <row r="33">
      <c r="A33" s="147" t="s">
        <v>102</v>
      </c>
      <c r="B33" s="97" t="s">
        <v>118</v>
      </c>
      <c r="C33" s="97">
        <v>22.0</v>
      </c>
      <c r="D33" s="97" t="s">
        <v>118</v>
      </c>
      <c r="E33" s="97">
        <v>175.0</v>
      </c>
      <c r="F33" s="97" t="s">
        <v>118</v>
      </c>
      <c r="G33" s="97">
        <v>17.0</v>
      </c>
      <c r="H33" s="97">
        <v>42.0</v>
      </c>
      <c r="I33" s="97">
        <v>43.0</v>
      </c>
      <c r="J33" s="97">
        <v>38.0</v>
      </c>
      <c r="K33" s="97">
        <v>27.0</v>
      </c>
      <c r="L33" s="97" t="s">
        <v>118</v>
      </c>
      <c r="M33" s="97" t="s">
        <v>118</v>
      </c>
      <c r="N33" s="97" t="s">
        <v>118</v>
      </c>
      <c r="O33" s="97">
        <v>0.0</v>
      </c>
      <c r="P33" s="97" t="s">
        <v>118</v>
      </c>
      <c r="Q33" s="97">
        <v>38.0</v>
      </c>
      <c r="R33" s="97">
        <v>28.0</v>
      </c>
      <c r="S33" s="97">
        <v>0.0</v>
      </c>
      <c r="T33" s="97">
        <v>0.0</v>
      </c>
      <c r="U33" s="97">
        <v>116.0</v>
      </c>
      <c r="V33" s="97" t="s">
        <v>118</v>
      </c>
      <c r="W33" s="97" t="s">
        <v>118</v>
      </c>
      <c r="X33" s="97">
        <v>42.0</v>
      </c>
      <c r="Y33" s="97">
        <v>59.0</v>
      </c>
      <c r="Z33" s="97">
        <v>0.0</v>
      </c>
      <c r="AA33" s="97">
        <v>77.0</v>
      </c>
      <c r="AB33" s="97" t="s">
        <v>118</v>
      </c>
      <c r="AC33" s="97">
        <v>124.0</v>
      </c>
      <c r="AD33" s="97" t="s">
        <v>118</v>
      </c>
      <c r="AE33" s="97" t="s">
        <v>118</v>
      </c>
      <c r="AF33" s="97">
        <v>46.0</v>
      </c>
      <c r="AG33" s="97">
        <v>55.0</v>
      </c>
      <c r="AH33" s="97" t="s">
        <v>118</v>
      </c>
      <c r="AI33" s="97">
        <v>0.0</v>
      </c>
      <c r="AJ33" s="97">
        <v>25.0</v>
      </c>
      <c r="AK33" s="97" t="s">
        <v>118</v>
      </c>
      <c r="AL33" s="97">
        <v>52.0</v>
      </c>
      <c r="AM33" s="97">
        <v>0.0</v>
      </c>
      <c r="AN33" s="97">
        <v>51.0</v>
      </c>
      <c r="AO33" s="97">
        <v>54.0</v>
      </c>
    </row>
    <row r="34">
      <c r="A34" s="147" t="s">
        <v>103</v>
      </c>
      <c r="B34" s="97">
        <v>0.0</v>
      </c>
      <c r="C34" s="97">
        <v>67.0</v>
      </c>
      <c r="D34" s="97" t="s">
        <v>118</v>
      </c>
      <c r="E34" s="97">
        <v>186.0</v>
      </c>
      <c r="F34" s="97">
        <v>0.0</v>
      </c>
      <c r="G34" s="97">
        <v>26.0</v>
      </c>
      <c r="H34" s="97">
        <v>63.0</v>
      </c>
      <c r="I34" s="97">
        <v>61.0</v>
      </c>
      <c r="J34" s="97">
        <v>69.0</v>
      </c>
      <c r="K34" s="97">
        <v>27.0</v>
      </c>
      <c r="L34" s="97" t="s">
        <v>118</v>
      </c>
      <c r="M34" s="97" t="s">
        <v>118</v>
      </c>
      <c r="N34" s="97" t="s">
        <v>118</v>
      </c>
      <c r="O34" s="97" t="s">
        <v>118</v>
      </c>
      <c r="P34" s="97" t="s">
        <v>118</v>
      </c>
      <c r="Q34" s="97">
        <v>75.0</v>
      </c>
      <c r="R34" s="97">
        <v>42.0</v>
      </c>
      <c r="S34" s="97">
        <v>0.0</v>
      </c>
      <c r="T34" s="97">
        <v>44.0</v>
      </c>
      <c r="U34" s="97">
        <v>58.0</v>
      </c>
      <c r="V34" s="97">
        <v>0.0</v>
      </c>
      <c r="W34" s="97" t="s">
        <v>118</v>
      </c>
      <c r="X34" s="97">
        <v>84.0</v>
      </c>
      <c r="Y34" s="97">
        <v>59.0</v>
      </c>
      <c r="Z34" s="97" t="s">
        <v>118</v>
      </c>
      <c r="AA34" s="97">
        <v>75.0</v>
      </c>
      <c r="AB34" s="97" t="s">
        <v>118</v>
      </c>
      <c r="AC34" s="97">
        <v>122.0</v>
      </c>
      <c r="AD34" s="97">
        <v>0.0</v>
      </c>
      <c r="AE34" s="97" t="s">
        <v>118</v>
      </c>
      <c r="AF34" s="97">
        <v>42.0</v>
      </c>
      <c r="AG34" s="97">
        <v>23.0</v>
      </c>
      <c r="AH34" s="97">
        <v>44.0</v>
      </c>
      <c r="AI34" s="97" t="s">
        <v>118</v>
      </c>
      <c r="AJ34" s="97">
        <v>44.0</v>
      </c>
      <c r="AK34" s="97" t="s">
        <v>118</v>
      </c>
      <c r="AL34" s="97" t="s">
        <v>118</v>
      </c>
      <c r="AM34" s="97" t="s">
        <v>118</v>
      </c>
      <c r="AN34" s="97">
        <v>39.0</v>
      </c>
      <c r="AO34" s="97">
        <v>60.0</v>
      </c>
    </row>
    <row r="35">
      <c r="A35" s="147" t="s">
        <v>104</v>
      </c>
      <c r="B35" s="97" t="s">
        <v>118</v>
      </c>
      <c r="C35" s="97">
        <v>31.0</v>
      </c>
      <c r="D35" s="97" t="s">
        <v>118</v>
      </c>
      <c r="E35" s="97">
        <v>114.0</v>
      </c>
      <c r="F35" s="97" t="s">
        <v>118</v>
      </c>
      <c r="G35" s="97">
        <v>26.0</v>
      </c>
      <c r="H35" s="97">
        <v>52.0</v>
      </c>
      <c r="I35" s="97">
        <v>32.0</v>
      </c>
      <c r="J35" s="97">
        <v>61.0</v>
      </c>
      <c r="K35" s="97">
        <v>11.0</v>
      </c>
      <c r="L35" s="97">
        <v>0.0</v>
      </c>
      <c r="M35" s="97" t="s">
        <v>118</v>
      </c>
      <c r="N35" s="97" t="s">
        <v>118</v>
      </c>
      <c r="O35" s="97" t="s">
        <v>118</v>
      </c>
      <c r="P35" s="97">
        <v>0.0</v>
      </c>
      <c r="Q35" s="97">
        <v>48.0</v>
      </c>
      <c r="R35" s="97">
        <v>37.0</v>
      </c>
      <c r="S35" s="97">
        <v>0.0</v>
      </c>
      <c r="T35" s="97" t="s">
        <v>118</v>
      </c>
      <c r="U35" s="97">
        <v>39.0</v>
      </c>
      <c r="V35" s="97">
        <v>0.0</v>
      </c>
      <c r="W35" s="97">
        <v>20.0</v>
      </c>
      <c r="X35" s="97">
        <v>27.0</v>
      </c>
      <c r="Y35" s="97">
        <v>49.0</v>
      </c>
      <c r="Z35" s="97" t="s">
        <v>118</v>
      </c>
      <c r="AA35" s="97">
        <v>53.0</v>
      </c>
      <c r="AB35" s="97">
        <v>29.0</v>
      </c>
      <c r="AC35" s="97">
        <v>106.0</v>
      </c>
      <c r="AD35" s="97" t="s">
        <v>118</v>
      </c>
      <c r="AE35" s="97" t="s">
        <v>118</v>
      </c>
      <c r="AF35" s="97">
        <v>37.0</v>
      </c>
      <c r="AG35" s="97" t="s">
        <v>118</v>
      </c>
      <c r="AH35" s="97">
        <v>32.0</v>
      </c>
      <c r="AI35" s="97" t="s">
        <v>118</v>
      </c>
      <c r="AJ35" s="97">
        <v>17.0</v>
      </c>
      <c r="AK35" s="97" t="s">
        <v>118</v>
      </c>
      <c r="AL35" s="97">
        <v>21.0</v>
      </c>
      <c r="AM35" s="97" t="s">
        <v>118</v>
      </c>
      <c r="AN35" s="97">
        <v>43.0</v>
      </c>
      <c r="AO35" s="97">
        <v>46.0</v>
      </c>
    </row>
    <row r="36">
      <c r="A36" s="147" t="s">
        <v>105</v>
      </c>
      <c r="B36" s="97" t="s">
        <v>118</v>
      </c>
      <c r="C36" s="97" t="s">
        <v>118</v>
      </c>
      <c r="D36" s="97" t="s">
        <v>118</v>
      </c>
      <c r="E36" s="97">
        <v>26.0</v>
      </c>
      <c r="F36" s="97">
        <v>0.0</v>
      </c>
      <c r="G36" s="97" t="s">
        <v>118</v>
      </c>
      <c r="H36" s="97">
        <v>46.0</v>
      </c>
      <c r="I36" s="97">
        <v>43.0</v>
      </c>
      <c r="J36" s="97">
        <v>0.0</v>
      </c>
      <c r="K36" s="97">
        <v>21.0</v>
      </c>
      <c r="L36" s="97">
        <v>0.0</v>
      </c>
      <c r="M36" s="97" t="s">
        <v>118</v>
      </c>
      <c r="N36" s="97" t="s">
        <v>118</v>
      </c>
      <c r="O36" s="97">
        <v>0.0</v>
      </c>
      <c r="P36" s="97" t="s">
        <v>118</v>
      </c>
      <c r="Q36" s="97">
        <v>48.0</v>
      </c>
      <c r="R36" s="97">
        <v>28.0</v>
      </c>
      <c r="S36" s="97">
        <v>0.0</v>
      </c>
      <c r="T36" s="97" t="s">
        <v>118</v>
      </c>
      <c r="U36" s="97" t="s">
        <v>118</v>
      </c>
      <c r="V36" s="97">
        <v>0.0</v>
      </c>
      <c r="W36" s="97">
        <v>24.0</v>
      </c>
      <c r="X36" s="97">
        <v>23.0</v>
      </c>
      <c r="Y36" s="97">
        <v>89.0</v>
      </c>
      <c r="Z36" s="97" t="s">
        <v>118</v>
      </c>
      <c r="AA36" s="97">
        <v>53.0</v>
      </c>
      <c r="AB36" s="97" t="s">
        <v>118</v>
      </c>
      <c r="AC36" s="97">
        <v>100.0</v>
      </c>
      <c r="AD36" s="97">
        <v>0.0</v>
      </c>
      <c r="AE36" s="97" t="s">
        <v>118</v>
      </c>
      <c r="AF36" s="97">
        <v>28.0</v>
      </c>
      <c r="AG36" s="97">
        <v>0.0</v>
      </c>
      <c r="AH36" s="97">
        <v>38.0</v>
      </c>
      <c r="AI36" s="97" t="s">
        <v>118</v>
      </c>
      <c r="AJ36" s="97">
        <v>32.0</v>
      </c>
      <c r="AK36" s="97">
        <v>0.0</v>
      </c>
      <c r="AL36" s="97" t="s">
        <v>118</v>
      </c>
      <c r="AM36" s="97" t="s">
        <v>118</v>
      </c>
      <c r="AN36" s="97">
        <v>29.0</v>
      </c>
      <c r="AO36" s="97">
        <v>43.0</v>
      </c>
    </row>
    <row r="37">
      <c r="A37" s="147" t="s">
        <v>106</v>
      </c>
      <c r="B37" s="97">
        <v>31.0</v>
      </c>
      <c r="C37" s="97">
        <v>45.0</v>
      </c>
      <c r="D37" s="97">
        <v>43.0</v>
      </c>
      <c r="E37" s="97">
        <v>98.0</v>
      </c>
      <c r="F37" s="97" t="s">
        <v>118</v>
      </c>
      <c r="G37" s="97" t="s">
        <v>118</v>
      </c>
      <c r="H37" s="97">
        <v>38.0</v>
      </c>
      <c r="I37" s="97">
        <v>87.0</v>
      </c>
      <c r="J37" s="97" t="s">
        <v>118</v>
      </c>
      <c r="K37" s="97">
        <v>34.0</v>
      </c>
      <c r="L37" s="97">
        <v>0.0</v>
      </c>
      <c r="M37" s="97" t="s">
        <v>118</v>
      </c>
      <c r="N37" s="97">
        <v>0.0</v>
      </c>
      <c r="O37" s="97">
        <v>0.0</v>
      </c>
      <c r="P37" s="97">
        <v>0.0</v>
      </c>
      <c r="Q37" s="97">
        <v>31.0</v>
      </c>
      <c r="R37" s="97" t="s">
        <v>118</v>
      </c>
      <c r="S37" s="97">
        <v>0.0</v>
      </c>
      <c r="T37" s="97" t="s">
        <v>118</v>
      </c>
      <c r="U37" s="97">
        <v>32.0</v>
      </c>
      <c r="V37" s="97">
        <v>0.0</v>
      </c>
      <c r="W37" s="97">
        <v>52.0</v>
      </c>
      <c r="X37" s="97">
        <v>27.0</v>
      </c>
      <c r="Y37" s="97">
        <v>34.0</v>
      </c>
      <c r="Z37" s="97" t="s">
        <v>118</v>
      </c>
      <c r="AA37" s="97">
        <v>75.0</v>
      </c>
      <c r="AB37" s="97" t="s">
        <v>118</v>
      </c>
      <c r="AC37" s="97">
        <v>81.0</v>
      </c>
      <c r="AD37" s="97">
        <v>0.0</v>
      </c>
      <c r="AE37" s="97" t="s">
        <v>118</v>
      </c>
      <c r="AF37" s="97">
        <v>28.0</v>
      </c>
      <c r="AG37" s="97" t="s">
        <v>118</v>
      </c>
      <c r="AH37" s="97" t="s">
        <v>118</v>
      </c>
      <c r="AI37" s="97">
        <v>0.0</v>
      </c>
      <c r="AJ37" s="97">
        <v>27.0</v>
      </c>
      <c r="AK37" s="97" t="s">
        <v>118</v>
      </c>
      <c r="AL37" s="97">
        <v>38.0</v>
      </c>
      <c r="AM37" s="97">
        <v>22.0</v>
      </c>
      <c r="AN37" s="97">
        <v>39.0</v>
      </c>
      <c r="AO37" s="97">
        <v>43.0</v>
      </c>
    </row>
    <row r="38">
      <c r="A38" s="147" t="s">
        <v>107</v>
      </c>
      <c r="B38" s="97">
        <v>31.0</v>
      </c>
      <c r="C38" s="97">
        <v>31.0</v>
      </c>
      <c r="D38" s="97">
        <v>61.0</v>
      </c>
      <c r="E38" s="97">
        <v>114.0</v>
      </c>
      <c r="F38" s="97" t="s">
        <v>118</v>
      </c>
      <c r="G38" s="97">
        <v>61.0</v>
      </c>
      <c r="H38" s="97">
        <v>48.0</v>
      </c>
      <c r="I38" s="97">
        <v>43.0</v>
      </c>
      <c r="J38" s="97" t="s">
        <v>118</v>
      </c>
      <c r="K38" s="97">
        <v>19.0</v>
      </c>
      <c r="L38" s="97" t="s">
        <v>118</v>
      </c>
      <c r="M38" s="97">
        <v>0.0</v>
      </c>
      <c r="N38" s="97">
        <v>0.0</v>
      </c>
      <c r="O38" s="97">
        <v>0.0</v>
      </c>
      <c r="P38" s="97" t="s">
        <v>118</v>
      </c>
      <c r="Q38" s="97">
        <v>72.0</v>
      </c>
      <c r="R38" s="97">
        <v>23.0</v>
      </c>
      <c r="S38" s="97">
        <v>0.0</v>
      </c>
      <c r="T38" s="97">
        <v>0.0</v>
      </c>
      <c r="U38" s="97">
        <v>212.0</v>
      </c>
      <c r="V38" s="97">
        <v>0.0</v>
      </c>
      <c r="W38" s="97">
        <v>28.0</v>
      </c>
      <c r="X38" s="97">
        <v>19.0</v>
      </c>
      <c r="Y38" s="97">
        <v>65.0</v>
      </c>
      <c r="Z38" s="97">
        <v>49.0</v>
      </c>
      <c r="AA38" s="97">
        <v>56.0</v>
      </c>
      <c r="AB38" s="97" t="s">
        <v>118</v>
      </c>
      <c r="AC38" s="97">
        <v>157.0</v>
      </c>
      <c r="AD38" s="97">
        <v>0.0</v>
      </c>
      <c r="AE38" s="97" t="s">
        <v>118</v>
      </c>
      <c r="AF38" s="97">
        <v>46.0</v>
      </c>
      <c r="AG38" s="97">
        <v>23.0</v>
      </c>
      <c r="AH38" s="97">
        <v>32.0</v>
      </c>
      <c r="AI38" s="97" t="s">
        <v>118</v>
      </c>
      <c r="AJ38" s="97">
        <v>41.0</v>
      </c>
      <c r="AK38" s="97" t="s">
        <v>118</v>
      </c>
      <c r="AL38" s="97">
        <v>35.0</v>
      </c>
      <c r="AM38" s="97">
        <v>35.0</v>
      </c>
      <c r="AN38" s="97">
        <v>36.0</v>
      </c>
      <c r="AO38" s="97">
        <v>63.0</v>
      </c>
    </row>
    <row r="39">
      <c r="A39" s="147" t="s">
        <v>108</v>
      </c>
      <c r="B39" s="97" t="s">
        <v>118</v>
      </c>
      <c r="C39" s="97" t="s">
        <v>118</v>
      </c>
      <c r="D39" s="97">
        <v>43.0</v>
      </c>
      <c r="E39" s="97">
        <v>175.0</v>
      </c>
      <c r="F39" s="97" t="s">
        <v>118</v>
      </c>
      <c r="G39" s="97">
        <v>17.0</v>
      </c>
      <c r="H39" s="97">
        <v>52.0</v>
      </c>
      <c r="I39" s="97">
        <v>40.0</v>
      </c>
      <c r="J39" s="97" t="s">
        <v>118</v>
      </c>
      <c r="K39" s="97">
        <v>17.0</v>
      </c>
      <c r="L39" s="97" t="s">
        <v>118</v>
      </c>
      <c r="M39" s="97">
        <v>0.0</v>
      </c>
      <c r="N39" s="97" t="s">
        <v>118</v>
      </c>
      <c r="O39" s="97" t="s">
        <v>118</v>
      </c>
      <c r="P39" s="97" t="s">
        <v>118</v>
      </c>
      <c r="Q39" s="97">
        <v>96.0</v>
      </c>
      <c r="R39" s="97">
        <v>65.0</v>
      </c>
      <c r="S39" s="97">
        <v>0.0</v>
      </c>
      <c r="T39" s="97" t="s">
        <v>118</v>
      </c>
      <c r="U39" s="97">
        <v>193.0</v>
      </c>
      <c r="V39" s="97">
        <v>0.0</v>
      </c>
      <c r="W39" s="97" t="s">
        <v>118</v>
      </c>
      <c r="X39" s="97">
        <v>19.0</v>
      </c>
      <c r="Y39" s="97">
        <v>59.0</v>
      </c>
      <c r="Z39" s="97">
        <v>73.0</v>
      </c>
      <c r="AA39" s="97">
        <v>107.0</v>
      </c>
      <c r="AB39" s="97">
        <v>0.0</v>
      </c>
      <c r="AC39" s="97">
        <v>135.0</v>
      </c>
      <c r="AD39" s="97" t="s">
        <v>118</v>
      </c>
      <c r="AE39" s="97" t="s">
        <v>118</v>
      </c>
      <c r="AF39" s="97">
        <v>51.0</v>
      </c>
      <c r="AG39" s="97" t="s">
        <v>118</v>
      </c>
      <c r="AH39" s="97" t="s">
        <v>118</v>
      </c>
      <c r="AI39" s="97">
        <v>67.0</v>
      </c>
      <c r="AJ39" s="97">
        <v>28.0</v>
      </c>
      <c r="AK39" s="97" t="s">
        <v>118</v>
      </c>
      <c r="AL39" s="97">
        <v>31.0</v>
      </c>
      <c r="AM39" s="97">
        <v>44.0</v>
      </c>
      <c r="AN39" s="97">
        <v>26.0</v>
      </c>
      <c r="AO39" s="97">
        <v>62.0</v>
      </c>
    </row>
    <row r="40">
      <c r="A40" s="147" t="s">
        <v>109</v>
      </c>
      <c r="B40" s="97" t="s">
        <v>118</v>
      </c>
      <c r="C40" s="97">
        <v>40.0</v>
      </c>
      <c r="D40" s="97" t="s">
        <v>118</v>
      </c>
      <c r="E40" s="97">
        <v>165.0</v>
      </c>
      <c r="F40" s="97" t="s">
        <v>118</v>
      </c>
      <c r="G40" s="97">
        <v>40.0</v>
      </c>
      <c r="H40" s="97">
        <v>75.0</v>
      </c>
      <c r="I40" s="97">
        <v>66.0</v>
      </c>
      <c r="J40" s="97">
        <v>76.0</v>
      </c>
      <c r="K40" s="97">
        <v>67.0</v>
      </c>
      <c r="L40" s="97" t="s">
        <v>118</v>
      </c>
      <c r="M40" s="97" t="s">
        <v>118</v>
      </c>
      <c r="N40" s="97" t="s">
        <v>118</v>
      </c>
      <c r="O40" s="97">
        <v>0.0</v>
      </c>
      <c r="P40" s="97" t="s">
        <v>118</v>
      </c>
      <c r="Q40" s="97">
        <v>86.0</v>
      </c>
      <c r="R40" s="97">
        <v>74.0</v>
      </c>
      <c r="S40" s="97" t="s">
        <v>118</v>
      </c>
      <c r="T40" s="97" t="s">
        <v>118</v>
      </c>
      <c r="U40" s="97">
        <v>257.0</v>
      </c>
      <c r="V40" s="97">
        <v>0.0</v>
      </c>
      <c r="W40" s="97" t="s">
        <v>118</v>
      </c>
      <c r="X40" s="97">
        <v>57.0</v>
      </c>
      <c r="Y40" s="97">
        <v>102.0</v>
      </c>
      <c r="Z40" s="97">
        <v>49.0</v>
      </c>
      <c r="AA40" s="97">
        <v>160.0</v>
      </c>
      <c r="AB40" s="97">
        <v>29.0</v>
      </c>
      <c r="AC40" s="97">
        <v>158.0</v>
      </c>
      <c r="AD40" s="97">
        <v>0.0</v>
      </c>
      <c r="AE40" s="97" t="s">
        <v>118</v>
      </c>
      <c r="AF40" s="97">
        <v>65.0</v>
      </c>
      <c r="AG40" s="97">
        <v>36.0</v>
      </c>
      <c r="AH40" s="97" t="s">
        <v>118</v>
      </c>
      <c r="AI40" s="97">
        <v>0.0</v>
      </c>
      <c r="AJ40" s="97">
        <v>48.0</v>
      </c>
      <c r="AK40" s="97" t="s">
        <v>118</v>
      </c>
      <c r="AL40" s="97">
        <v>48.0</v>
      </c>
      <c r="AM40" s="97">
        <v>53.0</v>
      </c>
      <c r="AN40" s="97">
        <v>60.0</v>
      </c>
      <c r="AO40" s="97">
        <v>85.0</v>
      </c>
    </row>
    <row r="41">
      <c r="A41" s="147" t="s">
        <v>110</v>
      </c>
      <c r="B41" s="97">
        <v>43.0</v>
      </c>
      <c r="C41" s="97">
        <v>54.0</v>
      </c>
      <c r="D41" s="97">
        <v>49.0</v>
      </c>
      <c r="E41" s="97">
        <v>237.0</v>
      </c>
      <c r="F41" s="97" t="s">
        <v>118</v>
      </c>
      <c r="G41" s="97">
        <v>55.0</v>
      </c>
      <c r="H41" s="97">
        <v>113.0</v>
      </c>
      <c r="I41" s="97">
        <v>92.0</v>
      </c>
      <c r="J41" s="97">
        <v>61.0</v>
      </c>
      <c r="K41" s="97">
        <v>67.0</v>
      </c>
      <c r="L41" s="97">
        <v>74.0</v>
      </c>
      <c r="M41" s="97">
        <v>128.0</v>
      </c>
      <c r="N41" s="97" t="s">
        <v>118</v>
      </c>
      <c r="O41" s="97">
        <v>0.0</v>
      </c>
      <c r="P41" s="97">
        <v>109.0</v>
      </c>
      <c r="Q41" s="97">
        <v>75.0</v>
      </c>
      <c r="R41" s="97">
        <v>88.0</v>
      </c>
      <c r="S41" s="97" t="s">
        <v>118</v>
      </c>
      <c r="T41" s="97" t="s">
        <v>118</v>
      </c>
      <c r="U41" s="97">
        <v>598.0</v>
      </c>
      <c r="V41" s="97">
        <v>0.0</v>
      </c>
      <c r="W41" s="97">
        <v>32.0</v>
      </c>
      <c r="X41" s="97">
        <v>72.0</v>
      </c>
      <c r="Y41" s="97">
        <v>132.0</v>
      </c>
      <c r="Z41" s="97">
        <v>73.0</v>
      </c>
      <c r="AA41" s="97">
        <v>162.0</v>
      </c>
      <c r="AB41" s="97">
        <v>29.0</v>
      </c>
      <c r="AC41" s="97">
        <v>158.0</v>
      </c>
      <c r="AD41" s="97" t="s">
        <v>118</v>
      </c>
      <c r="AE41" s="97" t="s">
        <v>118</v>
      </c>
      <c r="AF41" s="97">
        <v>55.0</v>
      </c>
      <c r="AG41" s="97">
        <v>78.0</v>
      </c>
      <c r="AH41" s="97">
        <v>101.0</v>
      </c>
      <c r="AI41" s="97">
        <v>57.0</v>
      </c>
      <c r="AJ41" s="97">
        <v>78.0</v>
      </c>
      <c r="AK41" s="97">
        <v>81.0</v>
      </c>
      <c r="AL41" s="97">
        <v>90.0</v>
      </c>
      <c r="AM41" s="97">
        <v>93.0</v>
      </c>
      <c r="AN41" s="97">
        <v>91.0</v>
      </c>
      <c r="AO41" s="97">
        <v>113.0</v>
      </c>
    </row>
    <row r="42">
      <c r="A42" s="147" t="s">
        <v>111</v>
      </c>
      <c r="B42" s="97">
        <v>43.0</v>
      </c>
      <c r="C42" s="97">
        <v>108.0</v>
      </c>
      <c r="D42" s="97">
        <v>103.0</v>
      </c>
      <c r="E42" s="97">
        <v>356.0</v>
      </c>
      <c r="F42" s="97" t="s">
        <v>118</v>
      </c>
      <c r="G42" s="97">
        <v>93.0</v>
      </c>
      <c r="H42" s="97">
        <v>166.0</v>
      </c>
      <c r="I42" s="97">
        <v>118.0</v>
      </c>
      <c r="J42" s="97">
        <v>92.0</v>
      </c>
      <c r="K42" s="97">
        <v>86.0</v>
      </c>
      <c r="L42" s="97" t="s">
        <v>118</v>
      </c>
      <c r="M42" s="97" t="s">
        <v>118</v>
      </c>
      <c r="N42" s="97">
        <v>0.0</v>
      </c>
      <c r="O42" s="97">
        <v>0.0</v>
      </c>
      <c r="P42" s="97" t="s">
        <v>118</v>
      </c>
      <c r="Q42" s="97">
        <v>164.0</v>
      </c>
      <c r="R42" s="97">
        <v>97.0</v>
      </c>
      <c r="S42" s="97" t="s">
        <v>118</v>
      </c>
      <c r="T42" s="97" t="s">
        <v>118</v>
      </c>
      <c r="U42" s="97">
        <v>238.0</v>
      </c>
      <c r="V42" s="97" t="s">
        <v>118</v>
      </c>
      <c r="W42" s="97">
        <v>48.0</v>
      </c>
      <c r="X42" s="97">
        <v>57.0</v>
      </c>
      <c r="Y42" s="97">
        <v>176.0</v>
      </c>
      <c r="Z42" s="97">
        <v>146.0</v>
      </c>
      <c r="AA42" s="97">
        <v>219.0</v>
      </c>
      <c r="AB42" s="97">
        <v>63.0</v>
      </c>
      <c r="AC42" s="97">
        <v>197.0</v>
      </c>
      <c r="AD42" s="97" t="s">
        <v>118</v>
      </c>
      <c r="AE42" s="97" t="s">
        <v>118</v>
      </c>
      <c r="AF42" s="97">
        <v>111.0</v>
      </c>
      <c r="AG42" s="97">
        <v>39.0</v>
      </c>
      <c r="AH42" s="97">
        <v>95.0</v>
      </c>
      <c r="AI42" s="97">
        <v>48.0</v>
      </c>
      <c r="AJ42" s="97">
        <v>67.0</v>
      </c>
      <c r="AK42" s="97">
        <v>194.0</v>
      </c>
      <c r="AL42" s="97">
        <v>90.0</v>
      </c>
      <c r="AM42" s="97">
        <v>62.0</v>
      </c>
      <c r="AN42" s="97">
        <v>116.0</v>
      </c>
      <c r="AO42" s="97">
        <v>137.0</v>
      </c>
    </row>
    <row r="43">
      <c r="A43" s="147" t="s">
        <v>112</v>
      </c>
      <c r="B43" s="97">
        <v>130.0</v>
      </c>
      <c r="C43" s="97">
        <v>103.0</v>
      </c>
      <c r="D43" s="97">
        <v>122.0</v>
      </c>
      <c r="E43" s="97">
        <v>470.0</v>
      </c>
      <c r="F43" s="97">
        <v>77.0</v>
      </c>
      <c r="G43" s="97">
        <v>139.0</v>
      </c>
      <c r="H43" s="97">
        <v>262.0</v>
      </c>
      <c r="I43" s="97">
        <v>156.0</v>
      </c>
      <c r="J43" s="97">
        <v>252.0</v>
      </c>
      <c r="K43" s="97">
        <v>156.0</v>
      </c>
      <c r="L43" s="97" t="s">
        <v>118</v>
      </c>
      <c r="M43" s="97" t="s">
        <v>118</v>
      </c>
      <c r="N43" s="97">
        <v>199.0</v>
      </c>
      <c r="O43" s="97" t="s">
        <v>118</v>
      </c>
      <c r="P43" s="97">
        <v>0.0</v>
      </c>
      <c r="Q43" s="97">
        <v>270.0</v>
      </c>
      <c r="R43" s="97">
        <v>162.0</v>
      </c>
      <c r="S43" s="97" t="s">
        <v>118</v>
      </c>
      <c r="T43" s="97">
        <v>50.0</v>
      </c>
      <c r="U43" s="97">
        <v>219.0</v>
      </c>
      <c r="V43" s="97">
        <v>0.0</v>
      </c>
      <c r="W43" s="97">
        <v>77.0</v>
      </c>
      <c r="X43" s="97">
        <v>99.0</v>
      </c>
      <c r="Y43" s="97">
        <v>259.0</v>
      </c>
      <c r="Z43" s="97">
        <v>170.0</v>
      </c>
      <c r="AA43" s="97">
        <v>346.0</v>
      </c>
      <c r="AB43" s="97">
        <v>52.0</v>
      </c>
      <c r="AC43" s="97">
        <v>341.0</v>
      </c>
      <c r="AD43" s="97" t="s">
        <v>118</v>
      </c>
      <c r="AE43" s="97">
        <v>123.0</v>
      </c>
      <c r="AF43" s="97">
        <v>180.0</v>
      </c>
      <c r="AG43" s="97">
        <v>42.0</v>
      </c>
      <c r="AH43" s="97">
        <v>89.0</v>
      </c>
      <c r="AI43" s="97">
        <v>114.0</v>
      </c>
      <c r="AJ43" s="97">
        <v>150.0</v>
      </c>
      <c r="AK43" s="97">
        <v>275.0</v>
      </c>
      <c r="AL43" s="97">
        <v>180.0</v>
      </c>
      <c r="AM43" s="97">
        <v>49.0</v>
      </c>
      <c r="AN43" s="97">
        <v>156.0</v>
      </c>
      <c r="AO43" s="97">
        <v>225.0</v>
      </c>
    </row>
    <row r="44">
      <c r="A44" s="147" t="s">
        <v>113</v>
      </c>
      <c r="B44" s="97">
        <v>185.0</v>
      </c>
      <c r="C44" s="97">
        <v>162.0</v>
      </c>
      <c r="D44" s="97">
        <v>164.0</v>
      </c>
      <c r="E44" s="97">
        <v>779.0</v>
      </c>
      <c r="F44" s="97" t="s">
        <v>118</v>
      </c>
      <c r="G44" s="97">
        <v>121.0</v>
      </c>
      <c r="H44" s="97">
        <v>314.0</v>
      </c>
      <c r="I44" s="97">
        <v>219.0</v>
      </c>
      <c r="J44" s="97">
        <v>229.0</v>
      </c>
      <c r="K44" s="97">
        <v>194.0</v>
      </c>
      <c r="L44" s="97" t="s">
        <v>118</v>
      </c>
      <c r="M44" s="97">
        <v>256.0</v>
      </c>
      <c r="N44" s="97">
        <v>179.0</v>
      </c>
      <c r="O44" s="97" t="s">
        <v>118</v>
      </c>
      <c r="P44" s="97">
        <v>109.0</v>
      </c>
      <c r="Q44" s="97">
        <v>356.0</v>
      </c>
      <c r="R44" s="97">
        <v>213.0</v>
      </c>
      <c r="S44" s="97" t="s">
        <v>118</v>
      </c>
      <c r="T44" s="97">
        <v>155.0</v>
      </c>
      <c r="U44" s="97">
        <v>103.0</v>
      </c>
      <c r="V44" s="97" t="s">
        <v>118</v>
      </c>
      <c r="W44" s="97">
        <v>85.0</v>
      </c>
      <c r="X44" s="97">
        <v>118.0</v>
      </c>
      <c r="Y44" s="97">
        <v>354.0</v>
      </c>
      <c r="Z44" s="97">
        <v>105.0</v>
      </c>
      <c r="AA44" s="97">
        <v>357.0</v>
      </c>
      <c r="AB44" s="97">
        <v>149.0</v>
      </c>
      <c r="AC44" s="97">
        <v>347.0</v>
      </c>
      <c r="AD44" s="97" t="s">
        <v>118</v>
      </c>
      <c r="AE44" s="97">
        <v>170.0</v>
      </c>
      <c r="AF44" s="97">
        <v>153.0</v>
      </c>
      <c r="AG44" s="97">
        <v>33.0</v>
      </c>
      <c r="AH44" s="97">
        <v>183.0</v>
      </c>
      <c r="AI44" s="97">
        <v>296.0</v>
      </c>
      <c r="AJ44" s="97">
        <v>221.0</v>
      </c>
      <c r="AK44" s="97">
        <v>113.0</v>
      </c>
      <c r="AL44" s="97">
        <v>249.0</v>
      </c>
      <c r="AM44" s="97">
        <v>71.0</v>
      </c>
      <c r="AN44" s="97">
        <v>142.0</v>
      </c>
      <c r="AO44" s="97">
        <v>258.0</v>
      </c>
    </row>
    <row r="45">
      <c r="A45" s="147" t="s">
        <v>114</v>
      </c>
      <c r="B45" s="97">
        <v>130.0</v>
      </c>
      <c r="C45" s="97">
        <v>297.0</v>
      </c>
      <c r="D45" s="97">
        <v>134.0</v>
      </c>
      <c r="E45" s="97">
        <v>727.0</v>
      </c>
      <c r="F45" s="97">
        <v>103.0</v>
      </c>
      <c r="G45" s="97">
        <v>269.0</v>
      </c>
      <c r="H45" s="97">
        <v>415.0</v>
      </c>
      <c r="I45" s="97">
        <v>216.0</v>
      </c>
      <c r="J45" s="97">
        <v>382.0</v>
      </c>
      <c r="K45" s="97">
        <v>268.0</v>
      </c>
      <c r="L45" s="97">
        <v>162.0</v>
      </c>
      <c r="M45" s="97">
        <v>149.0</v>
      </c>
      <c r="N45" s="97">
        <v>219.0</v>
      </c>
      <c r="O45" s="97">
        <v>123.0</v>
      </c>
      <c r="P45" s="97">
        <v>218.0</v>
      </c>
      <c r="Q45" s="97">
        <v>465.0</v>
      </c>
      <c r="R45" s="97">
        <v>231.0</v>
      </c>
      <c r="S45" s="97" t="s">
        <v>118</v>
      </c>
      <c r="T45" s="97">
        <v>118.0</v>
      </c>
      <c r="U45" s="97">
        <v>154.0</v>
      </c>
      <c r="V45" s="97" t="s">
        <v>118</v>
      </c>
      <c r="W45" s="97">
        <v>137.0</v>
      </c>
      <c r="X45" s="97">
        <v>168.0</v>
      </c>
      <c r="Y45" s="97">
        <v>327.0</v>
      </c>
      <c r="Z45" s="97">
        <v>170.0</v>
      </c>
      <c r="AA45" s="97">
        <v>432.0</v>
      </c>
      <c r="AB45" s="97">
        <v>80.0</v>
      </c>
      <c r="AC45" s="97">
        <v>449.0</v>
      </c>
      <c r="AD45" s="97">
        <v>79.0</v>
      </c>
      <c r="AE45" s="97">
        <v>198.0</v>
      </c>
      <c r="AF45" s="97">
        <v>254.0</v>
      </c>
      <c r="AG45" s="97">
        <v>49.0</v>
      </c>
      <c r="AH45" s="97">
        <v>152.0</v>
      </c>
      <c r="AI45" s="97">
        <v>372.0</v>
      </c>
      <c r="AJ45" s="97">
        <v>266.0</v>
      </c>
      <c r="AK45" s="97">
        <v>97.0</v>
      </c>
      <c r="AL45" s="97">
        <v>262.0</v>
      </c>
      <c r="AM45" s="97">
        <v>84.0</v>
      </c>
      <c r="AN45" s="97">
        <v>248.0</v>
      </c>
      <c r="AO45" s="97">
        <v>331.0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219</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220</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221</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44146.0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222</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176</v>
      </c>
      <c r="C8" s="154" t="s">
        <v>177</v>
      </c>
      <c r="D8" s="154" t="s">
        <v>178</v>
      </c>
      <c r="E8" s="154" t="s">
        <v>179</v>
      </c>
      <c r="F8" s="154" t="s">
        <v>180</v>
      </c>
      <c r="G8" s="154" t="s">
        <v>181</v>
      </c>
      <c r="H8" s="154" t="s">
        <v>182</v>
      </c>
      <c r="I8" s="154" t="s">
        <v>183</v>
      </c>
      <c r="J8" s="154" t="s">
        <v>184</v>
      </c>
      <c r="K8" s="154" t="s">
        <v>185</v>
      </c>
      <c r="L8" s="154" t="s">
        <v>186</v>
      </c>
      <c r="M8" s="154" t="s">
        <v>187</v>
      </c>
      <c r="N8" s="154" t="s">
        <v>188</v>
      </c>
      <c r="O8" s="154" t="s">
        <v>189</v>
      </c>
      <c r="P8" s="154" t="s">
        <v>190</v>
      </c>
      <c r="Q8" s="154" t="s">
        <v>191</v>
      </c>
      <c r="R8" s="154" t="s">
        <v>192</v>
      </c>
      <c r="S8" s="154" t="s">
        <v>193</v>
      </c>
      <c r="T8" s="154" t="s">
        <v>194</v>
      </c>
      <c r="U8" s="154" t="s">
        <v>195</v>
      </c>
      <c r="V8" s="154" t="s">
        <v>196</v>
      </c>
      <c r="W8" s="154" t="s">
        <v>197</v>
      </c>
      <c r="X8" s="154" t="s">
        <v>198</v>
      </c>
      <c r="Y8" s="154" t="s">
        <v>199</v>
      </c>
      <c r="Z8" s="154" t="s">
        <v>200</v>
      </c>
      <c r="AA8" s="154" t="s">
        <v>201</v>
      </c>
      <c r="AB8" s="154" t="s">
        <v>202</v>
      </c>
      <c r="AC8" s="154" t="s">
        <v>203</v>
      </c>
      <c r="AD8" s="154" t="s">
        <v>204</v>
      </c>
      <c r="AE8" s="154" t="s">
        <v>205</v>
      </c>
      <c r="AF8" s="154" t="s">
        <v>206</v>
      </c>
      <c r="AG8" s="154" t="s">
        <v>207</v>
      </c>
      <c r="AH8" s="154" t="s">
        <v>208</v>
      </c>
      <c r="AI8" s="154" t="s">
        <v>209</v>
      </c>
      <c r="AJ8" s="154" t="s">
        <v>210</v>
      </c>
      <c r="AK8" s="154" t="s">
        <v>211</v>
      </c>
      <c r="AL8" s="154" t="s">
        <v>212</v>
      </c>
      <c r="AM8" s="154" t="s">
        <v>213</v>
      </c>
      <c r="AN8" s="154" t="s">
        <v>214</v>
      </c>
      <c r="AO8" s="154" t="s">
        <v>215</v>
      </c>
      <c r="AP8" s="154" t="s">
        <v>170</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228.0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893.0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47</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281.0</v>
      </c>
      <c r="AH20" s="157">
        <v>171.0</v>
      </c>
      <c r="AI20" s="157">
        <v>176.0</v>
      </c>
      <c r="AJ20" s="157">
        <v>943.0</v>
      </c>
      <c r="AK20" s="157">
        <v>55.0</v>
      </c>
      <c r="AL20" s="157">
        <v>348.0</v>
      </c>
      <c r="AM20" s="157">
        <v>145.0</v>
      </c>
      <c r="AN20" s="157">
        <v>603.0</v>
      </c>
      <c r="AO20" s="157">
        <v>405.0</v>
      </c>
      <c r="AP20" s="159">
        <v>16654.0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867.0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15880.0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491.0</v>
      </c>
      <c r="Z23" s="157">
        <v>140.0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14173.0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3238.0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13832.0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384.0</v>
      </c>
      <c r="Z26" s="157">
        <v>180.0</v>
      </c>
      <c r="AA26" s="157">
        <v>855.0</v>
      </c>
      <c r="AB26" s="157">
        <v>158.0</v>
      </c>
      <c r="AC26" s="158">
        <v>2973.0</v>
      </c>
      <c r="AD26" s="157">
        <v>49.0</v>
      </c>
      <c r="AE26" s="157">
        <v>149.0</v>
      </c>
      <c r="AF26" s="157">
        <v>208.0</v>
      </c>
      <c r="AG26" s="157">
        <v>367.0</v>
      </c>
      <c r="AH26" s="157">
        <v>85.0</v>
      </c>
      <c r="AI26" s="157">
        <v>143.0</v>
      </c>
      <c r="AJ26" s="157">
        <v>968.0</v>
      </c>
      <c r="AK26" s="157">
        <v>63.0</v>
      </c>
      <c r="AL26" s="157">
        <v>395.0</v>
      </c>
      <c r="AM26" s="157">
        <v>286.0</v>
      </c>
      <c r="AN26" s="157">
        <v>512.0</v>
      </c>
      <c r="AO26" s="157">
        <v>152.0</v>
      </c>
      <c r="AP26" s="159">
        <v>13790.0</v>
      </c>
    </row>
    <row r="27">
      <c r="A27" s="155" t="s">
        <v>97</v>
      </c>
      <c r="B27" s="157">
        <v>263.0</v>
      </c>
      <c r="C27" s="157">
        <v>411.0</v>
      </c>
      <c r="D27" s="157">
        <v>184.0</v>
      </c>
      <c r="E27" s="157">
        <v>307.0</v>
      </c>
      <c r="F27" s="157">
        <v>156.0</v>
      </c>
      <c r="G27" s="157">
        <v>599.0</v>
      </c>
      <c r="H27" s="158">
        <v>1272.0</v>
      </c>
      <c r="I27" s="157">
        <v>484.0</v>
      </c>
      <c r="J27" s="157">
        <v>433.0</v>
      </c>
      <c r="K27" s="157">
        <v>913.0</v>
      </c>
      <c r="L27" s="157">
        <v>78.0</v>
      </c>
      <c r="M27" s="157">
        <v>77.0</v>
      </c>
      <c r="N27" s="157">
        <v>108.0</v>
      </c>
      <c r="O27" s="157">
        <v>105.0</v>
      </c>
      <c r="P27" s="157">
        <v>119.0</v>
      </c>
      <c r="Q27" s="157">
        <v>430.0</v>
      </c>
      <c r="R27" s="157">
        <v>310.0</v>
      </c>
      <c r="S27" s="157">
        <v>43.0</v>
      </c>
      <c r="T27" s="157">
        <v>374.0</v>
      </c>
      <c r="U27" s="157">
        <v>236.0</v>
      </c>
      <c r="V27" s="157">
        <v>31.0</v>
      </c>
      <c r="W27" s="157">
        <v>642.0</v>
      </c>
      <c r="X27" s="157">
        <v>484.0</v>
      </c>
      <c r="Y27" s="157">
        <v>575.0</v>
      </c>
      <c r="Z27" s="157">
        <v>146.0</v>
      </c>
      <c r="AA27" s="158">
        <v>1159.0</v>
      </c>
      <c r="AB27" s="157">
        <v>270.0</v>
      </c>
      <c r="AC27" s="158">
        <v>3991.0</v>
      </c>
      <c r="AD27" s="157">
        <v>59.0</v>
      </c>
      <c r="AE27" s="157">
        <v>191.0</v>
      </c>
      <c r="AF27" s="157">
        <v>346.0</v>
      </c>
      <c r="AG27" s="157">
        <v>599.0</v>
      </c>
      <c r="AH27" s="157">
        <v>134.0</v>
      </c>
      <c r="AI27" s="157">
        <v>174.0</v>
      </c>
      <c r="AJ27" s="158">
        <v>1205.0</v>
      </c>
      <c r="AK27" s="157">
        <v>102.0</v>
      </c>
      <c r="AL27" s="157">
        <v>494.0</v>
      </c>
      <c r="AM27" s="157">
        <v>274.0</v>
      </c>
      <c r="AN27" s="157">
        <v>580.0</v>
      </c>
      <c r="AO27" s="157">
        <v>405.0</v>
      </c>
      <c r="AP27" s="159">
        <v>18763.0</v>
      </c>
    </row>
    <row r="28">
      <c r="A28" s="155" t="s">
        <v>98</v>
      </c>
      <c r="B28" s="157">
        <v>278.0</v>
      </c>
      <c r="C28" s="157">
        <v>353.0</v>
      </c>
      <c r="D28" s="157">
        <v>176.0</v>
      </c>
      <c r="E28" s="157">
        <v>340.0</v>
      </c>
      <c r="F28" s="157">
        <v>171.0</v>
      </c>
      <c r="G28" s="157">
        <v>569.0</v>
      </c>
      <c r="H28" s="158">
        <v>1136.0</v>
      </c>
      <c r="I28" s="157">
        <v>477.0</v>
      </c>
      <c r="J28" s="157">
        <v>409.0</v>
      </c>
      <c r="K28" s="157">
        <v>743.0</v>
      </c>
      <c r="L28" s="157">
        <v>78.0</v>
      </c>
      <c r="M28" s="157">
        <v>75.0</v>
      </c>
      <c r="N28" s="157">
        <v>99.0</v>
      </c>
      <c r="O28" s="157">
        <v>94.0</v>
      </c>
      <c r="P28" s="157">
        <v>108.0</v>
      </c>
      <c r="Q28" s="157">
        <v>397.0</v>
      </c>
      <c r="R28" s="157">
        <v>293.0</v>
      </c>
      <c r="S28" s="157">
        <v>50.0</v>
      </c>
      <c r="T28" s="157">
        <v>343.0</v>
      </c>
      <c r="U28" s="157">
        <v>186.0</v>
      </c>
      <c r="V28" s="157">
        <v>40.0</v>
      </c>
      <c r="W28" s="157">
        <v>437.0</v>
      </c>
      <c r="X28" s="157">
        <v>464.0</v>
      </c>
      <c r="Y28" s="157">
        <v>531.0</v>
      </c>
      <c r="Z28" s="157">
        <v>134.0</v>
      </c>
      <c r="AA28" s="158">
        <v>1289.0</v>
      </c>
      <c r="AB28" s="157">
        <v>217.0</v>
      </c>
      <c r="AC28" s="158">
        <v>3542.0</v>
      </c>
      <c r="AD28" s="157">
        <v>74.0</v>
      </c>
      <c r="AE28" s="157">
        <v>175.0</v>
      </c>
      <c r="AF28" s="157">
        <v>311.0</v>
      </c>
      <c r="AG28" s="157">
        <v>526.0</v>
      </c>
      <c r="AH28" s="157">
        <v>154.0</v>
      </c>
      <c r="AI28" s="157">
        <v>178.0</v>
      </c>
      <c r="AJ28" s="158">
        <v>1162.0</v>
      </c>
      <c r="AK28" s="157">
        <v>80.0</v>
      </c>
      <c r="AL28" s="157">
        <v>469.0</v>
      </c>
      <c r="AM28" s="157">
        <v>306.0</v>
      </c>
      <c r="AN28" s="157">
        <v>553.0</v>
      </c>
      <c r="AO28" s="157">
        <v>523.0</v>
      </c>
      <c r="AP28" s="159">
        <v>17540.0</v>
      </c>
    </row>
    <row r="29">
      <c r="A29" s="160" t="s">
        <v>99</v>
      </c>
      <c r="B29" s="157">
        <v>278.0</v>
      </c>
      <c r="C29" s="157">
        <v>461.0</v>
      </c>
      <c r="D29" s="157">
        <v>197.0</v>
      </c>
      <c r="E29" s="157">
        <v>442.0</v>
      </c>
      <c r="F29" s="157">
        <v>151.0</v>
      </c>
      <c r="G29" s="157">
        <v>846.0</v>
      </c>
      <c r="H29" s="158">
        <v>1499.0</v>
      </c>
      <c r="I29" s="157">
        <v>497.0</v>
      </c>
      <c r="J29" s="157">
        <v>557.0</v>
      </c>
      <c r="K29" s="158">
        <v>1051.0</v>
      </c>
      <c r="L29" s="157">
        <v>106.0</v>
      </c>
      <c r="M29" s="157">
        <v>88.0</v>
      </c>
      <c r="N29" s="157">
        <v>129.0</v>
      </c>
      <c r="O29" s="157">
        <v>116.0</v>
      </c>
      <c r="P29" s="157">
        <v>113.0</v>
      </c>
      <c r="Q29" s="157">
        <v>526.0</v>
      </c>
      <c r="R29" s="157">
        <v>333.0</v>
      </c>
      <c r="S29" s="157">
        <v>52.0</v>
      </c>
      <c r="T29" s="157">
        <v>403.0</v>
      </c>
      <c r="U29" s="157">
        <v>269.0</v>
      </c>
      <c r="V29" s="157">
        <v>50.0</v>
      </c>
      <c r="W29" s="157">
        <v>637.0</v>
      </c>
      <c r="X29" s="157">
        <v>590.0</v>
      </c>
      <c r="Y29" s="157">
        <v>647.0</v>
      </c>
      <c r="Z29" s="157">
        <v>155.0</v>
      </c>
      <c r="AA29" s="158">
        <v>1631.0</v>
      </c>
      <c r="AB29" s="157">
        <v>208.0</v>
      </c>
      <c r="AC29" s="158">
        <v>4531.0</v>
      </c>
      <c r="AD29" s="157">
        <v>68.0</v>
      </c>
      <c r="AE29" s="157">
        <v>220.0</v>
      </c>
      <c r="AF29" s="157">
        <v>355.0</v>
      </c>
      <c r="AG29" s="157">
        <v>672.0</v>
      </c>
      <c r="AH29" s="157">
        <v>175.0</v>
      </c>
      <c r="AI29" s="157">
        <v>235.0</v>
      </c>
      <c r="AJ29" s="158">
        <v>1499.0</v>
      </c>
      <c r="AK29" s="157">
        <v>129.0</v>
      </c>
      <c r="AL29" s="157">
        <v>600.0</v>
      </c>
      <c r="AM29" s="157">
        <v>395.0</v>
      </c>
      <c r="AN29" s="157">
        <v>737.0</v>
      </c>
      <c r="AO29" s="158">
        <v>1094.0</v>
      </c>
      <c r="AP29" s="159">
        <v>22742.0</v>
      </c>
    </row>
    <row r="30">
      <c r="A30" s="161" t="s">
        <v>100</v>
      </c>
      <c r="B30" s="157">
        <v>334.0</v>
      </c>
      <c r="C30" s="157">
        <v>430.0</v>
      </c>
      <c r="D30" s="157">
        <v>201.0</v>
      </c>
      <c r="E30" s="157">
        <v>498.0</v>
      </c>
      <c r="F30" s="157">
        <v>145.0</v>
      </c>
      <c r="G30" s="157">
        <v>870.0</v>
      </c>
      <c r="H30" s="158">
        <v>1437.0</v>
      </c>
      <c r="I30" s="157">
        <v>593.0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624.0</v>
      </c>
      <c r="Z30" s="157">
        <v>163.0</v>
      </c>
      <c r="AA30" s="158">
        <v>1797.0</v>
      </c>
      <c r="AB30" s="157">
        <v>244.0</v>
      </c>
      <c r="AC30" s="158">
        <v>4635.0</v>
      </c>
      <c r="AD30" s="157">
        <v>94.0</v>
      </c>
      <c r="AE30" s="157">
        <v>224.0</v>
      </c>
      <c r="AF30" s="157">
        <v>325.0</v>
      </c>
      <c r="AG30" s="157">
        <v>539.0</v>
      </c>
      <c r="AH30" s="157">
        <v>198.0</v>
      </c>
      <c r="AI30" s="157">
        <v>230.0</v>
      </c>
      <c r="AJ30" s="158">
        <v>1719.0</v>
      </c>
      <c r="AK30" s="157">
        <v>127.0</v>
      </c>
      <c r="AL30" s="157">
        <v>616.0</v>
      </c>
      <c r="AM30" s="157">
        <v>350.0</v>
      </c>
      <c r="AN30" s="157">
        <v>888.0</v>
      </c>
      <c r="AO30" s="158">
        <v>1869.0</v>
      </c>
      <c r="AP30" s="159">
        <v>23408.0</v>
      </c>
    </row>
    <row r="31">
      <c r="A31" s="131" t="s">
        <v>101</v>
      </c>
      <c r="B31" s="157">
        <v>377.0</v>
      </c>
      <c r="C31" s="158">
        <v>1069.0</v>
      </c>
      <c r="D31" s="157">
        <v>227.0</v>
      </c>
      <c r="E31" s="157">
        <v>523.0</v>
      </c>
      <c r="F31" s="157">
        <v>159.0</v>
      </c>
      <c r="G31" s="157">
        <v>755.0</v>
      </c>
      <c r="H31" s="158">
        <v>1554.0</v>
      </c>
      <c r="I31" s="157">
        <v>626.0</v>
      </c>
      <c r="J31" s="157">
        <v>319.0</v>
      </c>
      <c r="K31" s="158">
        <v>1107.0</v>
      </c>
      <c r="L31" s="157">
        <v>82.0</v>
      </c>
      <c r="M31" s="157">
        <v>83.0</v>
      </c>
      <c r="N31" s="157">
        <v>112.0</v>
      </c>
      <c r="O31" s="157">
        <v>98.0</v>
      </c>
      <c r="P31" s="157">
        <v>96.0</v>
      </c>
      <c r="Q31" s="157">
        <v>512.0</v>
      </c>
      <c r="R31" s="157">
        <v>393.0</v>
      </c>
      <c r="S31" s="157">
        <v>55.0</v>
      </c>
      <c r="T31" s="157">
        <v>518.0</v>
      </c>
      <c r="U31" s="157">
        <v>220.0</v>
      </c>
      <c r="V31" s="157">
        <v>32.0</v>
      </c>
      <c r="W31" s="157">
        <v>651.0</v>
      </c>
      <c r="X31" s="157">
        <v>478.0</v>
      </c>
      <c r="Y31" s="157">
        <v>642.0</v>
      </c>
      <c r="Z31" s="157">
        <v>171.0</v>
      </c>
      <c r="AA31" s="158">
        <v>1619.0</v>
      </c>
      <c r="AB31" s="157">
        <v>261.0</v>
      </c>
      <c r="AC31" s="158">
        <v>5094.0</v>
      </c>
      <c r="AD31" s="157">
        <v>75.0</v>
      </c>
      <c r="AE31" s="157">
        <v>209.0</v>
      </c>
      <c r="AF31" s="157">
        <v>324.0</v>
      </c>
      <c r="AG31" s="157">
        <v>555.0</v>
      </c>
      <c r="AH31" s="157">
        <v>259.0</v>
      </c>
      <c r="AI31" s="157">
        <v>224.0</v>
      </c>
      <c r="AJ31" s="158">
        <v>1446.0</v>
      </c>
      <c r="AK31" s="157">
        <v>91.0</v>
      </c>
      <c r="AL31" s="157">
        <v>526.0</v>
      </c>
      <c r="AM31" s="157">
        <v>397.0</v>
      </c>
      <c r="AN31" s="157">
        <v>774.0</v>
      </c>
      <c r="AO31" s="158">
        <v>2589.0</v>
      </c>
      <c r="AP31" s="159">
        <v>25302.0</v>
      </c>
    </row>
    <row r="32">
      <c r="A32" s="131" t="s">
        <v>102</v>
      </c>
      <c r="B32" s="157">
        <v>403.0</v>
      </c>
      <c r="C32" s="157">
        <v>712.0</v>
      </c>
      <c r="D32" s="157">
        <v>302.0</v>
      </c>
      <c r="E32" s="157">
        <v>505.0</v>
      </c>
      <c r="F32" s="157">
        <v>147.0</v>
      </c>
      <c r="G32" s="157">
        <v>556.0</v>
      </c>
      <c r="H32" s="158">
        <v>1441.0</v>
      </c>
      <c r="I32" s="157">
        <v>741.0</v>
      </c>
      <c r="J32" s="157">
        <v>353.0</v>
      </c>
      <c r="K32" s="158">
        <v>1021.0</v>
      </c>
      <c r="L32" s="157">
        <v>79.0</v>
      </c>
      <c r="M32" s="157">
        <v>68.0</v>
      </c>
      <c r="N32" s="157">
        <v>116.0</v>
      </c>
      <c r="O32" s="157">
        <v>127.0</v>
      </c>
      <c r="P32" s="157">
        <v>122.0</v>
      </c>
      <c r="Q32" s="157">
        <v>491.0</v>
      </c>
      <c r="R32" s="157">
        <v>405.0</v>
      </c>
      <c r="S32" s="157">
        <v>58.0</v>
      </c>
      <c r="T32" s="157">
        <v>369.0</v>
      </c>
      <c r="U32" s="157">
        <v>257.0</v>
      </c>
      <c r="V32" s="157">
        <v>56.0</v>
      </c>
      <c r="W32" s="157">
        <v>549.0</v>
      </c>
      <c r="X32" s="157">
        <v>472.0</v>
      </c>
      <c r="Y32" s="157">
        <v>702.0</v>
      </c>
      <c r="Z32" s="157">
        <v>181.0</v>
      </c>
      <c r="AA32" s="158">
        <v>1647.0</v>
      </c>
      <c r="AB32" s="157">
        <v>303.0</v>
      </c>
      <c r="AC32" s="158">
        <v>4707.0</v>
      </c>
      <c r="AD32" s="157">
        <v>79.0</v>
      </c>
      <c r="AE32" s="157">
        <v>178.0</v>
      </c>
      <c r="AF32" s="157">
        <v>415.0</v>
      </c>
      <c r="AG32" s="157">
        <v>527.0</v>
      </c>
      <c r="AH32" s="157">
        <v>191.0</v>
      </c>
      <c r="AI32" s="157">
        <v>218.0</v>
      </c>
      <c r="AJ32" s="158">
        <v>1402.0</v>
      </c>
      <c r="AK32" s="157">
        <v>86.0</v>
      </c>
      <c r="AL32" s="157">
        <v>530.0</v>
      </c>
      <c r="AM32" s="157">
        <v>355.0</v>
      </c>
      <c r="AN32" s="157">
        <v>928.0</v>
      </c>
      <c r="AO32" s="158">
        <v>2359.0</v>
      </c>
      <c r="AP32" s="159">
        <v>24158.0</v>
      </c>
    </row>
    <row r="33">
      <c r="A33" s="131" t="s">
        <v>103</v>
      </c>
      <c r="B33" s="157">
        <v>440.0</v>
      </c>
      <c r="C33" s="158">
        <v>3650.0</v>
      </c>
      <c r="D33" s="157">
        <v>366.0</v>
      </c>
      <c r="E33" s="157">
        <v>417.0</v>
      </c>
      <c r="F33" s="157">
        <v>144.0</v>
      </c>
      <c r="G33" s="157">
        <v>570.0</v>
      </c>
      <c r="H33" s="158">
        <v>1407.0</v>
      </c>
      <c r="I33" s="157">
        <v>834.0</v>
      </c>
      <c r="J33" s="157">
        <v>405.0</v>
      </c>
      <c r="K33" s="158">
        <v>1011.0</v>
      </c>
      <c r="L33" s="157">
        <v>100.0</v>
      </c>
      <c r="M33" s="157">
        <v>85.0</v>
      </c>
      <c r="N33" s="157">
        <v>174.0</v>
      </c>
      <c r="O33" s="157">
        <v>124.0</v>
      </c>
      <c r="P33" s="157">
        <v>119.0</v>
      </c>
      <c r="Q33" s="157">
        <v>464.0</v>
      </c>
      <c r="R33" s="157">
        <v>440.0</v>
      </c>
      <c r="S33" s="157">
        <v>79.0</v>
      </c>
      <c r="T33" s="157">
        <v>396.0</v>
      </c>
      <c r="U33" s="157">
        <v>323.0</v>
      </c>
      <c r="V33" s="157">
        <v>47.0</v>
      </c>
      <c r="W33" s="157">
        <v>535.0</v>
      </c>
      <c r="X33" s="157">
        <v>709.0</v>
      </c>
      <c r="Y33" s="157">
        <v>615.0</v>
      </c>
      <c r="Z33" s="157">
        <v>218.0</v>
      </c>
      <c r="AA33" s="158">
        <v>1585.0</v>
      </c>
      <c r="AB33" s="157">
        <v>286.0</v>
      </c>
      <c r="AC33" s="158">
        <v>5429.0</v>
      </c>
      <c r="AD33" s="157">
        <v>71.0</v>
      </c>
      <c r="AE33" s="157">
        <v>208.0</v>
      </c>
      <c r="AF33" s="158">
        <v>2094.0</v>
      </c>
      <c r="AG33" s="157">
        <v>519.0</v>
      </c>
      <c r="AH33" s="157">
        <v>257.0</v>
      </c>
      <c r="AI33" s="157">
        <v>234.0</v>
      </c>
      <c r="AJ33" s="158">
        <v>1487.0</v>
      </c>
      <c r="AK33" s="157">
        <v>87.0</v>
      </c>
      <c r="AL33" s="157">
        <v>510.0</v>
      </c>
      <c r="AM33" s="157">
        <v>398.0</v>
      </c>
      <c r="AN33" s="157">
        <v>791.0</v>
      </c>
      <c r="AO33" s="158">
        <v>2266.0</v>
      </c>
      <c r="AP33" s="159">
        <v>29894.0</v>
      </c>
    </row>
    <row r="34">
      <c r="A34" s="131" t="s">
        <v>104</v>
      </c>
      <c r="B34" s="157">
        <v>457.0</v>
      </c>
      <c r="C34" s="158">
        <v>6354.0</v>
      </c>
      <c r="D34" s="157">
        <v>260.0</v>
      </c>
      <c r="E34" s="157">
        <v>456.0</v>
      </c>
      <c r="F34" s="157">
        <v>180.0</v>
      </c>
      <c r="G34" s="157">
        <v>693.0</v>
      </c>
      <c r="H34" s="158">
        <v>1561.0</v>
      </c>
      <c r="I34" s="157">
        <v>783.0</v>
      </c>
      <c r="J34" s="157">
        <v>467.0</v>
      </c>
      <c r="K34" s="158">
        <v>1010.0</v>
      </c>
      <c r="L34" s="157">
        <v>84.0</v>
      </c>
      <c r="M34" s="157">
        <v>110.0</v>
      </c>
      <c r="N34" s="157">
        <v>142.0</v>
      </c>
      <c r="O34" s="157">
        <v>130.0</v>
      </c>
      <c r="P34" s="157">
        <v>136.0</v>
      </c>
      <c r="Q34" s="157">
        <v>518.0</v>
      </c>
      <c r="R34" s="157">
        <v>475.0</v>
      </c>
      <c r="S34" s="157">
        <v>59.0</v>
      </c>
      <c r="T34" s="157">
        <v>291.0</v>
      </c>
      <c r="U34" s="157">
        <v>287.0</v>
      </c>
      <c r="V34" s="157">
        <v>44.0</v>
      </c>
      <c r="W34" s="157">
        <v>796.0</v>
      </c>
      <c r="X34" s="157">
        <v>598.0</v>
      </c>
      <c r="Y34" s="157">
        <v>650.0</v>
      </c>
      <c r="Z34" s="157">
        <v>331.0</v>
      </c>
      <c r="AA34" s="158">
        <v>1504.0</v>
      </c>
      <c r="AB34" s="157">
        <v>257.0</v>
      </c>
      <c r="AC34" s="158">
        <v>7172.0</v>
      </c>
      <c r="AD34" s="157">
        <v>68.0</v>
      </c>
      <c r="AE34" s="157">
        <v>242.0</v>
      </c>
      <c r="AF34" s="158">
        <v>4276.0</v>
      </c>
      <c r="AG34" s="157">
        <v>654.0</v>
      </c>
      <c r="AH34" s="157">
        <v>226.0</v>
      </c>
      <c r="AI34" s="157">
        <v>196.0</v>
      </c>
      <c r="AJ34" s="158">
        <v>1542.0</v>
      </c>
      <c r="AK34" s="157">
        <v>106.0</v>
      </c>
      <c r="AL34" s="157">
        <v>542.0</v>
      </c>
      <c r="AM34" s="157">
        <v>376.0</v>
      </c>
      <c r="AN34" s="157">
        <v>863.0</v>
      </c>
      <c r="AO34" s="158">
        <v>2028.0</v>
      </c>
      <c r="AP34" s="159">
        <v>36924.0</v>
      </c>
    </row>
    <row r="35">
      <c r="A35" s="131" t="s">
        <v>105</v>
      </c>
      <c r="B35" s="157">
        <v>579.0</v>
      </c>
      <c r="C35" s="158">
        <v>6994.0</v>
      </c>
      <c r="D35" s="157">
        <v>395.0</v>
      </c>
      <c r="E35" s="157">
        <v>352.0</v>
      </c>
      <c r="F35" s="157">
        <v>165.0</v>
      </c>
      <c r="G35" s="157">
        <v>675.0</v>
      </c>
      <c r="H35" s="158">
        <v>1747.0</v>
      </c>
      <c r="I35" s="157">
        <v>945.0</v>
      </c>
      <c r="J35" s="157">
        <v>532.0</v>
      </c>
      <c r="K35" s="158">
        <v>1139.0</v>
      </c>
      <c r="L35" s="157">
        <v>106.0</v>
      </c>
      <c r="M35" s="157">
        <v>126.0</v>
      </c>
      <c r="N35" s="157">
        <v>168.0</v>
      </c>
      <c r="O35" s="157">
        <v>135.0</v>
      </c>
      <c r="P35" s="157">
        <v>163.0</v>
      </c>
      <c r="Q35" s="157">
        <v>604.0</v>
      </c>
      <c r="R35" s="157">
        <v>555.0</v>
      </c>
      <c r="S35" s="157">
        <v>72.0</v>
      </c>
      <c r="T35" s="157">
        <v>408.0</v>
      </c>
      <c r="U35" s="157">
        <v>307.0</v>
      </c>
      <c r="V35" s="157">
        <v>28.0</v>
      </c>
      <c r="W35" s="158">
        <v>1230.0</v>
      </c>
      <c r="X35" s="157">
        <v>665.0</v>
      </c>
      <c r="Y35" s="157">
        <v>744.0</v>
      </c>
      <c r="Z35" s="157">
        <v>408.0</v>
      </c>
      <c r="AA35" s="158">
        <v>1803.0</v>
      </c>
      <c r="AB35" s="157">
        <v>361.0</v>
      </c>
      <c r="AC35" s="158">
        <v>12377.0</v>
      </c>
      <c r="AD35" s="157">
        <v>80.0</v>
      </c>
      <c r="AE35" s="157">
        <v>280.0</v>
      </c>
      <c r="AF35" s="158">
        <v>3401.0</v>
      </c>
      <c r="AG35" s="157">
        <v>641.0</v>
      </c>
      <c r="AH35" s="157">
        <v>271.0</v>
      </c>
      <c r="AI35" s="157">
        <v>261.0</v>
      </c>
      <c r="AJ35" s="158">
        <v>1540.0</v>
      </c>
      <c r="AK35" s="157">
        <v>133.0</v>
      </c>
      <c r="AL35" s="157">
        <v>482.0</v>
      </c>
      <c r="AM35" s="157">
        <v>361.0</v>
      </c>
      <c r="AN35" s="158">
        <v>1083.0</v>
      </c>
      <c r="AO35" s="158">
        <v>851.0</v>
      </c>
      <c r="AP35" s="159">
        <v>43167.0</v>
      </c>
    </row>
    <row r="36">
      <c r="A36" s="131" t="s">
        <v>106</v>
      </c>
      <c r="B36" s="157">
        <v>511.0</v>
      </c>
      <c r="C36" s="158">
        <v>7513.0</v>
      </c>
      <c r="D36" s="157">
        <v>263.0</v>
      </c>
      <c r="E36" s="157">
        <v>354.0</v>
      </c>
      <c r="F36" s="157">
        <v>144.0</v>
      </c>
      <c r="G36" s="157">
        <v>620.0</v>
      </c>
      <c r="H36" s="158">
        <v>1482.0</v>
      </c>
      <c r="I36" s="157">
        <v>742.0</v>
      </c>
      <c r="J36" s="157">
        <v>412.0</v>
      </c>
      <c r="K36" s="158">
        <v>1086.0</v>
      </c>
      <c r="L36" s="157">
        <v>78.0</v>
      </c>
      <c r="M36" s="157">
        <v>94.0</v>
      </c>
      <c r="N36" s="157">
        <v>172.0</v>
      </c>
      <c r="O36" s="157">
        <v>119.0</v>
      </c>
      <c r="P36" s="157">
        <v>126.0</v>
      </c>
      <c r="Q36" s="157">
        <v>472.0</v>
      </c>
      <c r="R36" s="157">
        <v>468.0</v>
      </c>
      <c r="S36" s="157">
        <v>50.0</v>
      </c>
      <c r="T36" s="157">
        <v>496.0</v>
      </c>
      <c r="U36" s="157">
        <v>263.0</v>
      </c>
      <c r="V36" s="157">
        <v>61.0</v>
      </c>
      <c r="W36" s="158">
        <v>1692.0</v>
      </c>
      <c r="X36" s="157">
        <v>547.0</v>
      </c>
      <c r="Y36" s="157">
        <v>607.0</v>
      </c>
      <c r="Z36" s="157">
        <v>271.0</v>
      </c>
      <c r="AA36" s="158">
        <v>1653.0</v>
      </c>
      <c r="AB36" s="157">
        <v>279.0</v>
      </c>
      <c r="AC36" s="158">
        <v>10231.0</v>
      </c>
      <c r="AD36" s="157">
        <v>68.0</v>
      </c>
      <c r="AE36" s="157">
        <v>229.0</v>
      </c>
      <c r="AF36" s="158">
        <v>3660.0</v>
      </c>
      <c r="AG36" s="157">
        <v>533.0</v>
      </c>
      <c r="AH36" s="157">
        <v>268.0</v>
      </c>
      <c r="AI36" s="157">
        <v>218.0</v>
      </c>
      <c r="AJ36" s="158">
        <v>1383.0</v>
      </c>
      <c r="AK36" s="157">
        <v>102.0</v>
      </c>
      <c r="AL36" s="157">
        <v>449.0</v>
      </c>
      <c r="AM36" s="157">
        <v>332.0</v>
      </c>
      <c r="AN36" s="157">
        <v>686.0</v>
      </c>
      <c r="AO36" s="158">
        <v>1223.0</v>
      </c>
      <c r="AP36" s="159">
        <v>39957.0</v>
      </c>
    </row>
    <row r="37">
      <c r="A37" s="131" t="s">
        <v>107</v>
      </c>
      <c r="B37" s="157">
        <v>555.0</v>
      </c>
      <c r="C37" s="158">
        <v>8140.0</v>
      </c>
      <c r="D37" s="157">
        <v>309.0</v>
      </c>
      <c r="E37" s="157">
        <v>408.0</v>
      </c>
      <c r="F37" s="157">
        <v>184.0</v>
      </c>
      <c r="G37" s="157">
        <v>752.0</v>
      </c>
      <c r="H37" s="158">
        <v>1774.0</v>
      </c>
      <c r="I37" s="157">
        <v>806.0</v>
      </c>
      <c r="J37" s="157">
        <v>492.0</v>
      </c>
      <c r="K37" s="158">
        <v>1166.0</v>
      </c>
      <c r="L37" s="157">
        <v>129.0</v>
      </c>
      <c r="M37" s="157">
        <v>132.0</v>
      </c>
      <c r="N37" s="157">
        <v>196.0</v>
      </c>
      <c r="O37" s="157">
        <v>161.0</v>
      </c>
      <c r="P37" s="157">
        <v>175.0</v>
      </c>
      <c r="Q37" s="157">
        <v>676.0</v>
      </c>
      <c r="R37" s="157">
        <v>599.0</v>
      </c>
      <c r="S37" s="157">
        <v>55.0</v>
      </c>
      <c r="T37" s="157">
        <v>310.0</v>
      </c>
      <c r="U37" s="157">
        <v>351.0</v>
      </c>
      <c r="V37" s="157">
        <v>40.0</v>
      </c>
      <c r="W37" s="157">
        <v>802.0</v>
      </c>
      <c r="X37" s="157">
        <v>735.0</v>
      </c>
      <c r="Y37" s="157">
        <v>756.0</v>
      </c>
      <c r="Z37" s="157">
        <v>338.0</v>
      </c>
      <c r="AA37" s="158">
        <v>1760.0</v>
      </c>
      <c r="AB37" s="157">
        <v>355.0</v>
      </c>
      <c r="AC37" s="158">
        <v>12371.0</v>
      </c>
      <c r="AD37" s="157">
        <v>74.0</v>
      </c>
      <c r="AE37" s="157">
        <v>299.0</v>
      </c>
      <c r="AF37" s="158">
        <v>3735.0</v>
      </c>
      <c r="AG37" s="157">
        <v>684.0</v>
      </c>
      <c r="AH37" s="157">
        <v>277.0</v>
      </c>
      <c r="AI37" s="157">
        <v>257.0</v>
      </c>
      <c r="AJ37" s="158">
        <v>1630.0</v>
      </c>
      <c r="AK37" s="157">
        <v>145.0</v>
      </c>
      <c r="AL37" s="157">
        <v>595.0</v>
      </c>
      <c r="AM37" s="157">
        <v>429.0</v>
      </c>
      <c r="AN37" s="157">
        <v>886.0</v>
      </c>
      <c r="AO37" s="158">
        <v>1188.0</v>
      </c>
      <c r="AP37" s="159">
        <v>44726.0</v>
      </c>
    </row>
    <row r="38">
      <c r="A38" s="131" t="s">
        <v>108</v>
      </c>
      <c r="B38" s="157">
        <v>686.0</v>
      </c>
      <c r="C38" s="158">
        <v>7830.0</v>
      </c>
      <c r="D38" s="157">
        <v>382.0</v>
      </c>
      <c r="E38" s="157">
        <v>493.0</v>
      </c>
      <c r="F38" s="157">
        <v>231.0</v>
      </c>
      <c r="G38" s="157">
        <v>818.0</v>
      </c>
      <c r="H38" s="158">
        <v>1906.0</v>
      </c>
      <c r="I38" s="158">
        <v>1033.0</v>
      </c>
      <c r="J38" s="157">
        <v>612.0</v>
      </c>
      <c r="K38" s="158">
        <v>1385.0</v>
      </c>
      <c r="L38" s="157">
        <v>140.0</v>
      </c>
      <c r="M38" s="157">
        <v>160.0</v>
      </c>
      <c r="N38" s="157">
        <v>234.0</v>
      </c>
      <c r="O38" s="157">
        <v>186.0</v>
      </c>
      <c r="P38" s="157">
        <v>177.0</v>
      </c>
      <c r="Q38" s="157">
        <v>740.0</v>
      </c>
      <c r="R38" s="157">
        <v>670.0</v>
      </c>
      <c r="S38" s="157">
        <v>68.0</v>
      </c>
      <c r="T38" s="157">
        <v>385.0</v>
      </c>
      <c r="U38" s="157">
        <v>371.0</v>
      </c>
      <c r="V38" s="157">
        <v>36.0</v>
      </c>
      <c r="W38" s="157">
        <v>949.0</v>
      </c>
      <c r="X38" s="157">
        <v>795.0</v>
      </c>
      <c r="Y38" s="157">
        <v>821.0</v>
      </c>
      <c r="Z38" s="157">
        <v>411.0</v>
      </c>
      <c r="AA38" s="158">
        <v>1981.0</v>
      </c>
      <c r="AB38" s="157">
        <v>355.0</v>
      </c>
      <c r="AC38" s="158">
        <v>13745.0</v>
      </c>
      <c r="AD38" s="157">
        <v>91.0</v>
      </c>
      <c r="AE38" s="157">
        <v>347.0</v>
      </c>
      <c r="AF38" s="158">
        <v>3783.0</v>
      </c>
      <c r="AG38" s="157">
        <v>729.0</v>
      </c>
      <c r="AH38" s="157">
        <v>323.0</v>
      </c>
      <c r="AI38" s="157">
        <v>279.0</v>
      </c>
      <c r="AJ38" s="158">
        <v>1796.0</v>
      </c>
      <c r="AK38" s="157">
        <v>159.0</v>
      </c>
      <c r="AL38" s="157">
        <v>611.0</v>
      </c>
      <c r="AM38" s="157">
        <v>543.0</v>
      </c>
      <c r="AN38" s="157">
        <v>901.0</v>
      </c>
      <c r="AO38" s="158">
        <v>1843.0</v>
      </c>
      <c r="AP38" s="159">
        <v>49005.0</v>
      </c>
    </row>
    <row r="39">
      <c r="A39" s="131" t="s">
        <v>109</v>
      </c>
      <c r="B39" s="157">
        <v>694.0</v>
      </c>
      <c r="C39" s="158">
        <v>7526.0</v>
      </c>
      <c r="D39" s="157">
        <v>485.0</v>
      </c>
      <c r="E39" s="157">
        <v>563.0</v>
      </c>
      <c r="F39" s="157">
        <v>246.0</v>
      </c>
      <c r="G39" s="157">
        <v>912.0</v>
      </c>
      <c r="H39" s="158">
        <v>2004.0</v>
      </c>
      <c r="I39" s="158">
        <v>1045.0</v>
      </c>
      <c r="J39" s="157">
        <v>600.0</v>
      </c>
      <c r="K39" s="158">
        <v>1488.0</v>
      </c>
      <c r="L39" s="157">
        <v>147.0</v>
      </c>
      <c r="M39" s="157">
        <v>140.0</v>
      </c>
      <c r="N39" s="157">
        <v>228.0</v>
      </c>
      <c r="O39" s="157">
        <v>222.0</v>
      </c>
      <c r="P39" s="157">
        <v>173.0</v>
      </c>
      <c r="Q39" s="157">
        <v>833.0</v>
      </c>
      <c r="R39" s="157">
        <v>720.0</v>
      </c>
      <c r="S39" s="157">
        <v>90.0</v>
      </c>
      <c r="T39" s="157">
        <v>406.0</v>
      </c>
      <c r="U39" s="157">
        <v>433.0</v>
      </c>
      <c r="V39" s="157">
        <v>27.0</v>
      </c>
      <c r="W39" s="157">
        <v>799.0</v>
      </c>
      <c r="X39" s="157">
        <v>990.0</v>
      </c>
      <c r="Y39" s="157">
        <v>949.0</v>
      </c>
      <c r="Z39" s="157">
        <v>406.0</v>
      </c>
      <c r="AA39" s="158">
        <v>2370.0</v>
      </c>
      <c r="AB39" s="157">
        <v>345.0</v>
      </c>
      <c r="AC39" s="158">
        <v>14584.0</v>
      </c>
      <c r="AD39" s="157">
        <v>130.0</v>
      </c>
      <c r="AE39" s="157">
        <v>345.0</v>
      </c>
      <c r="AF39" s="158">
        <v>3773.0</v>
      </c>
      <c r="AG39" s="157">
        <v>875.0</v>
      </c>
      <c r="AH39" s="157">
        <v>309.0</v>
      </c>
      <c r="AI39" s="157">
        <v>272.0</v>
      </c>
      <c r="AJ39" s="158">
        <v>1855.0</v>
      </c>
      <c r="AK39" s="157">
        <v>174.0</v>
      </c>
      <c r="AL39" s="157">
        <v>633.0</v>
      </c>
      <c r="AM39" s="157">
        <v>584.0</v>
      </c>
      <c r="AN39" s="157">
        <v>968.0</v>
      </c>
      <c r="AO39" s="158">
        <v>1720.0</v>
      </c>
      <c r="AP39" s="159">
        <v>51063.0</v>
      </c>
    </row>
    <row r="40">
      <c r="A40" s="131" t="s">
        <v>110</v>
      </c>
      <c r="B40" s="157">
        <v>845.0</v>
      </c>
      <c r="C40" s="158">
        <v>7223.0</v>
      </c>
      <c r="D40" s="157">
        <v>497.0</v>
      </c>
      <c r="E40" s="157">
        <v>567.0</v>
      </c>
      <c r="F40" s="157">
        <v>284.0</v>
      </c>
      <c r="G40" s="157">
        <v>994.0</v>
      </c>
      <c r="H40" s="158">
        <v>2273.0</v>
      </c>
      <c r="I40" s="158">
        <v>1236.0</v>
      </c>
      <c r="J40" s="157">
        <v>852.0</v>
      </c>
      <c r="K40" s="158">
        <v>1455.0</v>
      </c>
      <c r="L40" s="157">
        <v>222.0</v>
      </c>
      <c r="M40" s="157">
        <v>191.0</v>
      </c>
      <c r="N40" s="157">
        <v>279.0</v>
      </c>
      <c r="O40" s="157">
        <v>335.0</v>
      </c>
      <c r="P40" s="157">
        <v>246.0</v>
      </c>
      <c r="Q40" s="157">
        <v>885.0</v>
      </c>
      <c r="R40" s="157">
        <v>799.0</v>
      </c>
      <c r="S40" s="157">
        <v>91.0</v>
      </c>
      <c r="T40" s="157">
        <v>489.0</v>
      </c>
      <c r="U40" s="157">
        <v>500.0</v>
      </c>
      <c r="V40" s="157">
        <v>29.0</v>
      </c>
      <c r="W40" s="157">
        <v>963.0</v>
      </c>
      <c r="X40" s="158">
        <v>1191.0</v>
      </c>
      <c r="Y40" s="158">
        <v>1012.0</v>
      </c>
      <c r="Z40" s="157">
        <v>425.0</v>
      </c>
      <c r="AA40" s="158">
        <v>2439.0</v>
      </c>
      <c r="AB40" s="157">
        <v>488.0</v>
      </c>
      <c r="AC40" s="158">
        <v>15468.0</v>
      </c>
      <c r="AD40" s="157">
        <v>162.0</v>
      </c>
      <c r="AE40" s="157">
        <v>424.0</v>
      </c>
      <c r="AF40" s="158">
        <v>3910.0</v>
      </c>
      <c r="AG40" s="158">
        <v>1388.0</v>
      </c>
      <c r="AH40" s="157">
        <v>416.0</v>
      </c>
      <c r="AI40" s="157">
        <v>318.0</v>
      </c>
      <c r="AJ40" s="158">
        <v>2155.0</v>
      </c>
      <c r="AK40" s="157">
        <v>242.0</v>
      </c>
      <c r="AL40" s="157">
        <v>707.0</v>
      </c>
      <c r="AM40" s="157">
        <v>728.0</v>
      </c>
      <c r="AN40" s="157">
        <v>982.0</v>
      </c>
      <c r="AO40" s="158">
        <v>4020.0</v>
      </c>
      <c r="AP40" s="159">
        <v>57730.0</v>
      </c>
    </row>
    <row r="41">
      <c r="A41" s="131" t="s">
        <v>111</v>
      </c>
      <c r="B41" s="157">
        <v>759.0</v>
      </c>
      <c r="C41" s="158">
        <v>7081.0</v>
      </c>
      <c r="D41" s="157">
        <v>575.0</v>
      </c>
      <c r="E41" s="157">
        <v>626.0</v>
      </c>
      <c r="F41" s="157">
        <v>328.0</v>
      </c>
      <c r="G41" s="158">
        <v>1184.0</v>
      </c>
      <c r="H41" s="158">
        <v>2417.0</v>
      </c>
      <c r="I41" s="158">
        <v>1183.0</v>
      </c>
      <c r="J41" s="157">
        <v>728.0</v>
      </c>
      <c r="K41" s="158">
        <v>1520.0</v>
      </c>
      <c r="L41" s="157">
        <v>189.0</v>
      </c>
      <c r="M41" s="157">
        <v>205.0</v>
      </c>
      <c r="N41" s="157">
        <v>302.0</v>
      </c>
      <c r="O41" s="157">
        <v>275.0</v>
      </c>
      <c r="P41" s="157">
        <v>193.0</v>
      </c>
      <c r="Q41" s="157">
        <v>993.0</v>
      </c>
      <c r="R41" s="157">
        <v>760.0</v>
      </c>
      <c r="S41" s="157">
        <v>106.0</v>
      </c>
      <c r="T41" s="157">
        <v>505.0</v>
      </c>
      <c r="U41" s="157">
        <v>465.0</v>
      </c>
      <c r="V41" s="157">
        <v>43.0</v>
      </c>
      <c r="W41" s="158">
        <v>1039.0</v>
      </c>
      <c r="X41" s="158">
        <v>1153.0</v>
      </c>
      <c r="Y41" s="158">
        <v>1028.0</v>
      </c>
      <c r="Z41" s="157">
        <v>498.0</v>
      </c>
      <c r="AA41" s="158">
        <v>2402.0</v>
      </c>
      <c r="AB41" s="157">
        <v>506.0</v>
      </c>
      <c r="AC41" s="158">
        <v>14688.0</v>
      </c>
      <c r="AD41" s="157">
        <v>160.0</v>
      </c>
      <c r="AE41" s="157">
        <v>438.0</v>
      </c>
      <c r="AF41" s="158">
        <v>3934.0</v>
      </c>
      <c r="AG41" s="158">
        <v>1281.0</v>
      </c>
      <c r="AH41" s="157">
        <v>450.0</v>
      </c>
      <c r="AI41" s="157">
        <v>328.0</v>
      </c>
      <c r="AJ41" s="158">
        <v>2377.0</v>
      </c>
      <c r="AK41" s="157">
        <v>249.0</v>
      </c>
      <c r="AL41" s="157">
        <v>853.0</v>
      </c>
      <c r="AM41" s="157">
        <v>747.0</v>
      </c>
      <c r="AN41" s="158">
        <v>1119.0</v>
      </c>
      <c r="AO41" s="158">
        <v>4360.0</v>
      </c>
      <c r="AP41" s="159">
        <v>58047.0</v>
      </c>
    </row>
    <row r="42">
      <c r="A42" s="131" t="s">
        <v>112</v>
      </c>
      <c r="B42" s="157">
        <v>818.0</v>
      </c>
      <c r="C42" s="158">
        <v>6860.0</v>
      </c>
      <c r="D42" s="157">
        <v>556.0</v>
      </c>
      <c r="E42" s="157">
        <v>869.0</v>
      </c>
      <c r="F42" s="157">
        <v>271.0</v>
      </c>
      <c r="G42" s="158">
        <v>1273.0</v>
      </c>
      <c r="H42" s="158">
        <v>3023.0</v>
      </c>
      <c r="I42" s="158">
        <v>1343.0</v>
      </c>
      <c r="J42" s="157">
        <v>854.0</v>
      </c>
      <c r="K42" s="158">
        <v>1902.0</v>
      </c>
      <c r="L42" s="157">
        <v>142.0</v>
      </c>
      <c r="M42" s="157">
        <v>184.0</v>
      </c>
      <c r="N42" s="157">
        <v>335.0</v>
      </c>
      <c r="O42" s="157">
        <v>249.0</v>
      </c>
      <c r="P42" s="157">
        <v>196.0</v>
      </c>
      <c r="Q42" s="158">
        <v>1210.0</v>
      </c>
      <c r="R42" s="157">
        <v>888.0</v>
      </c>
      <c r="S42" s="157">
        <v>128.0</v>
      </c>
      <c r="T42" s="157">
        <v>678.0</v>
      </c>
      <c r="U42" s="157">
        <v>447.0</v>
      </c>
      <c r="V42" s="157">
        <v>53.0</v>
      </c>
      <c r="W42" s="158">
        <v>1422.0</v>
      </c>
      <c r="X42" s="158">
        <v>1209.0</v>
      </c>
      <c r="Y42" s="158">
        <v>1291.0</v>
      </c>
      <c r="Z42" s="157">
        <v>456.0</v>
      </c>
      <c r="AA42" s="158">
        <v>3050.0</v>
      </c>
      <c r="AB42" s="157">
        <v>567.0</v>
      </c>
      <c r="AC42" s="158">
        <v>16692.0</v>
      </c>
      <c r="AD42" s="157">
        <v>187.0</v>
      </c>
      <c r="AE42" s="157">
        <v>532.0</v>
      </c>
      <c r="AF42" s="158">
        <v>4049.0</v>
      </c>
      <c r="AG42" s="158">
        <v>1108.0</v>
      </c>
      <c r="AH42" s="157">
        <v>510.0</v>
      </c>
      <c r="AI42" s="157">
        <v>393.0</v>
      </c>
      <c r="AJ42" s="158">
        <v>2540.0</v>
      </c>
      <c r="AK42" s="157">
        <v>219.0</v>
      </c>
      <c r="AL42" s="157">
        <v>905.0</v>
      </c>
      <c r="AM42" s="157">
        <v>677.0</v>
      </c>
      <c r="AN42" s="158">
        <v>1274.0</v>
      </c>
      <c r="AO42" s="158">
        <v>8731.0</v>
      </c>
      <c r="AP42" s="159">
        <v>68091.0</v>
      </c>
    </row>
    <row r="43">
      <c r="A43" s="131" t="s">
        <v>113</v>
      </c>
      <c r="B43" s="157">
        <v>973.0</v>
      </c>
      <c r="C43" s="158">
        <v>6847.0</v>
      </c>
      <c r="D43" s="157">
        <v>627.0</v>
      </c>
      <c r="E43" s="157">
        <v>937.0</v>
      </c>
      <c r="F43" s="157">
        <v>245.0</v>
      </c>
      <c r="G43" s="158">
        <v>1255.0</v>
      </c>
      <c r="H43" s="158">
        <v>3119.0</v>
      </c>
      <c r="I43" s="158">
        <v>1522.0</v>
      </c>
      <c r="J43" s="157">
        <v>886.0</v>
      </c>
      <c r="K43" s="158">
        <v>2052.0</v>
      </c>
      <c r="L43" s="157">
        <v>174.0</v>
      </c>
      <c r="M43" s="157">
        <v>217.0</v>
      </c>
      <c r="N43" s="157">
        <v>367.0</v>
      </c>
      <c r="O43" s="157">
        <v>313.0</v>
      </c>
      <c r="P43" s="157">
        <v>212.0</v>
      </c>
      <c r="Q43" s="158">
        <v>1149.0</v>
      </c>
      <c r="R43" s="158">
        <v>1014.0</v>
      </c>
      <c r="S43" s="157">
        <v>142.0</v>
      </c>
      <c r="T43" s="157">
        <v>811.0</v>
      </c>
      <c r="U43" s="157">
        <v>456.0</v>
      </c>
      <c r="V43" s="157">
        <v>64.0</v>
      </c>
      <c r="W43" s="158">
        <v>1198.0</v>
      </c>
      <c r="X43" s="158">
        <v>1307.0</v>
      </c>
      <c r="Y43" s="158">
        <v>1297.0</v>
      </c>
      <c r="Z43" s="157">
        <v>532.0</v>
      </c>
      <c r="AA43" s="158">
        <v>3045.0</v>
      </c>
      <c r="AB43" s="157">
        <v>681.0</v>
      </c>
      <c r="AC43" s="158">
        <v>16280.0</v>
      </c>
      <c r="AD43" s="157">
        <v>179.0</v>
      </c>
      <c r="AE43" s="157">
        <v>546.0</v>
      </c>
      <c r="AF43" s="158">
        <v>4126.0</v>
      </c>
      <c r="AG43" s="158">
        <v>1128.0</v>
      </c>
      <c r="AH43" s="157">
        <v>593.0</v>
      </c>
      <c r="AI43" s="157">
        <v>469.0</v>
      </c>
      <c r="AJ43" s="158">
        <v>2853.0</v>
      </c>
      <c r="AK43" s="157">
        <v>228.0</v>
      </c>
      <c r="AL43" s="157">
        <v>990.0</v>
      </c>
      <c r="AM43" s="157">
        <v>722.0</v>
      </c>
      <c r="AN43" s="158">
        <v>1367.0</v>
      </c>
      <c r="AO43" s="158">
        <v>7287.0</v>
      </c>
      <c r="AP43" s="159">
        <v>68210.0</v>
      </c>
    </row>
    <row r="44">
      <c r="A44" s="131" t="s">
        <v>114</v>
      </c>
      <c r="B44" s="157">
        <v>970.0</v>
      </c>
      <c r="C44" s="158">
        <v>6822.0</v>
      </c>
      <c r="D44" s="157">
        <v>640.0</v>
      </c>
      <c r="E44" s="157">
        <v>938.0</v>
      </c>
      <c r="F44" s="157">
        <v>297.0</v>
      </c>
      <c r="G44" s="158">
        <v>1450.0</v>
      </c>
      <c r="H44" s="158">
        <v>3366.0</v>
      </c>
      <c r="I44" s="158">
        <v>1545.0</v>
      </c>
      <c r="J44" s="157">
        <v>996.0</v>
      </c>
      <c r="K44" s="158">
        <v>2079.0</v>
      </c>
      <c r="L44" s="157">
        <v>190.0</v>
      </c>
      <c r="M44" s="157">
        <v>221.0</v>
      </c>
      <c r="N44" s="157">
        <v>400.0</v>
      </c>
      <c r="O44" s="157">
        <v>357.0</v>
      </c>
      <c r="P44" s="157">
        <v>243.0</v>
      </c>
      <c r="Q44" s="158">
        <v>1241.0</v>
      </c>
      <c r="R44" s="158">
        <v>1030.0</v>
      </c>
      <c r="S44" s="157">
        <v>128.0</v>
      </c>
      <c r="T44" s="157">
        <v>840.0</v>
      </c>
      <c r="U44" s="157">
        <v>452.0</v>
      </c>
      <c r="V44" s="157">
        <v>86.0</v>
      </c>
      <c r="W44" s="158">
        <v>1333.0</v>
      </c>
      <c r="X44" s="158">
        <v>1315.0</v>
      </c>
      <c r="Y44" s="158">
        <v>1331.0</v>
      </c>
      <c r="Z44" s="157">
        <v>629.0</v>
      </c>
      <c r="AA44" s="158">
        <v>3438.0</v>
      </c>
      <c r="AB44" s="157">
        <v>687.0</v>
      </c>
      <c r="AC44" s="158">
        <v>17443.0</v>
      </c>
      <c r="AD44" s="157">
        <v>221.0</v>
      </c>
      <c r="AE44" s="157">
        <v>587.0</v>
      </c>
      <c r="AF44" s="158">
        <v>5196.0</v>
      </c>
      <c r="AG44" s="158">
        <v>1281.0</v>
      </c>
      <c r="AH44" s="157">
        <v>581.0</v>
      </c>
      <c r="AI44" s="157">
        <v>501.0</v>
      </c>
      <c r="AJ44" s="158">
        <v>3118.0</v>
      </c>
      <c r="AK44" s="157">
        <v>268.0</v>
      </c>
      <c r="AL44" s="158">
        <v>1112.0</v>
      </c>
      <c r="AM44" s="157">
        <v>782.0</v>
      </c>
      <c r="AN44" s="158">
        <v>1464.0</v>
      </c>
      <c r="AO44" s="158">
        <v>7971.0</v>
      </c>
      <c r="AP44" s="159">
        <v>73549.0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223</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224</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225</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44146.0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226</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176</v>
      </c>
      <c r="C8" s="163" t="s">
        <v>177</v>
      </c>
      <c r="D8" s="163" t="s">
        <v>178</v>
      </c>
      <c r="E8" s="163" t="s">
        <v>179</v>
      </c>
      <c r="F8" s="163" t="s">
        <v>180</v>
      </c>
      <c r="G8" s="163" t="s">
        <v>181</v>
      </c>
      <c r="H8" s="163" t="s">
        <v>182</v>
      </c>
      <c r="I8" s="163" t="s">
        <v>183</v>
      </c>
      <c r="J8" s="163" t="s">
        <v>184</v>
      </c>
      <c r="K8" s="163" t="s">
        <v>185</v>
      </c>
      <c r="L8" s="163" t="s">
        <v>186</v>
      </c>
      <c r="M8" s="163" t="s">
        <v>187</v>
      </c>
      <c r="N8" s="163" t="s">
        <v>188</v>
      </c>
      <c r="O8" s="163" t="s">
        <v>189</v>
      </c>
      <c r="P8" s="163" t="s">
        <v>190</v>
      </c>
      <c r="Q8" s="163" t="s">
        <v>191</v>
      </c>
      <c r="R8" s="163" t="s">
        <v>192</v>
      </c>
      <c r="S8" s="163" t="s">
        <v>193</v>
      </c>
      <c r="T8" s="163" t="s">
        <v>194</v>
      </c>
      <c r="U8" s="163" t="s">
        <v>195</v>
      </c>
      <c r="V8" s="163" t="s">
        <v>196</v>
      </c>
      <c r="W8" s="163" t="s">
        <v>197</v>
      </c>
      <c r="X8" s="163" t="s">
        <v>198</v>
      </c>
      <c r="Y8" s="163" t="s">
        <v>199</v>
      </c>
      <c r="Z8" s="163" t="s">
        <v>200</v>
      </c>
      <c r="AA8" s="163" t="s">
        <v>201</v>
      </c>
      <c r="AB8" s="163" t="s">
        <v>202</v>
      </c>
      <c r="AC8" s="163" t="s">
        <v>203</v>
      </c>
      <c r="AD8" s="163" t="s">
        <v>204</v>
      </c>
      <c r="AE8" s="163" t="s">
        <v>205</v>
      </c>
      <c r="AF8" s="163" t="s">
        <v>206</v>
      </c>
      <c r="AG8" s="163" t="s">
        <v>207</v>
      </c>
      <c r="AH8" s="163" t="s">
        <v>208</v>
      </c>
      <c r="AI8" s="163" t="s">
        <v>209</v>
      </c>
      <c r="AJ8" s="163" t="s">
        <v>210</v>
      </c>
      <c r="AK8" s="163" t="s">
        <v>211</v>
      </c>
      <c r="AL8" s="163" t="s">
        <v>212</v>
      </c>
      <c r="AM8" s="163" t="s">
        <v>213</v>
      </c>
      <c r="AN8" s="163" t="s">
        <v>214</v>
      </c>
      <c r="AO8" s="163" t="s">
        <v>170</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118</v>
      </c>
      <c r="C17" s="165">
        <v>0.051</v>
      </c>
      <c r="D17" s="165">
        <v>0.052</v>
      </c>
      <c r="E17" s="165">
        <v>0.227</v>
      </c>
      <c r="F17" s="164" t="s">
        <v>118</v>
      </c>
      <c r="G17" s="165">
        <v>0.044</v>
      </c>
      <c r="H17" s="165">
        <v>0.103</v>
      </c>
      <c r="I17" s="165">
        <v>0.047</v>
      </c>
      <c r="J17" s="165">
        <v>0.067</v>
      </c>
      <c r="K17" s="165">
        <v>0.057</v>
      </c>
      <c r="L17" s="164" t="s">
        <v>118</v>
      </c>
      <c r="M17" s="164" t="s">
        <v>118</v>
      </c>
      <c r="N17" s="164" t="s">
        <v>118</v>
      </c>
      <c r="O17" s="165">
        <v>0.0</v>
      </c>
      <c r="P17" s="165">
        <v>0.0</v>
      </c>
      <c r="Q17" s="165">
        <v>0.071</v>
      </c>
      <c r="R17" s="165">
        <v>0.073</v>
      </c>
      <c r="S17" s="165">
        <v>0.0</v>
      </c>
      <c r="T17" s="164" t="s">
        <v>118</v>
      </c>
      <c r="U17" s="164" t="s">
        <v>118</v>
      </c>
      <c r="V17" s="165">
        <v>0.0</v>
      </c>
      <c r="W17" s="165">
        <v>0.037</v>
      </c>
      <c r="X17" s="165">
        <v>0.021</v>
      </c>
      <c r="Y17" s="165">
        <v>0.1</v>
      </c>
      <c r="Z17" s="164" t="s">
        <v>118</v>
      </c>
      <c r="AA17" s="165">
        <v>0.153</v>
      </c>
      <c r="AB17" s="164" t="s">
        <v>118</v>
      </c>
      <c r="AC17" s="165">
        <v>0.197</v>
      </c>
      <c r="AD17" s="165">
        <v>0.116</v>
      </c>
      <c r="AE17" s="164" t="s">
        <v>118</v>
      </c>
      <c r="AF17" s="165">
        <v>0.055</v>
      </c>
      <c r="AG17" s="164" t="s">
        <v>118</v>
      </c>
      <c r="AH17" s="165">
        <v>0.049</v>
      </c>
      <c r="AI17" s="164" t="s">
        <v>118</v>
      </c>
      <c r="AJ17" s="165">
        <v>0.076</v>
      </c>
      <c r="AK17" s="164" t="s">
        <v>118</v>
      </c>
      <c r="AL17" s="165">
        <v>0.085</v>
      </c>
      <c r="AM17" s="165">
        <v>0.074</v>
      </c>
      <c r="AN17" s="165">
        <v>0.107</v>
      </c>
      <c r="AO17" s="165">
        <v>0.114</v>
      </c>
    </row>
    <row r="18">
      <c r="A18" s="161" t="s">
        <v>88</v>
      </c>
      <c r="B18" s="164" t="s">
        <v>118</v>
      </c>
      <c r="C18" s="165">
        <v>0.039</v>
      </c>
      <c r="D18" s="164" t="s">
        <v>118</v>
      </c>
      <c r="E18" s="165">
        <v>0.198</v>
      </c>
      <c r="F18" s="164" t="s">
        <v>118</v>
      </c>
      <c r="G18" s="165">
        <v>0.037</v>
      </c>
      <c r="H18" s="165">
        <v>0.071</v>
      </c>
      <c r="I18" s="165">
        <v>0.061</v>
      </c>
      <c r="J18" s="165">
        <v>0.046</v>
      </c>
      <c r="K18" s="165">
        <v>0.068</v>
      </c>
      <c r="L18" s="165">
        <v>0.15</v>
      </c>
      <c r="M18" s="164" t="s">
        <v>118</v>
      </c>
      <c r="N18" s="164" t="s">
        <v>118</v>
      </c>
      <c r="O18" s="164" t="s">
        <v>118</v>
      </c>
      <c r="P18" s="164" t="s">
        <v>118</v>
      </c>
      <c r="Q18" s="165">
        <v>0.077</v>
      </c>
      <c r="R18" s="165">
        <v>0.066</v>
      </c>
      <c r="S18" s="164" t="s">
        <v>118</v>
      </c>
      <c r="T18" s="164" t="s">
        <v>118</v>
      </c>
      <c r="U18" s="164" t="s">
        <v>118</v>
      </c>
      <c r="V18" s="165">
        <v>0.0</v>
      </c>
      <c r="W18" s="165">
        <v>0.036</v>
      </c>
      <c r="X18" s="165">
        <v>0.035</v>
      </c>
      <c r="Y18" s="165">
        <v>0.079</v>
      </c>
      <c r="Z18" s="164" t="s">
        <v>118</v>
      </c>
      <c r="AA18" s="165">
        <v>0.129</v>
      </c>
      <c r="AB18" s="164" t="s">
        <v>118</v>
      </c>
      <c r="AC18" s="165">
        <v>0.142</v>
      </c>
      <c r="AD18" s="164" t="s">
        <v>118</v>
      </c>
      <c r="AE18" s="164" t="s">
        <v>118</v>
      </c>
      <c r="AF18" s="165">
        <v>0.058</v>
      </c>
      <c r="AG18" s="164" t="s">
        <v>118</v>
      </c>
      <c r="AH18" s="165">
        <v>0.029</v>
      </c>
      <c r="AI18" s="164" t="s">
        <v>118</v>
      </c>
      <c r="AJ18" s="165">
        <v>0.049</v>
      </c>
      <c r="AK18" s="165">
        <v>0.0</v>
      </c>
      <c r="AL18" s="165">
        <v>0.085</v>
      </c>
      <c r="AM18" s="164" t="s">
        <v>118</v>
      </c>
      <c r="AN18" s="165">
        <v>0.115</v>
      </c>
      <c r="AO18" s="165">
        <v>0.089</v>
      </c>
    </row>
    <row r="19">
      <c r="A19" s="161" t="s">
        <v>89</v>
      </c>
      <c r="B19" s="165">
        <v>0.058</v>
      </c>
      <c r="C19" s="165">
        <v>0.028</v>
      </c>
      <c r="D19" s="164" t="s">
        <v>118</v>
      </c>
      <c r="E19" s="165">
        <v>0.158</v>
      </c>
      <c r="F19" s="165">
        <v>0.0</v>
      </c>
      <c r="G19" s="165">
        <v>0.027</v>
      </c>
      <c r="H19" s="165">
        <v>0.066</v>
      </c>
      <c r="I19" s="165">
        <v>0.029</v>
      </c>
      <c r="J19" s="165">
        <v>0.029</v>
      </c>
      <c r="K19" s="165">
        <v>0.046</v>
      </c>
      <c r="L19" s="164" t="s">
        <v>118</v>
      </c>
      <c r="M19" s="164" t="s">
        <v>118</v>
      </c>
      <c r="N19" s="165">
        <v>0.087</v>
      </c>
      <c r="O19" s="164" t="s">
        <v>118</v>
      </c>
      <c r="P19" s="165">
        <v>0.0</v>
      </c>
      <c r="Q19" s="165">
        <v>0.053</v>
      </c>
      <c r="R19" s="165">
        <v>0.043</v>
      </c>
      <c r="S19" s="165">
        <v>0.0</v>
      </c>
      <c r="T19" s="165">
        <v>0.0</v>
      </c>
      <c r="U19" s="164" t="s">
        <v>118</v>
      </c>
      <c r="V19" s="164" t="s">
        <v>118</v>
      </c>
      <c r="W19" s="164" t="s">
        <v>118</v>
      </c>
      <c r="X19" s="165">
        <v>0.016</v>
      </c>
      <c r="Y19" s="165">
        <v>0.074</v>
      </c>
      <c r="Z19" s="165">
        <v>0.031</v>
      </c>
      <c r="AA19" s="165">
        <v>0.086</v>
      </c>
      <c r="AB19" s="164" t="s">
        <v>118</v>
      </c>
      <c r="AC19" s="165">
        <v>0.121</v>
      </c>
      <c r="AD19" s="164" t="s">
        <v>118</v>
      </c>
      <c r="AE19" s="165">
        <v>0.036</v>
      </c>
      <c r="AF19" s="165">
        <v>0.054</v>
      </c>
      <c r="AG19" s="164" t="s">
        <v>118</v>
      </c>
      <c r="AH19" s="165">
        <v>0.051</v>
      </c>
      <c r="AI19" s="165">
        <v>0.083</v>
      </c>
      <c r="AJ19" s="165">
        <v>0.035</v>
      </c>
      <c r="AK19" s="164" t="s">
        <v>118</v>
      </c>
      <c r="AL19" s="165">
        <v>0.035</v>
      </c>
      <c r="AM19" s="165">
        <v>0.0</v>
      </c>
      <c r="AN19" s="165">
        <v>0.081</v>
      </c>
      <c r="AO19" s="165">
        <v>0.066</v>
      </c>
    </row>
    <row r="20">
      <c r="A20" s="161" t="s">
        <v>90</v>
      </c>
      <c r="B20" s="165">
        <v>0.052</v>
      </c>
      <c r="C20" s="165">
        <v>0.036</v>
      </c>
      <c r="D20" s="165">
        <v>0.04</v>
      </c>
      <c r="E20" s="165">
        <v>0.122</v>
      </c>
      <c r="F20" s="165">
        <v>0.0</v>
      </c>
      <c r="G20" s="165">
        <v>0.042</v>
      </c>
      <c r="H20" s="165">
        <v>0.058</v>
      </c>
      <c r="I20" s="165">
        <v>0.025</v>
      </c>
      <c r="J20" s="164" t="s">
        <v>118</v>
      </c>
      <c r="K20" s="165">
        <v>0.023</v>
      </c>
      <c r="L20" s="164" t="s">
        <v>118</v>
      </c>
      <c r="M20" s="164" t="s">
        <v>118</v>
      </c>
      <c r="N20" s="164" t="s">
        <v>118</v>
      </c>
      <c r="O20" s="164" t="s">
        <v>118</v>
      </c>
      <c r="P20" s="164" t="s">
        <v>118</v>
      </c>
      <c r="Q20" s="165">
        <v>0.045</v>
      </c>
      <c r="R20" s="165">
        <v>0.035</v>
      </c>
      <c r="S20" s="164" t="s">
        <v>118</v>
      </c>
      <c r="T20" s="164" t="s">
        <v>118</v>
      </c>
      <c r="U20" s="164" t="s">
        <v>118</v>
      </c>
      <c r="V20" s="165">
        <v>0.0</v>
      </c>
      <c r="W20" s="164" t="s">
        <v>118</v>
      </c>
      <c r="X20" s="165">
        <v>0.017</v>
      </c>
      <c r="Y20" s="165">
        <v>0.045</v>
      </c>
      <c r="Z20" s="165">
        <v>0.035</v>
      </c>
      <c r="AA20" s="165">
        <v>0.071</v>
      </c>
      <c r="AB20" s="165">
        <v>0.047</v>
      </c>
      <c r="AC20" s="165">
        <v>0.1</v>
      </c>
      <c r="AD20" s="164" t="s">
        <v>118</v>
      </c>
      <c r="AE20" s="164" t="s">
        <v>118</v>
      </c>
      <c r="AF20" s="165">
        <v>0.027</v>
      </c>
      <c r="AG20" s="164" t="s">
        <v>118</v>
      </c>
      <c r="AH20" s="165">
        <v>0.053</v>
      </c>
      <c r="AI20" s="165">
        <v>0.028</v>
      </c>
      <c r="AJ20" s="165">
        <v>0.038</v>
      </c>
      <c r="AK20" s="164" t="s">
        <v>118</v>
      </c>
      <c r="AL20" s="165">
        <v>0.034</v>
      </c>
      <c r="AM20" s="164" t="s">
        <v>118</v>
      </c>
      <c r="AN20" s="165">
        <v>0.061</v>
      </c>
      <c r="AO20" s="165">
        <v>0.058</v>
      </c>
    </row>
    <row r="21">
      <c r="A21" s="161" t="s">
        <v>91</v>
      </c>
      <c r="B21" s="164" t="s">
        <v>118</v>
      </c>
      <c r="C21" s="165">
        <v>0.029</v>
      </c>
      <c r="D21" s="164" t="s">
        <v>118</v>
      </c>
      <c r="E21" s="165">
        <v>0.088</v>
      </c>
      <c r="F21" s="164" t="s">
        <v>118</v>
      </c>
      <c r="G21" s="165">
        <v>0.022</v>
      </c>
      <c r="H21" s="165">
        <v>0.048</v>
      </c>
      <c r="I21" s="165">
        <v>0.019</v>
      </c>
      <c r="J21" s="165">
        <v>0.0</v>
      </c>
      <c r="K21" s="165">
        <v>0.032</v>
      </c>
      <c r="L21" s="165">
        <v>0.0</v>
      </c>
      <c r="M21" s="164" t="s">
        <v>118</v>
      </c>
      <c r="N21" s="164" t="s">
        <v>118</v>
      </c>
      <c r="O21" s="165">
        <v>0.0</v>
      </c>
      <c r="P21" s="164" t="s">
        <v>118</v>
      </c>
      <c r="Q21" s="165">
        <v>0.093</v>
      </c>
      <c r="R21" s="165">
        <v>0.042</v>
      </c>
      <c r="S21" s="165">
        <v>0.0</v>
      </c>
      <c r="T21" s="164" t="s">
        <v>118</v>
      </c>
      <c r="U21" s="164" t="s">
        <v>118</v>
      </c>
      <c r="V21" s="165">
        <v>0.0</v>
      </c>
      <c r="W21" s="165">
        <v>0.041</v>
      </c>
      <c r="X21" s="165">
        <v>0.019</v>
      </c>
      <c r="Y21" s="165">
        <v>0.038</v>
      </c>
      <c r="Z21" s="164" t="s">
        <v>118</v>
      </c>
      <c r="AA21" s="165">
        <v>0.066</v>
      </c>
      <c r="AB21" s="165">
        <v>0.041</v>
      </c>
      <c r="AC21" s="165">
        <v>0.107</v>
      </c>
      <c r="AD21" s="164" t="s">
        <v>118</v>
      </c>
      <c r="AE21" s="164" t="s">
        <v>118</v>
      </c>
      <c r="AF21" s="165">
        <v>0.0</v>
      </c>
      <c r="AG21" s="165">
        <v>0.0</v>
      </c>
      <c r="AH21" s="164" t="s">
        <v>118</v>
      </c>
      <c r="AI21" s="165">
        <v>0.0</v>
      </c>
      <c r="AJ21" s="165">
        <v>0.02</v>
      </c>
      <c r="AK21" s="164" t="s">
        <v>118</v>
      </c>
      <c r="AL21" s="165">
        <v>0.026</v>
      </c>
      <c r="AM21" s="164" t="s">
        <v>118</v>
      </c>
      <c r="AN21" s="165">
        <v>0.068</v>
      </c>
      <c r="AO21" s="165">
        <v>0.052</v>
      </c>
    </row>
    <row r="22">
      <c r="A22" s="161" t="s">
        <v>92</v>
      </c>
      <c r="B22" s="164" t="s">
        <v>118</v>
      </c>
      <c r="C22" s="164" t="s">
        <v>118</v>
      </c>
      <c r="D22" s="164" t="s">
        <v>118</v>
      </c>
      <c r="E22" s="165">
        <v>0.097</v>
      </c>
      <c r="F22" s="165">
        <v>0.0</v>
      </c>
      <c r="G22" s="164" t="s">
        <v>118</v>
      </c>
      <c r="H22" s="165">
        <v>0.031</v>
      </c>
      <c r="I22" s="165">
        <v>0.03</v>
      </c>
      <c r="J22" s="164" t="s">
        <v>118</v>
      </c>
      <c r="K22" s="165">
        <v>0.014</v>
      </c>
      <c r="L22" s="164" t="s">
        <v>118</v>
      </c>
      <c r="M22" s="165">
        <v>0.0</v>
      </c>
      <c r="N22" s="164" t="s">
        <v>118</v>
      </c>
      <c r="O22" s="165">
        <v>0.0</v>
      </c>
      <c r="P22" s="164" t="s">
        <v>118</v>
      </c>
      <c r="Q22" s="165">
        <v>0.028</v>
      </c>
      <c r="R22" s="164" t="s">
        <v>118</v>
      </c>
      <c r="S22" s="165">
        <v>0.0</v>
      </c>
      <c r="T22" s="164" t="s">
        <v>118</v>
      </c>
      <c r="U22" s="164" t="s">
        <v>118</v>
      </c>
      <c r="V22" s="165">
        <v>0.0</v>
      </c>
      <c r="W22" s="164" t="s">
        <v>118</v>
      </c>
      <c r="X22" s="164" t="s">
        <v>118</v>
      </c>
      <c r="Y22" s="165">
        <v>0.036</v>
      </c>
      <c r="Z22" s="164" t="s">
        <v>118</v>
      </c>
      <c r="AA22" s="165">
        <v>0.041</v>
      </c>
      <c r="AB22" s="165">
        <v>0.027</v>
      </c>
      <c r="AC22" s="165">
        <v>0.072</v>
      </c>
      <c r="AD22" s="165">
        <v>0.0</v>
      </c>
      <c r="AE22" s="164" t="s">
        <v>118</v>
      </c>
      <c r="AF22" s="164" t="s">
        <v>118</v>
      </c>
      <c r="AG22" s="165">
        <v>0.0</v>
      </c>
      <c r="AH22" s="164" t="s">
        <v>118</v>
      </c>
      <c r="AI22" s="164" t="s">
        <v>118</v>
      </c>
      <c r="AJ22" s="165">
        <v>0.017</v>
      </c>
      <c r="AK22" s="165">
        <v>0.0</v>
      </c>
      <c r="AL22" s="165">
        <v>0.02</v>
      </c>
      <c r="AM22" s="165">
        <v>0.0</v>
      </c>
      <c r="AN22" s="165">
        <v>0.043</v>
      </c>
      <c r="AO22" s="165">
        <v>0.033</v>
      </c>
    </row>
    <row r="23">
      <c r="A23" s="161" t="s">
        <v>93</v>
      </c>
      <c r="B23" s="164" t="s">
        <v>118</v>
      </c>
      <c r="C23" s="164" t="s">
        <v>118</v>
      </c>
      <c r="D23" s="164" t="s">
        <v>118</v>
      </c>
      <c r="E23" s="165">
        <v>0.082</v>
      </c>
      <c r="F23" s="164" t="s">
        <v>118</v>
      </c>
      <c r="G23" s="164" t="s">
        <v>118</v>
      </c>
      <c r="H23" s="165">
        <v>0.032</v>
      </c>
      <c r="I23" s="165">
        <v>0.02</v>
      </c>
      <c r="J23" s="164" t="s">
        <v>118</v>
      </c>
      <c r="K23" s="165">
        <v>0.019</v>
      </c>
      <c r="L23" s="164" t="s">
        <v>118</v>
      </c>
      <c r="M23" s="165">
        <v>0.0</v>
      </c>
      <c r="N23" s="165">
        <v>0.0</v>
      </c>
      <c r="O23" s="165">
        <v>0.0</v>
      </c>
      <c r="P23" s="165">
        <v>0.0</v>
      </c>
      <c r="Q23" s="165">
        <v>0.037</v>
      </c>
      <c r="R23" s="165">
        <v>0.018</v>
      </c>
      <c r="S23" s="165">
        <v>0.0</v>
      </c>
      <c r="T23" s="164" t="s">
        <v>118</v>
      </c>
      <c r="U23" s="165">
        <v>0.0</v>
      </c>
      <c r="V23" s="165">
        <v>0.0</v>
      </c>
      <c r="W23" s="164" t="s">
        <v>118</v>
      </c>
      <c r="X23" s="164" t="s">
        <v>118</v>
      </c>
      <c r="Y23" s="165">
        <v>0.018</v>
      </c>
      <c r="Z23" s="165">
        <v>0.05</v>
      </c>
      <c r="AA23" s="165">
        <v>0.037</v>
      </c>
      <c r="AB23" s="165">
        <v>0.0</v>
      </c>
      <c r="AC23" s="165">
        <v>0.047</v>
      </c>
      <c r="AD23" s="165">
        <v>0.0</v>
      </c>
      <c r="AE23" s="164" t="s">
        <v>118</v>
      </c>
      <c r="AF23" s="164" t="s">
        <v>118</v>
      </c>
      <c r="AG23" s="164" t="s">
        <v>118</v>
      </c>
      <c r="AH23" s="164" t="s">
        <v>118</v>
      </c>
      <c r="AI23" s="164" t="s">
        <v>118</v>
      </c>
      <c r="AJ23" s="165">
        <v>0.011</v>
      </c>
      <c r="AK23" s="165">
        <v>0.0</v>
      </c>
      <c r="AL23" s="164" t="s">
        <v>118</v>
      </c>
      <c r="AM23" s="165">
        <v>0.0</v>
      </c>
      <c r="AN23" s="165">
        <v>0.037</v>
      </c>
      <c r="AO23" s="165">
        <v>0.027</v>
      </c>
    </row>
    <row r="24">
      <c r="A24" s="161" t="s">
        <v>94</v>
      </c>
      <c r="B24" s="165">
        <v>0.0</v>
      </c>
      <c r="C24" s="164" t="s">
        <v>118</v>
      </c>
      <c r="D24" s="164" t="s">
        <v>118</v>
      </c>
      <c r="E24" s="165">
        <v>0.074</v>
      </c>
      <c r="F24" s="164" t="s">
        <v>118</v>
      </c>
      <c r="G24" s="165">
        <v>0.0</v>
      </c>
      <c r="H24" s="165">
        <v>0.02</v>
      </c>
      <c r="I24" s="164" t="s">
        <v>118</v>
      </c>
      <c r="J24" s="164" t="s">
        <v>118</v>
      </c>
      <c r="K24" s="165">
        <v>0.014</v>
      </c>
      <c r="L24" s="165">
        <v>0.0</v>
      </c>
      <c r="M24" s="165">
        <v>0.0</v>
      </c>
      <c r="N24" s="165">
        <v>0.0</v>
      </c>
      <c r="O24" s="165">
        <v>0.0</v>
      </c>
      <c r="P24" s="164" t="s">
        <v>118</v>
      </c>
      <c r="Q24" s="165">
        <v>0.015</v>
      </c>
      <c r="R24" s="165">
        <v>0.024</v>
      </c>
      <c r="S24" s="165">
        <v>0.0</v>
      </c>
      <c r="T24" s="164" t="s">
        <v>118</v>
      </c>
      <c r="U24" s="164" t="s">
        <v>118</v>
      </c>
      <c r="V24" s="165">
        <v>0.0</v>
      </c>
      <c r="W24" s="165">
        <v>0.016</v>
      </c>
      <c r="X24" s="164" t="s">
        <v>118</v>
      </c>
      <c r="Y24" s="164" t="s">
        <v>118</v>
      </c>
      <c r="Z24" s="164" t="s">
        <v>118</v>
      </c>
      <c r="AA24" s="165">
        <v>0.032</v>
      </c>
      <c r="AB24" s="165">
        <v>0.0</v>
      </c>
      <c r="AC24" s="165">
        <v>0.04</v>
      </c>
      <c r="AD24" s="164" t="s">
        <v>118</v>
      </c>
      <c r="AE24" s="164" t="s">
        <v>118</v>
      </c>
      <c r="AF24" s="164" t="s">
        <v>118</v>
      </c>
      <c r="AG24" s="165">
        <v>0.0</v>
      </c>
      <c r="AH24" s="165">
        <v>0.0</v>
      </c>
      <c r="AI24" s="164" t="s">
        <v>118</v>
      </c>
      <c r="AJ24" s="165">
        <v>0.013</v>
      </c>
      <c r="AK24" s="165">
        <v>0.0</v>
      </c>
      <c r="AL24" s="165">
        <v>0.027</v>
      </c>
      <c r="AM24" s="164" t="s">
        <v>118</v>
      </c>
      <c r="AN24" s="165">
        <v>0.034</v>
      </c>
      <c r="AO24" s="165">
        <v>0.021</v>
      </c>
    </row>
    <row r="25">
      <c r="A25" s="161" t="s">
        <v>95</v>
      </c>
      <c r="B25" s="164" t="s">
        <v>118</v>
      </c>
      <c r="C25" s="164" t="s">
        <v>118</v>
      </c>
      <c r="D25" s="164" t="s">
        <v>118</v>
      </c>
      <c r="E25" s="165">
        <v>0.043</v>
      </c>
      <c r="F25" s="164" t="s">
        <v>118</v>
      </c>
      <c r="G25" s="164" t="s">
        <v>118</v>
      </c>
      <c r="H25" s="165">
        <v>0.012</v>
      </c>
      <c r="I25" s="165">
        <v>0.02</v>
      </c>
      <c r="J25" s="164" t="s">
        <v>118</v>
      </c>
      <c r="K25" s="165">
        <v>0.01</v>
      </c>
      <c r="L25" s="165">
        <v>0.0</v>
      </c>
      <c r="M25" s="164" t="s">
        <v>118</v>
      </c>
      <c r="N25" s="164" t="s">
        <v>118</v>
      </c>
      <c r="O25" s="164" t="s">
        <v>118</v>
      </c>
      <c r="P25" s="165">
        <v>0.0</v>
      </c>
      <c r="Q25" s="165">
        <v>0.021</v>
      </c>
      <c r="R25" s="165">
        <v>0.016</v>
      </c>
      <c r="S25" s="165">
        <v>0.0</v>
      </c>
      <c r="T25" s="165">
        <v>0.025</v>
      </c>
      <c r="U25" s="165">
        <v>0.0</v>
      </c>
      <c r="V25" s="165">
        <v>0.0</v>
      </c>
      <c r="W25" s="165">
        <v>0.029</v>
      </c>
      <c r="X25" s="164" t="s">
        <v>118</v>
      </c>
      <c r="Y25" s="165">
        <v>0.022</v>
      </c>
      <c r="Z25" s="164" t="s">
        <v>118</v>
      </c>
      <c r="AA25" s="165">
        <v>0.038</v>
      </c>
      <c r="AB25" s="164" t="s">
        <v>118</v>
      </c>
      <c r="AC25" s="165">
        <v>0.033</v>
      </c>
      <c r="AD25" s="165">
        <v>0.0</v>
      </c>
      <c r="AE25" s="164" t="s">
        <v>118</v>
      </c>
      <c r="AF25" s="164" t="s">
        <v>118</v>
      </c>
      <c r="AG25" s="164" t="s">
        <v>118</v>
      </c>
      <c r="AH25" s="164" t="s">
        <v>118</v>
      </c>
      <c r="AI25" s="164" t="s">
        <v>118</v>
      </c>
      <c r="AJ25" s="165">
        <v>0.009</v>
      </c>
      <c r="AK25" s="164" t="s">
        <v>118</v>
      </c>
      <c r="AL25" s="165">
        <v>0.024</v>
      </c>
      <c r="AM25" s="164" t="s">
        <v>118</v>
      </c>
      <c r="AN25" s="165">
        <v>0.026</v>
      </c>
      <c r="AO25" s="165">
        <v>0.02</v>
      </c>
    </row>
    <row r="26">
      <c r="A26" s="161" t="s">
        <v>96</v>
      </c>
      <c r="B26" s="164" t="s">
        <v>118</v>
      </c>
      <c r="C26" s="164" t="s">
        <v>118</v>
      </c>
      <c r="D26" s="164" t="s">
        <v>118</v>
      </c>
      <c r="E26" s="165">
        <v>0.024</v>
      </c>
      <c r="F26" s="164" t="s">
        <v>118</v>
      </c>
      <c r="G26" s="165">
        <v>0.021</v>
      </c>
      <c r="H26" s="165">
        <v>0.036</v>
      </c>
      <c r="I26" s="164" t="s">
        <v>118</v>
      </c>
      <c r="J26" s="164" t="s">
        <v>118</v>
      </c>
      <c r="K26" s="165">
        <v>0.009</v>
      </c>
      <c r="L26" s="165">
        <v>0.0</v>
      </c>
      <c r="M26" s="164" t="s">
        <v>118</v>
      </c>
      <c r="N26" s="164" t="s">
        <v>118</v>
      </c>
      <c r="O26" s="165">
        <v>0.0</v>
      </c>
      <c r="P26" s="164" t="s">
        <v>118</v>
      </c>
      <c r="Q26" s="165">
        <v>0.03</v>
      </c>
      <c r="R26" s="164" t="s">
        <v>118</v>
      </c>
      <c r="S26" s="164" t="s">
        <v>118</v>
      </c>
      <c r="T26" s="165">
        <v>0.019</v>
      </c>
      <c r="U26" s="165">
        <v>0.0</v>
      </c>
      <c r="V26" s="165">
        <v>0.0</v>
      </c>
      <c r="W26" s="165">
        <v>0.019</v>
      </c>
      <c r="X26" s="164" t="s">
        <v>118</v>
      </c>
      <c r="Y26" s="165">
        <v>0.026</v>
      </c>
      <c r="Z26" s="164" t="s">
        <v>118</v>
      </c>
      <c r="AA26" s="165">
        <v>0.015</v>
      </c>
      <c r="AB26" s="164" t="s">
        <v>118</v>
      </c>
      <c r="AC26" s="165">
        <v>0.028</v>
      </c>
      <c r="AD26" s="165">
        <v>0.0</v>
      </c>
      <c r="AE26" s="164" t="s">
        <v>118</v>
      </c>
      <c r="AF26" s="165">
        <v>0.024</v>
      </c>
      <c r="AG26" s="165">
        <v>0.0</v>
      </c>
      <c r="AH26" s="164" t="s">
        <v>118</v>
      </c>
      <c r="AI26" s="164" t="s">
        <v>118</v>
      </c>
      <c r="AJ26" s="165">
        <v>0.01</v>
      </c>
      <c r="AK26" s="165">
        <v>0.0</v>
      </c>
      <c r="AL26" s="165">
        <v>0.02</v>
      </c>
      <c r="AM26" s="165">
        <v>0.017</v>
      </c>
      <c r="AN26" s="165">
        <v>0.014</v>
      </c>
      <c r="AO26" s="165">
        <v>0.019</v>
      </c>
    </row>
    <row r="27">
      <c r="A27" s="161" t="s">
        <v>97</v>
      </c>
      <c r="B27" s="164" t="s">
        <v>118</v>
      </c>
      <c r="C27" s="165">
        <v>0.017</v>
      </c>
      <c r="D27" s="164" t="s">
        <v>118</v>
      </c>
      <c r="E27" s="165">
        <v>0.049</v>
      </c>
      <c r="F27" s="164" t="s">
        <v>118</v>
      </c>
      <c r="G27" s="165">
        <v>0.015</v>
      </c>
      <c r="H27" s="165">
        <v>0.019</v>
      </c>
      <c r="I27" s="164" t="s">
        <v>118</v>
      </c>
      <c r="J27" s="165">
        <v>0.016</v>
      </c>
      <c r="K27" s="165">
        <v>0.008</v>
      </c>
      <c r="L27" s="165">
        <v>0.0</v>
      </c>
      <c r="M27" s="165">
        <v>0.0</v>
      </c>
      <c r="N27" s="164" t="s">
        <v>118</v>
      </c>
      <c r="O27" s="164" t="s">
        <v>118</v>
      </c>
      <c r="P27" s="164" t="s">
        <v>118</v>
      </c>
      <c r="Q27" s="165">
        <v>0.014</v>
      </c>
      <c r="R27" s="165">
        <v>0.019</v>
      </c>
      <c r="S27" s="165">
        <v>0.0</v>
      </c>
      <c r="T27" s="165">
        <v>0.021</v>
      </c>
      <c r="U27" s="164" t="s">
        <v>118</v>
      </c>
      <c r="V27" s="164" t="s">
        <v>118</v>
      </c>
      <c r="W27" s="165">
        <v>0.017</v>
      </c>
      <c r="X27" s="165">
        <v>0.0</v>
      </c>
      <c r="Y27" s="165">
        <v>0.028</v>
      </c>
      <c r="Z27" s="165">
        <v>0.034</v>
      </c>
      <c r="AA27" s="165">
        <v>0.024</v>
      </c>
      <c r="AB27" s="164" t="s">
        <v>118</v>
      </c>
      <c r="AC27" s="165">
        <v>0.026</v>
      </c>
      <c r="AD27" s="165">
        <v>0.0</v>
      </c>
      <c r="AE27" s="164" t="s">
        <v>118</v>
      </c>
      <c r="AF27" s="165">
        <v>0.014</v>
      </c>
      <c r="AG27" s="164" t="s">
        <v>118</v>
      </c>
      <c r="AH27" s="164" t="s">
        <v>118</v>
      </c>
      <c r="AI27" s="164" t="s">
        <v>118</v>
      </c>
      <c r="AJ27" s="165">
        <v>0.014</v>
      </c>
      <c r="AK27" s="164" t="s">
        <v>118</v>
      </c>
      <c r="AL27" s="165">
        <v>0.026</v>
      </c>
      <c r="AM27" s="164" t="s">
        <v>118</v>
      </c>
      <c r="AN27" s="165">
        <v>0.021</v>
      </c>
      <c r="AO27" s="165">
        <v>0.018</v>
      </c>
    </row>
    <row r="28">
      <c r="A28" s="161" t="s">
        <v>98</v>
      </c>
      <c r="B28" s="164" t="s">
        <v>118</v>
      </c>
      <c r="C28" s="165">
        <v>0.023</v>
      </c>
      <c r="D28" s="164" t="s">
        <v>118</v>
      </c>
      <c r="E28" s="165">
        <v>0.062</v>
      </c>
      <c r="F28" s="164" t="s">
        <v>118</v>
      </c>
      <c r="G28" s="164" t="s">
        <v>118</v>
      </c>
      <c r="H28" s="165">
        <v>0.031</v>
      </c>
      <c r="I28" s="165">
        <v>0.023</v>
      </c>
      <c r="J28" s="164" t="s">
        <v>118</v>
      </c>
      <c r="K28" s="165">
        <v>0.02</v>
      </c>
      <c r="L28" s="165">
        <v>0.0</v>
      </c>
      <c r="M28" s="165">
        <v>0.0</v>
      </c>
      <c r="N28" s="165">
        <v>0.0</v>
      </c>
      <c r="O28" s="165">
        <v>0.0</v>
      </c>
      <c r="P28" s="165">
        <v>0.0</v>
      </c>
      <c r="Q28" s="165">
        <v>0.028</v>
      </c>
      <c r="R28" s="165">
        <v>0.017</v>
      </c>
      <c r="S28" s="164" t="s">
        <v>118</v>
      </c>
      <c r="T28" s="164" t="s">
        <v>118</v>
      </c>
      <c r="U28" s="164" t="s">
        <v>118</v>
      </c>
      <c r="V28" s="165">
        <v>0.0</v>
      </c>
      <c r="W28" s="164" t="s">
        <v>118</v>
      </c>
      <c r="X28" s="164" t="s">
        <v>118</v>
      </c>
      <c r="Y28" s="165">
        <v>0.026</v>
      </c>
      <c r="Z28" s="164" t="s">
        <v>118</v>
      </c>
      <c r="AA28" s="165">
        <v>0.046</v>
      </c>
      <c r="AB28" s="164" t="s">
        <v>118</v>
      </c>
      <c r="AC28" s="165">
        <v>0.034</v>
      </c>
      <c r="AD28" s="165">
        <v>0.0</v>
      </c>
      <c r="AE28" s="164" t="s">
        <v>118</v>
      </c>
      <c r="AF28" s="165">
        <v>0.042</v>
      </c>
      <c r="AG28" s="165">
        <v>0.0</v>
      </c>
      <c r="AH28" s="164" t="s">
        <v>118</v>
      </c>
      <c r="AI28" s="164" t="s">
        <v>118</v>
      </c>
      <c r="AJ28" s="165">
        <v>0.017</v>
      </c>
      <c r="AK28" s="165">
        <v>0.0</v>
      </c>
      <c r="AL28" s="165">
        <v>0.019</v>
      </c>
      <c r="AM28" s="164" t="s">
        <v>118</v>
      </c>
      <c r="AN28" s="165">
        <v>0.029</v>
      </c>
      <c r="AO28" s="165">
        <v>0.024</v>
      </c>
    </row>
    <row r="29">
      <c r="A29" s="166" t="s">
        <v>99</v>
      </c>
      <c r="B29" s="165">
        <v>0.0</v>
      </c>
      <c r="C29" s="165">
        <v>0.017</v>
      </c>
      <c r="D29" s="164" t="s">
        <v>118</v>
      </c>
      <c r="E29" s="165">
        <v>0.079</v>
      </c>
      <c r="F29" s="164" t="s">
        <v>118</v>
      </c>
      <c r="G29" s="165">
        <v>0.013</v>
      </c>
      <c r="H29" s="165">
        <v>0.029</v>
      </c>
      <c r="I29" s="165">
        <v>0.02</v>
      </c>
      <c r="J29" s="165">
        <v>0.011</v>
      </c>
      <c r="K29" s="165">
        <v>0.019</v>
      </c>
      <c r="L29" s="164" t="s">
        <v>118</v>
      </c>
      <c r="M29" s="165">
        <v>0.0</v>
      </c>
      <c r="N29" s="164" t="s">
        <v>118</v>
      </c>
      <c r="O29" s="164" t="s">
        <v>118</v>
      </c>
      <c r="P29" s="164" t="s">
        <v>118</v>
      </c>
      <c r="Q29" s="165">
        <v>0.036</v>
      </c>
      <c r="R29" s="165">
        <v>0.015</v>
      </c>
      <c r="S29" s="165">
        <v>0.0</v>
      </c>
      <c r="T29" s="164" t="s">
        <v>118</v>
      </c>
      <c r="U29" s="164" t="s">
        <v>118</v>
      </c>
      <c r="V29" s="164" t="s">
        <v>118</v>
      </c>
      <c r="W29" s="165">
        <v>0.011</v>
      </c>
      <c r="X29" s="165">
        <v>0.008</v>
      </c>
      <c r="Y29" s="165">
        <v>0.051</v>
      </c>
      <c r="Z29" s="164" t="s">
        <v>118</v>
      </c>
      <c r="AA29" s="165">
        <v>0.057</v>
      </c>
      <c r="AB29" s="164" t="s">
        <v>118</v>
      </c>
      <c r="AC29" s="165">
        <v>0.037</v>
      </c>
      <c r="AD29" s="165">
        <v>0.0</v>
      </c>
      <c r="AE29" s="164" t="s">
        <v>118</v>
      </c>
      <c r="AF29" s="165">
        <v>0.025</v>
      </c>
      <c r="AG29" s="165">
        <v>0.0</v>
      </c>
      <c r="AH29" s="164" t="s">
        <v>118</v>
      </c>
      <c r="AI29" s="165">
        <v>0.038</v>
      </c>
      <c r="AJ29" s="165">
        <v>0.023</v>
      </c>
      <c r="AK29" s="164" t="s">
        <v>118</v>
      </c>
      <c r="AL29" s="165">
        <v>0.017</v>
      </c>
      <c r="AM29" s="164" t="s">
        <v>118</v>
      </c>
      <c r="AN29" s="165">
        <v>0.023</v>
      </c>
      <c r="AO29" s="165">
        <v>0.027</v>
      </c>
    </row>
    <row r="30">
      <c r="A30" s="161" t="s">
        <v>100</v>
      </c>
      <c r="B30" s="164" t="s">
        <v>118</v>
      </c>
      <c r="C30" s="165">
        <v>0.012</v>
      </c>
      <c r="D30" s="165">
        <v>0.035</v>
      </c>
      <c r="E30" s="165">
        <v>0.074</v>
      </c>
      <c r="F30" s="164" t="s">
        <v>118</v>
      </c>
      <c r="G30" s="165">
        <v>0.008</v>
      </c>
      <c r="H30" s="165">
        <v>0.054</v>
      </c>
      <c r="I30" s="165">
        <v>0.017</v>
      </c>
      <c r="J30" s="165">
        <v>0.022</v>
      </c>
      <c r="K30" s="165">
        <v>0.012</v>
      </c>
      <c r="L30" s="164" t="s">
        <v>118</v>
      </c>
      <c r="M30" s="164" t="s">
        <v>118</v>
      </c>
      <c r="N30" s="164" t="s">
        <v>118</v>
      </c>
      <c r="O30" s="165">
        <v>0.0</v>
      </c>
      <c r="P30" s="164" t="s">
        <v>118</v>
      </c>
      <c r="Q30" s="165">
        <v>0.023</v>
      </c>
      <c r="R30" s="165">
        <v>0.041</v>
      </c>
      <c r="S30" s="165">
        <v>0.0</v>
      </c>
      <c r="T30" s="165">
        <v>0.018</v>
      </c>
      <c r="U30" s="165">
        <v>0.0</v>
      </c>
      <c r="V30" s="164" t="s">
        <v>118</v>
      </c>
      <c r="W30" s="165">
        <v>0.013</v>
      </c>
      <c r="X30" s="165">
        <v>0.011</v>
      </c>
      <c r="Y30" s="165">
        <v>0.054</v>
      </c>
      <c r="Z30" s="164" t="s">
        <v>118</v>
      </c>
      <c r="AA30" s="165">
        <v>0.058</v>
      </c>
      <c r="AB30" s="165">
        <v>0.0</v>
      </c>
      <c r="AC30" s="165">
        <v>0.041</v>
      </c>
      <c r="AD30" s="164" t="s">
        <v>118</v>
      </c>
      <c r="AE30" s="164" t="s">
        <v>118</v>
      </c>
      <c r="AF30" s="164" t="s">
        <v>118</v>
      </c>
      <c r="AG30" s="164" t="s">
        <v>118</v>
      </c>
      <c r="AH30" s="164" t="s">
        <v>118</v>
      </c>
      <c r="AI30" s="164" t="s">
        <v>118</v>
      </c>
      <c r="AJ30" s="165">
        <v>0.021</v>
      </c>
      <c r="AK30" s="164" t="s">
        <v>118</v>
      </c>
      <c r="AL30" s="165">
        <v>0.034</v>
      </c>
      <c r="AM30" s="164" t="s">
        <v>118</v>
      </c>
      <c r="AN30" s="165">
        <v>0.023</v>
      </c>
      <c r="AO30" s="165">
        <v>0.029</v>
      </c>
    </row>
    <row r="31">
      <c r="A31" s="167" t="s">
        <v>101</v>
      </c>
      <c r="B31" s="164" t="s">
        <v>118</v>
      </c>
      <c r="C31" s="165">
        <v>0.005</v>
      </c>
      <c r="D31" s="164" t="s">
        <v>118</v>
      </c>
      <c r="E31" s="165">
        <v>0.073</v>
      </c>
      <c r="F31" s="165">
        <v>0.0</v>
      </c>
      <c r="G31" s="165">
        <v>0.011</v>
      </c>
      <c r="H31" s="165">
        <v>0.06</v>
      </c>
      <c r="I31" s="165">
        <v>0.018</v>
      </c>
      <c r="J31" s="164" t="s">
        <v>118</v>
      </c>
      <c r="K31" s="165">
        <v>0.017</v>
      </c>
      <c r="L31" s="164" t="s">
        <v>118</v>
      </c>
      <c r="M31" s="164" t="s">
        <v>118</v>
      </c>
      <c r="N31" s="164" t="s">
        <v>118</v>
      </c>
      <c r="O31" s="164" t="s">
        <v>118</v>
      </c>
      <c r="P31" s="165">
        <v>0.0</v>
      </c>
      <c r="Q31" s="165">
        <v>0.031</v>
      </c>
      <c r="R31" s="165">
        <v>0.036</v>
      </c>
      <c r="S31" s="165">
        <v>0.0</v>
      </c>
      <c r="T31" s="164" t="s">
        <v>118</v>
      </c>
      <c r="U31" s="164" t="s">
        <v>118</v>
      </c>
      <c r="V31" s="164" t="s">
        <v>118</v>
      </c>
      <c r="W31" s="165">
        <v>0.008</v>
      </c>
      <c r="X31" s="165">
        <v>0.015</v>
      </c>
      <c r="Y31" s="165">
        <v>0.042</v>
      </c>
      <c r="Z31" s="164" t="s">
        <v>118</v>
      </c>
      <c r="AA31" s="165">
        <v>0.051</v>
      </c>
      <c r="AB31" s="164" t="s">
        <v>118</v>
      </c>
      <c r="AC31" s="165">
        <v>0.044</v>
      </c>
      <c r="AD31" s="164" t="s">
        <v>118</v>
      </c>
      <c r="AE31" s="165">
        <v>0.024</v>
      </c>
      <c r="AF31" s="165">
        <v>0.022</v>
      </c>
      <c r="AG31" s="164" t="s">
        <v>118</v>
      </c>
      <c r="AH31" s="165">
        <v>0.0</v>
      </c>
      <c r="AI31" s="165">
        <v>0.0</v>
      </c>
      <c r="AJ31" s="165">
        <v>0.021</v>
      </c>
      <c r="AK31" s="165">
        <v>0.0</v>
      </c>
      <c r="AL31" s="165">
        <v>0.021</v>
      </c>
      <c r="AM31" s="165">
        <v>0.013</v>
      </c>
      <c r="AN31" s="165">
        <v>0.027</v>
      </c>
      <c r="AO31" s="165">
        <v>0.026</v>
      </c>
    </row>
    <row r="32">
      <c r="A32" s="167" t="s">
        <v>102</v>
      </c>
      <c r="B32" s="164" t="s">
        <v>118</v>
      </c>
      <c r="C32" s="165">
        <v>0.007</v>
      </c>
      <c r="D32" s="164" t="s">
        <v>118</v>
      </c>
      <c r="E32" s="165">
        <v>0.067</v>
      </c>
      <c r="F32" s="164" t="s">
        <v>118</v>
      </c>
      <c r="G32" s="165">
        <v>0.011</v>
      </c>
      <c r="H32" s="165">
        <v>0.024</v>
      </c>
      <c r="I32" s="165">
        <v>0.02</v>
      </c>
      <c r="J32" s="165">
        <v>0.014</v>
      </c>
      <c r="K32" s="165">
        <v>0.013</v>
      </c>
      <c r="L32" s="164" t="s">
        <v>118</v>
      </c>
      <c r="M32" s="164" t="s">
        <v>118</v>
      </c>
      <c r="N32" s="164" t="s">
        <v>118</v>
      </c>
      <c r="O32" s="165">
        <v>0.0</v>
      </c>
      <c r="P32" s="164" t="s">
        <v>118</v>
      </c>
      <c r="Q32" s="165">
        <v>0.022</v>
      </c>
      <c r="R32" s="165">
        <v>0.015</v>
      </c>
      <c r="S32" s="165">
        <v>0.0</v>
      </c>
      <c r="T32" s="165">
        <v>0.0</v>
      </c>
      <c r="U32" s="165">
        <v>0.07</v>
      </c>
      <c r="V32" s="164" t="s">
        <v>118</v>
      </c>
      <c r="W32" s="164" t="s">
        <v>118</v>
      </c>
      <c r="X32" s="165">
        <v>0.023</v>
      </c>
      <c r="Y32" s="165">
        <v>0.027</v>
      </c>
      <c r="Z32" s="165">
        <v>0.0</v>
      </c>
      <c r="AA32" s="165">
        <v>0.033</v>
      </c>
      <c r="AB32" s="164" t="s">
        <v>118</v>
      </c>
      <c r="AC32" s="165">
        <v>0.047</v>
      </c>
      <c r="AD32" s="164" t="s">
        <v>118</v>
      </c>
      <c r="AE32" s="164" t="s">
        <v>118</v>
      </c>
      <c r="AF32" s="165">
        <v>0.024</v>
      </c>
      <c r="AG32" s="165">
        <v>0.032</v>
      </c>
      <c r="AH32" s="164" t="s">
        <v>118</v>
      </c>
      <c r="AI32" s="165">
        <v>0.0</v>
      </c>
      <c r="AJ32" s="165">
        <v>0.014</v>
      </c>
      <c r="AK32" s="164" t="s">
        <v>118</v>
      </c>
      <c r="AL32" s="165">
        <v>0.028</v>
      </c>
      <c r="AM32" s="165">
        <v>0.0</v>
      </c>
      <c r="AN32" s="165">
        <v>0.023</v>
      </c>
      <c r="AO32" s="165">
        <v>0.024</v>
      </c>
    </row>
    <row r="33">
      <c r="A33" s="167" t="s">
        <v>103</v>
      </c>
      <c r="B33" s="165">
        <v>0.0</v>
      </c>
      <c r="C33" s="165">
        <v>0.004</v>
      </c>
      <c r="D33" s="164" t="s">
        <v>118</v>
      </c>
      <c r="E33" s="165">
        <v>0.086</v>
      </c>
      <c r="F33" s="165">
        <v>0.0</v>
      </c>
      <c r="G33" s="165">
        <v>0.016</v>
      </c>
      <c r="H33" s="165">
        <v>0.036</v>
      </c>
      <c r="I33" s="165">
        <v>0.025</v>
      </c>
      <c r="J33" s="165">
        <v>0.022</v>
      </c>
      <c r="K33" s="165">
        <v>0.013</v>
      </c>
      <c r="L33" s="164" t="s">
        <v>118</v>
      </c>
      <c r="M33" s="164" t="s">
        <v>118</v>
      </c>
      <c r="N33" s="164" t="s">
        <v>118</v>
      </c>
      <c r="O33" s="164" t="s">
        <v>118</v>
      </c>
      <c r="P33" s="164" t="s">
        <v>118</v>
      </c>
      <c r="Q33" s="165">
        <v>0.047</v>
      </c>
      <c r="R33" s="165">
        <v>0.02</v>
      </c>
      <c r="S33" s="165">
        <v>0.0</v>
      </c>
      <c r="T33" s="165">
        <v>0.018</v>
      </c>
      <c r="U33" s="165">
        <v>0.028</v>
      </c>
      <c r="V33" s="165">
        <v>0.0</v>
      </c>
      <c r="W33" s="164" t="s">
        <v>118</v>
      </c>
      <c r="X33" s="165">
        <v>0.031</v>
      </c>
      <c r="Y33" s="165">
        <v>0.031</v>
      </c>
      <c r="Z33" s="164" t="s">
        <v>118</v>
      </c>
      <c r="AA33" s="165">
        <v>0.034</v>
      </c>
      <c r="AB33" s="164" t="s">
        <v>118</v>
      </c>
      <c r="AC33" s="165">
        <v>0.04</v>
      </c>
      <c r="AD33" s="165">
        <v>0.0</v>
      </c>
      <c r="AE33" s="164" t="s">
        <v>118</v>
      </c>
      <c r="AF33" s="165">
        <v>0.004</v>
      </c>
      <c r="AG33" s="165">
        <v>0.013</v>
      </c>
      <c r="AH33" s="165">
        <v>0.027</v>
      </c>
      <c r="AI33" s="164" t="s">
        <v>118</v>
      </c>
      <c r="AJ33" s="165">
        <v>0.024</v>
      </c>
      <c r="AK33" s="164" t="s">
        <v>118</v>
      </c>
      <c r="AL33" s="164" t="s">
        <v>118</v>
      </c>
      <c r="AM33" s="164" t="s">
        <v>118</v>
      </c>
      <c r="AN33" s="165">
        <v>0.02</v>
      </c>
      <c r="AO33" s="165">
        <v>0.021</v>
      </c>
    </row>
    <row r="34">
      <c r="A34" s="167" t="s">
        <v>104</v>
      </c>
      <c r="B34" s="164" t="s">
        <v>118</v>
      </c>
      <c r="C34" s="165">
        <v>0.001</v>
      </c>
      <c r="D34" s="164" t="s">
        <v>118</v>
      </c>
      <c r="E34" s="165">
        <v>0.048</v>
      </c>
      <c r="F34" s="164" t="s">
        <v>118</v>
      </c>
      <c r="G34" s="165">
        <v>0.013</v>
      </c>
      <c r="H34" s="165">
        <v>0.027</v>
      </c>
      <c r="I34" s="165">
        <v>0.014</v>
      </c>
      <c r="J34" s="165">
        <v>0.017</v>
      </c>
      <c r="K34" s="165">
        <v>0.005</v>
      </c>
      <c r="L34" s="165">
        <v>0.0</v>
      </c>
      <c r="M34" s="164" t="s">
        <v>118</v>
      </c>
      <c r="N34" s="164" t="s">
        <v>118</v>
      </c>
      <c r="O34" s="164" t="s">
        <v>118</v>
      </c>
      <c r="P34" s="165">
        <v>0.0</v>
      </c>
      <c r="Q34" s="165">
        <v>0.027</v>
      </c>
      <c r="R34" s="165">
        <v>0.017</v>
      </c>
      <c r="S34" s="165">
        <v>0.0</v>
      </c>
      <c r="T34" s="164" t="s">
        <v>118</v>
      </c>
      <c r="U34" s="165">
        <v>0.021</v>
      </c>
      <c r="V34" s="165">
        <v>0.0</v>
      </c>
      <c r="W34" s="165">
        <v>0.006</v>
      </c>
      <c r="X34" s="165">
        <v>0.012</v>
      </c>
      <c r="Y34" s="165">
        <v>0.025</v>
      </c>
      <c r="Z34" s="164" t="s">
        <v>118</v>
      </c>
      <c r="AA34" s="165">
        <v>0.025</v>
      </c>
      <c r="AB34" s="165">
        <v>0.019</v>
      </c>
      <c r="AC34" s="165">
        <v>0.026</v>
      </c>
      <c r="AD34" s="164" t="s">
        <v>118</v>
      </c>
      <c r="AE34" s="164" t="s">
        <v>118</v>
      </c>
      <c r="AF34" s="165">
        <v>0.002</v>
      </c>
      <c r="AG34" s="164" t="s">
        <v>118</v>
      </c>
      <c r="AH34" s="165">
        <v>0.022</v>
      </c>
      <c r="AI34" s="164" t="s">
        <v>118</v>
      </c>
      <c r="AJ34" s="165">
        <v>0.009</v>
      </c>
      <c r="AK34" s="164" t="s">
        <v>118</v>
      </c>
      <c r="AL34" s="165">
        <v>0.011</v>
      </c>
      <c r="AM34" s="164" t="s">
        <v>118</v>
      </c>
      <c r="AN34" s="165">
        <v>0.021</v>
      </c>
      <c r="AO34" s="165">
        <v>0.013</v>
      </c>
    </row>
    <row r="35">
      <c r="A35" s="167" t="s">
        <v>105</v>
      </c>
      <c r="B35" s="164" t="s">
        <v>118</v>
      </c>
      <c r="C35" s="164" t="s">
        <v>118</v>
      </c>
      <c r="D35" s="164" t="s">
        <v>118</v>
      </c>
      <c r="E35" s="165">
        <v>0.014</v>
      </c>
      <c r="F35" s="165">
        <v>0.0</v>
      </c>
      <c r="G35" s="164" t="s">
        <v>118</v>
      </c>
      <c r="H35" s="165">
        <v>0.021</v>
      </c>
      <c r="I35" s="165">
        <v>0.016</v>
      </c>
      <c r="J35" s="165">
        <v>0.0</v>
      </c>
      <c r="K35" s="165">
        <v>0.009</v>
      </c>
      <c r="L35" s="165">
        <v>0.0</v>
      </c>
      <c r="M35" s="164" t="s">
        <v>118</v>
      </c>
      <c r="N35" s="164" t="s">
        <v>118</v>
      </c>
      <c r="O35" s="165">
        <v>0.0</v>
      </c>
      <c r="P35" s="164" t="s">
        <v>118</v>
      </c>
      <c r="Q35" s="165">
        <v>0.023</v>
      </c>
      <c r="R35" s="165">
        <v>0.011</v>
      </c>
      <c r="S35" s="165">
        <v>0.0</v>
      </c>
      <c r="T35" s="164" t="s">
        <v>118</v>
      </c>
      <c r="U35" s="164" t="s">
        <v>118</v>
      </c>
      <c r="V35" s="165">
        <v>0.0</v>
      </c>
      <c r="W35" s="165">
        <v>0.005</v>
      </c>
      <c r="X35" s="165">
        <v>0.009</v>
      </c>
      <c r="Y35" s="165">
        <v>0.039</v>
      </c>
      <c r="Z35" s="164" t="s">
        <v>118</v>
      </c>
      <c r="AA35" s="165">
        <v>0.021</v>
      </c>
      <c r="AB35" s="164" t="s">
        <v>118</v>
      </c>
      <c r="AC35" s="165">
        <v>0.014</v>
      </c>
      <c r="AD35" s="165">
        <v>0.0</v>
      </c>
      <c r="AE35" s="164" t="s">
        <v>118</v>
      </c>
      <c r="AF35" s="165">
        <v>0.002</v>
      </c>
      <c r="AG35" s="165">
        <v>0.0</v>
      </c>
      <c r="AH35" s="165">
        <v>0.022</v>
      </c>
      <c r="AI35" s="164" t="s">
        <v>118</v>
      </c>
      <c r="AJ35" s="165">
        <v>0.017</v>
      </c>
      <c r="AK35" s="165">
        <v>0.0</v>
      </c>
      <c r="AL35" s="164" t="s">
        <v>118</v>
      </c>
      <c r="AM35" s="164" t="s">
        <v>118</v>
      </c>
      <c r="AN35" s="165">
        <v>0.011</v>
      </c>
      <c r="AO35" s="165">
        <v>0.01</v>
      </c>
    </row>
    <row r="36">
      <c r="A36" s="167" t="s">
        <v>106</v>
      </c>
      <c r="B36" s="165">
        <v>0.01</v>
      </c>
      <c r="C36" s="165">
        <v>0.001</v>
      </c>
      <c r="D36" s="165">
        <v>0.027</v>
      </c>
      <c r="E36" s="165">
        <v>0.054</v>
      </c>
      <c r="F36" s="164" t="s">
        <v>118</v>
      </c>
      <c r="G36" s="164" t="s">
        <v>118</v>
      </c>
      <c r="H36" s="165">
        <v>0.021</v>
      </c>
      <c r="I36" s="165">
        <v>0.04</v>
      </c>
      <c r="J36" s="164" t="s">
        <v>118</v>
      </c>
      <c r="K36" s="165">
        <v>0.015</v>
      </c>
      <c r="L36" s="165">
        <v>0.0</v>
      </c>
      <c r="M36" s="164" t="s">
        <v>118</v>
      </c>
      <c r="N36" s="165">
        <v>0.0</v>
      </c>
      <c r="O36" s="165">
        <v>0.0</v>
      </c>
      <c r="P36" s="165">
        <v>0.0</v>
      </c>
      <c r="Q36" s="165">
        <v>0.019</v>
      </c>
      <c r="R36" s="164" t="s">
        <v>118</v>
      </c>
      <c r="S36" s="165">
        <v>0.0</v>
      </c>
      <c r="T36" s="164" t="s">
        <v>118</v>
      </c>
      <c r="U36" s="165">
        <v>0.019</v>
      </c>
      <c r="V36" s="165">
        <v>0.0</v>
      </c>
      <c r="W36" s="165">
        <v>0.008</v>
      </c>
      <c r="X36" s="165">
        <v>0.013</v>
      </c>
      <c r="Y36" s="165">
        <v>0.018</v>
      </c>
      <c r="Z36" s="164" t="s">
        <v>118</v>
      </c>
      <c r="AA36" s="165">
        <v>0.033</v>
      </c>
      <c r="AB36" s="164" t="s">
        <v>118</v>
      </c>
      <c r="AC36" s="165">
        <v>0.014</v>
      </c>
      <c r="AD36" s="165">
        <v>0.0</v>
      </c>
      <c r="AE36" s="164" t="s">
        <v>118</v>
      </c>
      <c r="AF36" s="165">
        <v>0.002</v>
      </c>
      <c r="AG36" s="164" t="s">
        <v>118</v>
      </c>
      <c r="AH36" s="164" t="s">
        <v>118</v>
      </c>
      <c r="AI36" s="165">
        <v>0.0</v>
      </c>
      <c r="AJ36" s="165">
        <v>0.016</v>
      </c>
      <c r="AK36" s="164" t="s">
        <v>118</v>
      </c>
      <c r="AL36" s="165">
        <v>0.024</v>
      </c>
      <c r="AM36" s="165">
        <v>0.015</v>
      </c>
      <c r="AN36" s="165">
        <v>0.023</v>
      </c>
      <c r="AO36" s="165">
        <v>0.011</v>
      </c>
    </row>
    <row r="37">
      <c r="A37" s="167" t="s">
        <v>107</v>
      </c>
      <c r="B37" s="165">
        <v>0.009</v>
      </c>
      <c r="C37" s="165">
        <v>0.001</v>
      </c>
      <c r="D37" s="165">
        <v>0.032</v>
      </c>
      <c r="E37" s="165">
        <v>0.054</v>
      </c>
      <c r="F37" s="164" t="s">
        <v>118</v>
      </c>
      <c r="G37" s="165">
        <v>0.028</v>
      </c>
      <c r="H37" s="165">
        <v>0.022</v>
      </c>
      <c r="I37" s="165">
        <v>0.019</v>
      </c>
      <c r="J37" s="164" t="s">
        <v>118</v>
      </c>
      <c r="K37" s="165">
        <v>0.008</v>
      </c>
      <c r="L37" s="164" t="s">
        <v>118</v>
      </c>
      <c r="M37" s="165">
        <v>0.0</v>
      </c>
      <c r="N37" s="165">
        <v>0.0</v>
      </c>
      <c r="O37" s="165">
        <v>0.0</v>
      </c>
      <c r="P37" s="164" t="s">
        <v>118</v>
      </c>
      <c r="Q37" s="165">
        <v>0.031</v>
      </c>
      <c r="R37" s="165">
        <v>0.008</v>
      </c>
      <c r="S37" s="165">
        <v>0.0</v>
      </c>
      <c r="T37" s="165">
        <v>0.0</v>
      </c>
      <c r="U37" s="165">
        <v>0.094</v>
      </c>
      <c r="V37" s="165">
        <v>0.0</v>
      </c>
      <c r="W37" s="165">
        <v>0.009</v>
      </c>
      <c r="X37" s="165">
        <v>0.007</v>
      </c>
      <c r="Y37" s="165">
        <v>0.028</v>
      </c>
      <c r="Z37" s="165">
        <v>0.018</v>
      </c>
      <c r="AA37" s="165">
        <v>0.023</v>
      </c>
      <c r="AB37" s="164" t="s">
        <v>118</v>
      </c>
      <c r="AC37" s="165">
        <v>0.023</v>
      </c>
      <c r="AD37" s="165">
        <v>0.0</v>
      </c>
      <c r="AE37" s="164" t="s">
        <v>118</v>
      </c>
      <c r="AF37" s="165">
        <v>0.003</v>
      </c>
      <c r="AG37" s="165">
        <v>0.01</v>
      </c>
      <c r="AH37" s="165">
        <v>0.018</v>
      </c>
      <c r="AI37" s="164" t="s">
        <v>118</v>
      </c>
      <c r="AJ37" s="165">
        <v>0.02</v>
      </c>
      <c r="AK37" s="164" t="s">
        <v>118</v>
      </c>
      <c r="AL37" s="165">
        <v>0.017</v>
      </c>
      <c r="AM37" s="165">
        <v>0.019</v>
      </c>
      <c r="AN37" s="165">
        <v>0.017</v>
      </c>
      <c r="AO37" s="165">
        <v>0.015</v>
      </c>
    </row>
    <row r="38">
      <c r="A38" s="167" t="s">
        <v>108</v>
      </c>
      <c r="B38" s="164" t="s">
        <v>118</v>
      </c>
      <c r="C38" s="164" t="s">
        <v>118</v>
      </c>
      <c r="D38" s="165">
        <v>0.018</v>
      </c>
      <c r="E38" s="165">
        <v>0.069</v>
      </c>
      <c r="F38" s="164" t="s">
        <v>118</v>
      </c>
      <c r="G38" s="165">
        <v>0.007</v>
      </c>
      <c r="H38" s="165">
        <v>0.022</v>
      </c>
      <c r="I38" s="165">
        <v>0.014</v>
      </c>
      <c r="J38" s="164" t="s">
        <v>118</v>
      </c>
      <c r="K38" s="165">
        <v>0.006</v>
      </c>
      <c r="L38" s="164" t="s">
        <v>118</v>
      </c>
      <c r="M38" s="165">
        <v>0.0</v>
      </c>
      <c r="N38" s="164" t="s">
        <v>118</v>
      </c>
      <c r="O38" s="164" t="s">
        <v>118</v>
      </c>
      <c r="P38" s="164" t="s">
        <v>118</v>
      </c>
      <c r="Q38" s="165">
        <v>0.038</v>
      </c>
      <c r="R38" s="165">
        <v>0.021</v>
      </c>
      <c r="S38" s="165">
        <v>0.0</v>
      </c>
      <c r="T38" s="164" t="s">
        <v>118</v>
      </c>
      <c r="U38" s="165">
        <v>0.081</v>
      </c>
      <c r="V38" s="165">
        <v>0.0</v>
      </c>
      <c r="W38" s="164" t="s">
        <v>118</v>
      </c>
      <c r="X38" s="165">
        <v>0.006</v>
      </c>
      <c r="Y38" s="165">
        <v>0.023</v>
      </c>
      <c r="Z38" s="165">
        <v>0.022</v>
      </c>
      <c r="AA38" s="165">
        <v>0.039</v>
      </c>
      <c r="AB38" s="165">
        <v>0.0</v>
      </c>
      <c r="AC38" s="165">
        <v>0.018</v>
      </c>
      <c r="AD38" s="164" t="s">
        <v>118</v>
      </c>
      <c r="AE38" s="164" t="s">
        <v>118</v>
      </c>
      <c r="AF38" s="165">
        <v>0.003</v>
      </c>
      <c r="AG38" s="164" t="s">
        <v>118</v>
      </c>
      <c r="AH38" s="164" t="s">
        <v>118</v>
      </c>
      <c r="AI38" s="165">
        <v>0.025</v>
      </c>
      <c r="AJ38" s="165">
        <v>0.013</v>
      </c>
      <c r="AK38" s="164" t="s">
        <v>118</v>
      </c>
      <c r="AL38" s="165">
        <v>0.015</v>
      </c>
      <c r="AM38" s="165">
        <v>0.018</v>
      </c>
      <c r="AN38" s="165">
        <v>0.012</v>
      </c>
      <c r="AO38" s="165">
        <v>0.013</v>
      </c>
    </row>
    <row r="39">
      <c r="A39" s="167" t="s">
        <v>109</v>
      </c>
      <c r="B39" s="164" t="s">
        <v>118</v>
      </c>
      <c r="C39" s="165">
        <v>0.001</v>
      </c>
      <c r="D39" s="164" t="s">
        <v>118</v>
      </c>
      <c r="E39" s="165">
        <v>0.057</v>
      </c>
      <c r="F39" s="164" t="s">
        <v>118</v>
      </c>
      <c r="G39" s="165">
        <v>0.015</v>
      </c>
      <c r="H39" s="165">
        <v>0.03</v>
      </c>
      <c r="I39" s="165">
        <v>0.022</v>
      </c>
      <c r="J39" s="165">
        <v>0.017</v>
      </c>
      <c r="K39" s="165">
        <v>0.022</v>
      </c>
      <c r="L39" s="164" t="s">
        <v>118</v>
      </c>
      <c r="M39" s="164" t="s">
        <v>118</v>
      </c>
      <c r="N39" s="164" t="s">
        <v>118</v>
      </c>
      <c r="O39" s="165">
        <v>0.0</v>
      </c>
      <c r="P39" s="164" t="s">
        <v>118</v>
      </c>
      <c r="Q39" s="165">
        <v>0.03</v>
      </c>
      <c r="R39" s="165">
        <v>0.022</v>
      </c>
      <c r="S39" s="164" t="s">
        <v>118</v>
      </c>
      <c r="T39" s="164" t="s">
        <v>118</v>
      </c>
      <c r="U39" s="165">
        <v>0.092</v>
      </c>
      <c r="V39" s="165">
        <v>0.0</v>
      </c>
      <c r="W39" s="164" t="s">
        <v>118</v>
      </c>
      <c r="X39" s="165">
        <v>0.015</v>
      </c>
      <c r="Y39" s="165">
        <v>0.035</v>
      </c>
      <c r="Z39" s="165">
        <v>0.015</v>
      </c>
      <c r="AA39" s="165">
        <v>0.049</v>
      </c>
      <c r="AB39" s="165">
        <v>0.014</v>
      </c>
      <c r="AC39" s="165">
        <v>0.019</v>
      </c>
      <c r="AD39" s="165">
        <v>0.0</v>
      </c>
      <c r="AE39" s="164" t="s">
        <v>118</v>
      </c>
      <c r="AF39" s="165">
        <v>0.004</v>
      </c>
      <c r="AG39" s="165">
        <v>0.013</v>
      </c>
      <c r="AH39" s="164" t="s">
        <v>118</v>
      </c>
      <c r="AI39" s="165">
        <v>0.0</v>
      </c>
      <c r="AJ39" s="165">
        <v>0.021</v>
      </c>
      <c r="AK39" s="164" t="s">
        <v>118</v>
      </c>
      <c r="AL39" s="165">
        <v>0.022</v>
      </c>
      <c r="AM39" s="165">
        <v>0.021</v>
      </c>
      <c r="AN39" s="165">
        <v>0.026</v>
      </c>
      <c r="AO39" s="165">
        <v>0.018</v>
      </c>
    </row>
    <row r="40">
      <c r="A40" s="167" t="s">
        <v>110</v>
      </c>
      <c r="B40" s="165">
        <v>0.008</v>
      </c>
      <c r="C40" s="165">
        <v>0.002</v>
      </c>
      <c r="D40" s="165">
        <v>0.016</v>
      </c>
      <c r="E40" s="165">
        <v>0.081</v>
      </c>
      <c r="F40" s="164" t="s">
        <v>118</v>
      </c>
      <c r="G40" s="165">
        <v>0.019</v>
      </c>
      <c r="H40" s="165">
        <v>0.04</v>
      </c>
      <c r="I40" s="165">
        <v>0.026</v>
      </c>
      <c r="J40" s="165">
        <v>0.009</v>
      </c>
      <c r="K40" s="165">
        <v>0.022</v>
      </c>
      <c r="L40" s="165">
        <v>0.023</v>
      </c>
      <c r="M40" s="165">
        <v>0.031</v>
      </c>
      <c r="N40" s="164" t="s">
        <v>118</v>
      </c>
      <c r="O40" s="165">
        <v>0.0</v>
      </c>
      <c r="P40" s="165">
        <v>0.024</v>
      </c>
      <c r="Q40" s="165">
        <v>0.025</v>
      </c>
      <c r="R40" s="165">
        <v>0.024</v>
      </c>
      <c r="S40" s="164" t="s">
        <v>118</v>
      </c>
      <c r="T40" s="164" t="s">
        <v>118</v>
      </c>
      <c r="U40" s="165">
        <v>0.186</v>
      </c>
      <c r="V40" s="165">
        <v>0.0</v>
      </c>
      <c r="W40" s="165">
        <v>0.008</v>
      </c>
      <c r="X40" s="165">
        <v>0.016</v>
      </c>
      <c r="Y40" s="165">
        <v>0.042</v>
      </c>
      <c r="Z40" s="165">
        <v>0.021</v>
      </c>
      <c r="AA40" s="165">
        <v>0.048</v>
      </c>
      <c r="AB40" s="165">
        <v>0.01</v>
      </c>
      <c r="AC40" s="165">
        <v>0.018</v>
      </c>
      <c r="AD40" s="164" t="s">
        <v>118</v>
      </c>
      <c r="AE40" s="164" t="s">
        <v>118</v>
      </c>
      <c r="AF40" s="165">
        <v>0.003</v>
      </c>
      <c r="AG40" s="165">
        <v>0.017</v>
      </c>
      <c r="AH40" s="165">
        <v>0.038</v>
      </c>
      <c r="AI40" s="165">
        <v>0.019</v>
      </c>
      <c r="AJ40" s="165">
        <v>0.029</v>
      </c>
      <c r="AK40" s="165">
        <v>0.021</v>
      </c>
      <c r="AL40" s="165">
        <v>0.037</v>
      </c>
      <c r="AM40" s="165">
        <v>0.029</v>
      </c>
      <c r="AN40" s="165">
        <v>0.039</v>
      </c>
      <c r="AO40" s="165">
        <v>0.021</v>
      </c>
    </row>
    <row r="41">
      <c r="A41" s="167" t="s">
        <v>111</v>
      </c>
      <c r="B41" s="165">
        <v>0.009</v>
      </c>
      <c r="C41" s="165">
        <v>0.003</v>
      </c>
      <c r="D41" s="165">
        <v>0.03</v>
      </c>
      <c r="E41" s="165">
        <v>0.11</v>
      </c>
      <c r="F41" s="164" t="s">
        <v>118</v>
      </c>
      <c r="G41" s="165">
        <v>0.027</v>
      </c>
      <c r="H41" s="165">
        <v>0.056</v>
      </c>
      <c r="I41" s="165">
        <v>0.035</v>
      </c>
      <c r="J41" s="165">
        <v>0.016</v>
      </c>
      <c r="K41" s="165">
        <v>0.027</v>
      </c>
      <c r="L41" s="164" t="s">
        <v>118</v>
      </c>
      <c r="M41" s="164" t="s">
        <v>118</v>
      </c>
      <c r="N41" s="165">
        <v>0.0</v>
      </c>
      <c r="O41" s="165">
        <v>0.0</v>
      </c>
      <c r="P41" s="164" t="s">
        <v>118</v>
      </c>
      <c r="Q41" s="165">
        <v>0.048</v>
      </c>
      <c r="R41" s="165">
        <v>0.028</v>
      </c>
      <c r="S41" s="164" t="s">
        <v>118</v>
      </c>
      <c r="T41" s="164" t="s">
        <v>118</v>
      </c>
      <c r="U41" s="165">
        <v>0.08</v>
      </c>
      <c r="V41" s="164" t="s">
        <v>118</v>
      </c>
      <c r="W41" s="165">
        <v>0.012</v>
      </c>
      <c r="X41" s="165">
        <v>0.013</v>
      </c>
      <c r="Y41" s="165">
        <v>0.055</v>
      </c>
      <c r="Z41" s="165">
        <v>0.036</v>
      </c>
      <c r="AA41" s="165">
        <v>0.065</v>
      </c>
      <c r="AB41" s="165">
        <v>0.022</v>
      </c>
      <c r="AC41" s="165">
        <v>0.024</v>
      </c>
      <c r="AD41" s="164" t="s">
        <v>118</v>
      </c>
      <c r="AE41" s="164" t="s">
        <v>118</v>
      </c>
      <c r="AF41" s="165">
        <v>0.006</v>
      </c>
      <c r="AG41" s="165">
        <v>0.009</v>
      </c>
      <c r="AH41" s="165">
        <v>0.033</v>
      </c>
      <c r="AI41" s="168">
        <v>0.015</v>
      </c>
      <c r="AJ41" s="165">
        <v>0.023</v>
      </c>
      <c r="AK41" s="165">
        <v>0.048</v>
      </c>
      <c r="AL41" s="165">
        <v>0.03</v>
      </c>
      <c r="AM41" s="165">
        <v>0.019</v>
      </c>
      <c r="AN41" s="165">
        <v>0.043</v>
      </c>
      <c r="AO41" s="165">
        <v>0.025</v>
      </c>
    </row>
    <row r="42">
      <c r="A42" s="167" t="s">
        <v>112</v>
      </c>
      <c r="B42" s="165">
        <v>0.026</v>
      </c>
      <c r="C42" s="165">
        <v>0.003</v>
      </c>
      <c r="D42" s="165">
        <v>0.036</v>
      </c>
      <c r="E42" s="165">
        <v>0.105</v>
      </c>
      <c r="F42" s="165">
        <v>0.022</v>
      </c>
      <c r="G42" s="165">
        <v>0.038</v>
      </c>
      <c r="H42" s="165">
        <v>0.07</v>
      </c>
      <c r="I42" s="165">
        <v>0.04</v>
      </c>
      <c r="J42" s="165">
        <v>0.039</v>
      </c>
      <c r="K42" s="165">
        <v>0.039</v>
      </c>
      <c r="L42" s="164" t="s">
        <v>118</v>
      </c>
      <c r="M42" s="164" t="s">
        <v>118</v>
      </c>
      <c r="N42" s="165">
        <v>0.06</v>
      </c>
      <c r="O42" s="164" t="s">
        <v>118</v>
      </c>
      <c r="P42" s="165">
        <v>0.0</v>
      </c>
      <c r="Q42" s="165">
        <v>0.065</v>
      </c>
      <c r="R42" s="165">
        <v>0.039</v>
      </c>
      <c r="S42" s="164" t="s">
        <v>118</v>
      </c>
      <c r="T42" s="165">
        <v>0.012</v>
      </c>
      <c r="U42" s="165">
        <v>0.076</v>
      </c>
      <c r="V42" s="165">
        <v>0.0</v>
      </c>
      <c r="W42" s="165">
        <v>0.013</v>
      </c>
      <c r="X42" s="165">
        <v>0.022</v>
      </c>
      <c r="Y42" s="165">
        <v>0.065</v>
      </c>
      <c r="Z42" s="165">
        <v>0.046</v>
      </c>
      <c r="AA42" s="165">
        <v>0.081</v>
      </c>
      <c r="AB42" s="165">
        <v>0.016</v>
      </c>
      <c r="AC42" s="165">
        <v>0.037</v>
      </c>
      <c r="AD42" s="164" t="s">
        <v>118</v>
      </c>
      <c r="AE42" s="165">
        <v>0.024</v>
      </c>
      <c r="AF42" s="165">
        <v>0.01</v>
      </c>
      <c r="AG42" s="165">
        <v>0.012</v>
      </c>
      <c r="AH42" s="165">
        <v>0.027</v>
      </c>
      <c r="AI42" s="165">
        <v>0.031</v>
      </c>
      <c r="AJ42" s="165">
        <v>0.048</v>
      </c>
      <c r="AK42" s="165">
        <v>0.078</v>
      </c>
      <c r="AL42" s="165">
        <v>0.057</v>
      </c>
      <c r="AM42" s="165">
        <v>0.016</v>
      </c>
      <c r="AN42" s="165">
        <v>0.051</v>
      </c>
      <c r="AO42" s="165">
        <v>0.035</v>
      </c>
    </row>
    <row r="43">
      <c r="A43" s="167" t="s">
        <v>113</v>
      </c>
      <c r="B43" s="165">
        <v>0.031</v>
      </c>
      <c r="C43" s="165">
        <v>0.005</v>
      </c>
      <c r="D43" s="165">
        <v>0.043</v>
      </c>
      <c r="E43" s="165">
        <v>0.161</v>
      </c>
      <c r="F43" s="164" t="s">
        <v>118</v>
      </c>
      <c r="G43" s="165">
        <v>0.033</v>
      </c>
      <c r="H43" s="165">
        <v>0.082</v>
      </c>
      <c r="I43" s="165">
        <v>0.05</v>
      </c>
      <c r="J43" s="165">
        <v>0.034</v>
      </c>
      <c r="K43" s="165">
        <v>0.045</v>
      </c>
      <c r="L43" s="164" t="s">
        <v>118</v>
      </c>
      <c r="M43" s="165">
        <v>0.055</v>
      </c>
      <c r="N43" s="165">
        <v>0.049</v>
      </c>
      <c r="O43" s="164" t="s">
        <v>118</v>
      </c>
      <c r="P43" s="165">
        <v>0.028</v>
      </c>
      <c r="Q43" s="165">
        <v>0.091</v>
      </c>
      <c r="R43" s="165">
        <v>0.045</v>
      </c>
      <c r="S43" s="164" t="s">
        <v>118</v>
      </c>
      <c r="T43" s="165">
        <v>0.031</v>
      </c>
      <c r="U43" s="165">
        <v>0.035</v>
      </c>
      <c r="V43" s="164" t="s">
        <v>118</v>
      </c>
      <c r="W43" s="165">
        <v>0.018</v>
      </c>
      <c r="X43" s="165">
        <v>0.024</v>
      </c>
      <c r="Y43" s="165">
        <v>0.089</v>
      </c>
      <c r="Z43" s="165">
        <v>0.024</v>
      </c>
      <c r="AA43" s="165">
        <v>0.084</v>
      </c>
      <c r="AB43" s="165">
        <v>0.038</v>
      </c>
      <c r="AC43" s="165">
        <v>0.038</v>
      </c>
      <c r="AD43" s="164" t="s">
        <v>118</v>
      </c>
      <c r="AE43" s="165">
        <v>0.033</v>
      </c>
      <c r="AF43" s="165">
        <v>0.008</v>
      </c>
      <c r="AG43" s="165">
        <v>0.009</v>
      </c>
      <c r="AH43" s="165">
        <v>0.049</v>
      </c>
      <c r="AI43" s="165">
        <v>0.066</v>
      </c>
      <c r="AJ43" s="165">
        <v>0.063</v>
      </c>
      <c r="AK43" s="165">
        <v>0.031</v>
      </c>
      <c r="AL43" s="165">
        <v>0.073</v>
      </c>
      <c r="AM43" s="165">
        <v>0.022</v>
      </c>
      <c r="AN43" s="165">
        <v>0.043</v>
      </c>
      <c r="AO43" s="165">
        <v>0.04</v>
      </c>
    </row>
    <row r="44">
      <c r="A44" s="167" t="s">
        <v>114</v>
      </c>
      <c r="B44" s="165">
        <v>0.022</v>
      </c>
      <c r="C44" s="165">
        <v>0.01</v>
      </c>
      <c r="D44" s="165">
        <v>0.034</v>
      </c>
      <c r="E44" s="165">
        <v>0.15</v>
      </c>
      <c r="F44" s="165">
        <v>0.027</v>
      </c>
      <c r="G44" s="165">
        <v>0.064</v>
      </c>
      <c r="H44" s="165">
        <v>0.1</v>
      </c>
      <c r="I44" s="165">
        <v>0.049</v>
      </c>
      <c r="J44" s="165">
        <v>0.05</v>
      </c>
      <c r="K44" s="165">
        <v>0.061</v>
      </c>
      <c r="L44" s="165">
        <v>0.058</v>
      </c>
      <c r="M44" s="165">
        <v>0.032</v>
      </c>
      <c r="N44" s="165">
        <v>0.055</v>
      </c>
      <c r="O44" s="165">
        <v>0.028</v>
      </c>
      <c r="P44" s="165">
        <v>0.049</v>
      </c>
      <c r="Q44" s="165">
        <v>0.11</v>
      </c>
      <c r="R44" s="165">
        <v>0.049</v>
      </c>
      <c r="S44" s="164" t="s">
        <v>118</v>
      </c>
      <c r="T44" s="165">
        <v>0.023</v>
      </c>
      <c r="U44" s="165">
        <v>0.053</v>
      </c>
      <c r="V44" s="164" t="s">
        <v>118</v>
      </c>
      <c r="W44" s="165">
        <v>0.026</v>
      </c>
      <c r="X44" s="165">
        <v>0.033</v>
      </c>
      <c r="Y44" s="165">
        <v>0.08</v>
      </c>
      <c r="Z44" s="165">
        <v>0.033</v>
      </c>
      <c r="AA44" s="165">
        <v>0.09</v>
      </c>
      <c r="AB44" s="165">
        <v>0.02</v>
      </c>
      <c r="AC44" s="165">
        <v>0.046</v>
      </c>
      <c r="AD44" s="165">
        <v>0.027</v>
      </c>
      <c r="AE44" s="165">
        <v>0.036</v>
      </c>
      <c r="AF44" s="165">
        <v>0.011</v>
      </c>
      <c r="AG44" s="165">
        <v>0.012</v>
      </c>
      <c r="AH44" s="165">
        <v>0.041</v>
      </c>
      <c r="AI44" s="165">
        <v>0.078</v>
      </c>
      <c r="AJ44" s="165">
        <v>0.069</v>
      </c>
      <c r="AK44" s="165">
        <v>0.022</v>
      </c>
      <c r="AL44" s="165">
        <v>0.068</v>
      </c>
      <c r="AM44" s="165">
        <v>0.024</v>
      </c>
      <c r="AN44" s="165">
        <v>0.07</v>
      </c>
      <c r="AO44" s="165">
        <v>0.047</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9" t="s">
        <v>227</v>
      </c>
      <c r="B1" s="170" t="s">
        <v>228</v>
      </c>
      <c r="C1" s="171" t="s">
        <v>126</v>
      </c>
      <c r="D1" s="171" t="s">
        <v>127</v>
      </c>
      <c r="E1" s="171" t="s">
        <v>128</v>
      </c>
      <c r="F1" s="171" t="s">
        <v>129</v>
      </c>
      <c r="G1" s="171" t="s">
        <v>25</v>
      </c>
      <c r="H1" s="171" t="s">
        <v>130</v>
      </c>
    </row>
    <row r="2" ht="14.25" customHeight="1">
      <c r="A2" s="172" t="s">
        <v>131</v>
      </c>
      <c r="B2" s="170" t="s">
        <v>176</v>
      </c>
      <c r="C2" s="173">
        <f>Municipality!B2</f>
        <v>172</v>
      </c>
      <c r="D2" s="173">
        <f>Municipality!C2</f>
        <v>1063</v>
      </c>
      <c r="E2" s="173">
        <f>Municipality!D2</f>
        <v>16</v>
      </c>
      <c r="F2" s="173">
        <f>Municipality!E2</f>
        <v>99</v>
      </c>
      <c r="G2" s="173">
        <f>Municipality!F2</f>
        <v>0</v>
      </c>
      <c r="H2" s="173">
        <f>Municipality!G2</f>
        <v>0</v>
      </c>
    </row>
    <row r="3" ht="14.25" customHeight="1">
      <c r="A3" s="172" t="s">
        <v>132</v>
      </c>
      <c r="B3" s="170" t="s">
        <v>177</v>
      </c>
      <c r="C3" s="173">
        <f>Municipality!B3</f>
        <v>448</v>
      </c>
      <c r="D3" s="173">
        <f>Municipality!C3</f>
        <v>2015</v>
      </c>
      <c r="E3" s="173">
        <f>Municipality!D3</f>
        <v>25</v>
      </c>
      <c r="F3" s="173">
        <f>Municipality!E3</f>
        <v>112</v>
      </c>
      <c r="G3" s="173">
        <f>Municipality!F3</f>
        <v>9</v>
      </c>
      <c r="H3" s="173">
        <f>Municipality!G3</f>
        <v>40</v>
      </c>
    </row>
    <row r="4" ht="14.25" customHeight="1">
      <c r="A4" s="172" t="s">
        <v>133</v>
      </c>
      <c r="B4" s="170" t="s">
        <v>178</v>
      </c>
      <c r="C4" s="173">
        <f>Municipality!B4</f>
        <v>264</v>
      </c>
      <c r="D4" s="173">
        <f>Municipality!C4</f>
        <v>1605</v>
      </c>
      <c r="E4" s="173">
        <f>Municipality!D4</f>
        <v>23</v>
      </c>
      <c r="F4" s="173">
        <f>Municipality!E4</f>
        <v>140</v>
      </c>
      <c r="G4" s="173">
        <f>Municipality!F4</f>
        <v>23</v>
      </c>
      <c r="H4" s="173">
        <f>Municipality!G4</f>
        <v>140</v>
      </c>
    </row>
    <row r="5" ht="14.25" customHeight="1">
      <c r="A5" s="172" t="s">
        <v>134</v>
      </c>
      <c r="B5" s="170" t="s">
        <v>179</v>
      </c>
      <c r="C5" s="173">
        <f>Municipality!B5</f>
        <v>2032</v>
      </c>
      <c r="D5" s="173">
        <f>Municipality!C5</f>
        <v>10484</v>
      </c>
      <c r="E5" s="173">
        <f>Municipality!D5</f>
        <v>124</v>
      </c>
      <c r="F5" s="173">
        <f>Municipality!E5</f>
        <v>640</v>
      </c>
      <c r="G5" s="173">
        <f>Municipality!F5</f>
        <v>12</v>
      </c>
      <c r="H5" s="173">
        <f>Municipality!G5</f>
        <v>62</v>
      </c>
    </row>
    <row r="6" ht="14.25" customHeight="1">
      <c r="A6" s="172" t="s">
        <v>135</v>
      </c>
      <c r="B6" s="170" t="s">
        <v>180</v>
      </c>
      <c r="C6" s="173">
        <f>Municipality!B6</f>
        <v>65</v>
      </c>
      <c r="D6" s="173">
        <f>Municipality!C6</f>
        <v>835</v>
      </c>
      <c r="E6" s="173">
        <f>Municipality!D6</f>
        <v>6</v>
      </c>
      <c r="F6" s="173">
        <f>Municipality!E6</f>
        <v>77</v>
      </c>
      <c r="G6" s="173" t="str">
        <f>Municipality!F6</f>
        <v>&lt;5</v>
      </c>
      <c r="H6" s="173" t="str">
        <f>Municipality!G6</f>
        <v>--</v>
      </c>
    </row>
    <row r="7" ht="14.25" customHeight="1">
      <c r="A7" s="172" t="s">
        <v>136</v>
      </c>
      <c r="B7" s="170" t="s">
        <v>181</v>
      </c>
      <c r="C7" s="173">
        <f>Municipality!B7</f>
        <v>627</v>
      </c>
      <c r="D7" s="173">
        <f>Municipality!C7</f>
        <v>1813</v>
      </c>
      <c r="E7" s="173">
        <f>Municipality!D7</f>
        <v>54</v>
      </c>
      <c r="F7" s="173">
        <f>Municipality!E7</f>
        <v>156</v>
      </c>
      <c r="G7" s="173">
        <f>Municipality!F7</f>
        <v>24</v>
      </c>
      <c r="H7" s="173">
        <f>Municipality!G7</f>
        <v>69</v>
      </c>
    </row>
    <row r="8" ht="14.25" customHeight="1">
      <c r="A8" s="172" t="s">
        <v>137</v>
      </c>
      <c r="B8" s="170" t="s">
        <v>182</v>
      </c>
      <c r="C8" s="173">
        <f>Municipality!B8</f>
        <v>2758</v>
      </c>
      <c r="D8" s="173">
        <f>Municipality!C8</f>
        <v>3397</v>
      </c>
      <c r="E8" s="173">
        <f>Municipality!D8</f>
        <v>231</v>
      </c>
      <c r="F8" s="173">
        <f>Municipality!E8</f>
        <v>284</v>
      </c>
      <c r="G8" s="173">
        <f>Municipality!F8</f>
        <v>36</v>
      </c>
      <c r="H8" s="173">
        <f>Municipality!G8</f>
        <v>44</v>
      </c>
    </row>
    <row r="9" ht="14.25" customHeight="1">
      <c r="A9" s="172" t="s">
        <v>138</v>
      </c>
      <c r="B9" s="170" t="s">
        <v>183</v>
      </c>
      <c r="C9" s="173">
        <f>Municipality!B9</f>
        <v>825</v>
      </c>
      <c r="D9" s="173">
        <f>Municipality!C9</f>
        <v>2381</v>
      </c>
      <c r="E9" s="173">
        <f>Municipality!D9</f>
        <v>86</v>
      </c>
      <c r="F9" s="173">
        <f>Municipality!E9</f>
        <v>248</v>
      </c>
      <c r="G9" s="173">
        <f>Municipality!F9</f>
        <v>42</v>
      </c>
      <c r="H9" s="173">
        <f>Municipality!G9</f>
        <v>121</v>
      </c>
    </row>
    <row r="10" ht="14.25" customHeight="1">
      <c r="A10" s="172" t="s">
        <v>139</v>
      </c>
      <c r="B10" s="170" t="s">
        <v>184</v>
      </c>
      <c r="C10" s="173">
        <f>Municipality!B10</f>
        <v>289</v>
      </c>
      <c r="D10" s="173">
        <f>Municipality!C10</f>
        <v>2211</v>
      </c>
      <c r="E10" s="173">
        <f>Municipality!D10</f>
        <v>18</v>
      </c>
      <c r="F10" s="173">
        <f>Municipality!E10</f>
        <v>138</v>
      </c>
      <c r="G10" s="173" t="str">
        <f>Municipality!F10</f>
        <v>&lt;5</v>
      </c>
      <c r="H10" s="173" t="str">
        <f>Municipality!G10</f>
        <v>--</v>
      </c>
    </row>
    <row r="11" ht="14.25" customHeight="1">
      <c r="A11" s="172" t="s">
        <v>140</v>
      </c>
      <c r="B11" s="170" t="s">
        <v>185</v>
      </c>
      <c r="C11" s="173">
        <f>Municipality!B11</f>
        <v>1320</v>
      </c>
      <c r="D11" s="173">
        <f>Municipality!C11</f>
        <v>2782</v>
      </c>
      <c r="E11" s="173">
        <f>Municipality!D11</f>
        <v>120</v>
      </c>
      <c r="F11" s="173">
        <f>Municipality!E11</f>
        <v>253</v>
      </c>
      <c r="G11" s="173">
        <f>Municipality!F11</f>
        <v>115</v>
      </c>
      <c r="H11" s="173">
        <f>Municipality!G11</f>
        <v>242</v>
      </c>
    </row>
    <row r="12" ht="14.25" customHeight="1">
      <c r="A12" s="172" t="s">
        <v>141</v>
      </c>
      <c r="B12" s="170" t="s">
        <v>186</v>
      </c>
      <c r="C12" s="173">
        <f>Municipality!B12</f>
        <v>77</v>
      </c>
      <c r="D12" s="173">
        <f>Municipality!C12</f>
        <v>1135</v>
      </c>
      <c r="E12" s="173">
        <f>Municipality!D12</f>
        <v>8</v>
      </c>
      <c r="F12" s="173">
        <f>Municipality!E12</f>
        <v>118</v>
      </c>
      <c r="G12" s="173" t="str">
        <f>Municipality!F12</f>
        <v>&lt;5</v>
      </c>
      <c r="H12" s="173" t="str">
        <f>Municipality!G12</f>
        <v>--</v>
      </c>
    </row>
    <row r="13" ht="14.25" customHeight="1">
      <c r="A13" s="172" t="s">
        <v>142</v>
      </c>
      <c r="B13" s="170" t="s">
        <v>187</v>
      </c>
      <c r="C13" s="173">
        <f>Municipality!B13</f>
        <v>67</v>
      </c>
      <c r="D13" s="173">
        <f>Municipality!C13</f>
        <v>1429</v>
      </c>
      <c r="E13" s="173" t="str">
        <f>Municipality!D13</f>
        <v>&lt;5</v>
      </c>
      <c r="F13" s="173" t="str">
        <f>Municipality!E13</f>
        <v>--</v>
      </c>
      <c r="G13" s="173">
        <f>Municipality!F13</f>
        <v>0</v>
      </c>
      <c r="H13" s="173">
        <f>Municipality!G13</f>
        <v>0</v>
      </c>
    </row>
    <row r="14" ht="14.25" customHeight="1">
      <c r="A14" s="172" t="s">
        <v>143</v>
      </c>
      <c r="B14" s="170" t="s">
        <v>188</v>
      </c>
      <c r="C14" s="173">
        <f>Municipality!B14</f>
        <v>133</v>
      </c>
      <c r="D14" s="173">
        <f>Municipality!C14</f>
        <v>1322</v>
      </c>
      <c r="E14" s="173">
        <f>Municipality!D14</f>
        <v>11</v>
      </c>
      <c r="F14" s="173">
        <f>Municipality!E14</f>
        <v>109</v>
      </c>
      <c r="G14" s="173" t="str">
        <f>Municipality!F14</f>
        <v>&lt;5</v>
      </c>
      <c r="H14" s="173" t="str">
        <f>Municipality!G14</f>
        <v>--</v>
      </c>
    </row>
    <row r="15" ht="14.25" customHeight="1">
      <c r="A15" s="172" t="s">
        <v>144</v>
      </c>
      <c r="B15" s="170" t="s">
        <v>189</v>
      </c>
      <c r="C15" s="173">
        <f>Municipality!B15</f>
        <v>36</v>
      </c>
      <c r="D15" s="173">
        <f>Municipality!C15</f>
        <v>444</v>
      </c>
      <c r="E15" s="173">
        <f>Municipality!D15</f>
        <v>5</v>
      </c>
      <c r="F15" s="173">
        <f>Municipality!E15</f>
        <v>62</v>
      </c>
      <c r="G15" s="173" t="str">
        <f>Municipality!F15</f>
        <v>&lt;5</v>
      </c>
      <c r="H15" s="173" t="str">
        <f>Municipality!G15</f>
        <v>--</v>
      </c>
    </row>
    <row r="16" ht="14.25" customHeight="1">
      <c r="A16" s="172" t="s">
        <v>145</v>
      </c>
      <c r="B16" s="170" t="s">
        <v>190</v>
      </c>
      <c r="C16" s="173">
        <f>Municipality!B16</f>
        <v>60</v>
      </c>
      <c r="D16" s="173">
        <f>Municipality!C16</f>
        <v>1092</v>
      </c>
      <c r="E16" s="173" t="str">
        <f>Municipality!D16</f>
        <v>&lt;5</v>
      </c>
      <c r="F16" s="173" t="str">
        <f>Municipality!E16</f>
        <v>--</v>
      </c>
      <c r="G16" s="173">
        <f>Municipality!F16</f>
        <v>0</v>
      </c>
      <c r="H16" s="173">
        <f>Municipality!G16</f>
        <v>0</v>
      </c>
    </row>
    <row r="17" ht="14.25" customHeight="1">
      <c r="A17" s="172" t="s">
        <v>146</v>
      </c>
      <c r="B17" s="170" t="s">
        <v>191</v>
      </c>
      <c r="C17" s="173">
        <f>Municipality!B17</f>
        <v>1146</v>
      </c>
      <c r="D17" s="173">
        <f>Municipality!C17</f>
        <v>3920</v>
      </c>
      <c r="E17" s="173">
        <f>Municipality!D17</f>
        <v>99</v>
      </c>
      <c r="F17" s="173">
        <f>Municipality!E17</f>
        <v>339</v>
      </c>
      <c r="G17" s="173">
        <f>Municipality!F17</f>
        <v>96</v>
      </c>
      <c r="H17" s="173">
        <f>Municipality!G17</f>
        <v>328</v>
      </c>
    </row>
    <row r="18" ht="14.25" customHeight="1">
      <c r="A18" s="172" t="s">
        <v>147</v>
      </c>
      <c r="B18" s="170" t="s">
        <v>192</v>
      </c>
      <c r="C18" s="173">
        <f>Municipality!B18</f>
        <v>570</v>
      </c>
      <c r="D18" s="173">
        <f>Municipality!C18</f>
        <v>2634</v>
      </c>
      <c r="E18" s="173">
        <f>Municipality!D18</f>
        <v>48</v>
      </c>
      <c r="F18" s="173">
        <f>Municipality!E18</f>
        <v>222</v>
      </c>
      <c r="G18" s="173">
        <f>Municipality!F18</f>
        <v>37</v>
      </c>
      <c r="H18" s="173">
        <f>Municipality!G18</f>
        <v>171</v>
      </c>
    </row>
    <row r="19" ht="14.25" customHeight="1">
      <c r="A19" s="172" t="s">
        <v>148</v>
      </c>
      <c r="B19" s="170" t="s">
        <v>193</v>
      </c>
      <c r="C19" s="173">
        <f>Municipality!B19</f>
        <v>29</v>
      </c>
      <c r="D19" s="173">
        <f>Municipality!C19</f>
        <v>827</v>
      </c>
      <c r="E19" s="173">
        <f>Municipality!D19</f>
        <v>0</v>
      </c>
      <c r="F19" s="173">
        <f>Municipality!E19</f>
        <v>0</v>
      </c>
      <c r="G19" s="173" t="str">
        <f>Municipality!F19</f>
        <v>&lt;5</v>
      </c>
      <c r="H19" s="173" t="str">
        <f>Municipality!G19</f>
        <v>--</v>
      </c>
    </row>
    <row r="20" ht="14.25" customHeight="1">
      <c r="A20" s="172" t="s">
        <v>149</v>
      </c>
      <c r="B20" s="170" t="s">
        <v>194</v>
      </c>
      <c r="C20" s="173">
        <f>Municipality!B20</f>
        <v>149</v>
      </c>
      <c r="D20" s="173">
        <f>Municipality!C20</f>
        <v>927</v>
      </c>
      <c r="E20" s="173">
        <f>Municipality!D20</f>
        <v>10</v>
      </c>
      <c r="F20" s="173">
        <f>Municipality!E20</f>
        <v>62</v>
      </c>
      <c r="G20" s="173" t="str">
        <f>Municipality!F20</f>
        <v>&lt;5</v>
      </c>
      <c r="H20" s="173" t="str">
        <f>Municipality!G20</f>
        <v>--</v>
      </c>
    </row>
    <row r="21" ht="14.25" customHeight="1">
      <c r="A21" s="172" t="s">
        <v>150</v>
      </c>
      <c r="B21" s="170" t="s">
        <v>195</v>
      </c>
      <c r="C21" s="173">
        <f>Municipality!B21</f>
        <v>406</v>
      </c>
      <c r="D21" s="173">
        <f>Municipality!C21</f>
        <v>2611</v>
      </c>
      <c r="E21" s="173">
        <f>Municipality!D21</f>
        <v>9</v>
      </c>
      <c r="F21" s="173">
        <f>Municipality!E21</f>
        <v>58</v>
      </c>
      <c r="G21" s="173" t="str">
        <f>Municipality!F21</f>
        <v>&lt;5</v>
      </c>
      <c r="H21" s="173" t="str">
        <f>Municipality!G21</f>
        <v>--</v>
      </c>
    </row>
    <row r="22" ht="14.25" customHeight="1">
      <c r="A22" s="172" t="s">
        <v>151</v>
      </c>
      <c r="B22" s="170" t="s">
        <v>196</v>
      </c>
      <c r="C22" s="173">
        <f>Municipality!B22</f>
        <v>11</v>
      </c>
      <c r="D22" s="173">
        <f>Municipality!C22</f>
        <v>1330</v>
      </c>
      <c r="E22" s="173">
        <f>Municipality!D22</f>
        <v>0</v>
      </c>
      <c r="F22" s="173">
        <f>Municipality!E22</f>
        <v>0</v>
      </c>
      <c r="G22" s="173">
        <f>Municipality!F22</f>
        <v>0</v>
      </c>
      <c r="H22" s="173">
        <f>Municipality!G22</f>
        <v>0</v>
      </c>
    </row>
    <row r="23" ht="14.25" customHeight="1">
      <c r="A23" s="172" t="s">
        <v>152</v>
      </c>
      <c r="B23" s="170" t="s">
        <v>197</v>
      </c>
      <c r="C23" s="173">
        <f>Municipality!B23</f>
        <v>279</v>
      </c>
      <c r="D23" s="173">
        <f>Municipality!C23</f>
        <v>1127</v>
      </c>
      <c r="E23" s="173">
        <f>Municipality!D23</f>
        <v>21</v>
      </c>
      <c r="F23" s="173">
        <f>Municipality!E23</f>
        <v>85</v>
      </c>
      <c r="G23" s="173" t="str">
        <f>Municipality!F23</f>
        <v>&lt;5</v>
      </c>
      <c r="H23" s="173" t="str">
        <f>Municipality!G23</f>
        <v>--</v>
      </c>
    </row>
    <row r="24" ht="14.25" customHeight="1">
      <c r="A24" s="172" t="s">
        <v>153</v>
      </c>
      <c r="B24" s="170" t="s">
        <v>198</v>
      </c>
      <c r="C24" s="173">
        <f>Municipality!B24</f>
        <v>494</v>
      </c>
      <c r="D24" s="173">
        <f>Municipality!C24</f>
        <v>1885</v>
      </c>
      <c r="E24" s="173">
        <f>Municipality!D24</f>
        <v>45</v>
      </c>
      <c r="F24" s="173">
        <f>Municipality!E24</f>
        <v>172</v>
      </c>
      <c r="G24" s="173">
        <f>Municipality!F24</f>
        <v>53</v>
      </c>
      <c r="H24" s="173">
        <f>Municipality!G24</f>
        <v>202</v>
      </c>
    </row>
    <row r="25" ht="15.75" customHeight="1">
      <c r="A25" s="172" t="s">
        <v>154</v>
      </c>
      <c r="B25" s="170" t="s">
        <v>199</v>
      </c>
      <c r="C25" s="173">
        <f>Municipality!B25</f>
        <v>1485</v>
      </c>
      <c r="D25" s="173">
        <f>Municipality!C25</f>
        <v>4575</v>
      </c>
      <c r="E25" s="173">
        <f>Municipality!D25</f>
        <v>155</v>
      </c>
      <c r="F25" s="173">
        <f>Municipality!E25</f>
        <v>478</v>
      </c>
      <c r="G25" s="173">
        <f>Municipality!F25</f>
        <v>84</v>
      </c>
      <c r="H25" s="173">
        <f>Municipality!G25</f>
        <v>259</v>
      </c>
    </row>
    <row r="26" ht="14.25" customHeight="1">
      <c r="A26" s="172" t="s">
        <v>155</v>
      </c>
      <c r="B26" s="170" t="s">
        <v>200</v>
      </c>
      <c r="C26" s="173">
        <f>Municipality!B26</f>
        <v>277</v>
      </c>
      <c r="D26" s="173">
        <f>Municipality!C26</f>
        <v>2243</v>
      </c>
      <c r="E26" s="173">
        <f>Municipality!D26</f>
        <v>25</v>
      </c>
      <c r="F26" s="173">
        <f>Municipality!E26</f>
        <v>202</v>
      </c>
      <c r="G26" s="173">
        <f>Municipality!F26</f>
        <v>28</v>
      </c>
      <c r="H26" s="173">
        <f>Municipality!G26</f>
        <v>227</v>
      </c>
    </row>
    <row r="27" ht="14.25" customHeight="1">
      <c r="A27" s="172" t="s">
        <v>156</v>
      </c>
      <c r="B27" s="170" t="s">
        <v>201</v>
      </c>
      <c r="C27" s="173">
        <f>Municipality!B27</f>
        <v>3632</v>
      </c>
      <c r="D27" s="173">
        <f>Municipality!C27</f>
        <v>5062</v>
      </c>
      <c r="E27" s="173">
        <f>Municipality!D27</f>
        <v>176</v>
      </c>
      <c r="F27" s="173">
        <f>Municipality!E27</f>
        <v>245</v>
      </c>
      <c r="G27" s="173">
        <f>Municipality!F27</f>
        <v>56</v>
      </c>
      <c r="H27" s="173">
        <f>Municipality!G27</f>
        <v>78</v>
      </c>
    </row>
    <row r="28" ht="14.25" customHeight="1">
      <c r="A28" s="172" t="s">
        <v>157</v>
      </c>
      <c r="B28" s="170" t="s">
        <v>202</v>
      </c>
      <c r="C28" s="173">
        <f>Municipality!B28</f>
        <v>154</v>
      </c>
      <c r="D28" s="173">
        <f>Municipality!C28</f>
        <v>884</v>
      </c>
      <c r="E28" s="173" t="str">
        <f>Municipality!D28</f>
        <v>&lt;5</v>
      </c>
      <c r="F28" s="173" t="str">
        <f>Municipality!E28</f>
        <v>--</v>
      </c>
      <c r="G28" s="173">
        <f>Municipality!F28</f>
        <v>0</v>
      </c>
      <c r="H28" s="173">
        <f>Municipality!G28</f>
        <v>0</v>
      </c>
    </row>
    <row r="29" ht="14.25" customHeight="1">
      <c r="A29" s="172" t="s">
        <v>158</v>
      </c>
      <c r="B29" s="170" t="s">
        <v>203</v>
      </c>
      <c r="C29" s="173">
        <f>Municipality!B29</f>
        <v>11365</v>
      </c>
      <c r="D29" s="173">
        <f>Municipality!C29</f>
        <v>6334</v>
      </c>
      <c r="E29" s="173">
        <f>Municipality!D29</f>
        <v>1057</v>
      </c>
      <c r="F29" s="173">
        <f>Municipality!E29</f>
        <v>589</v>
      </c>
      <c r="G29" s="173">
        <f>Municipality!F29</f>
        <v>311</v>
      </c>
      <c r="H29" s="173">
        <f>Municipality!G29</f>
        <v>173</v>
      </c>
    </row>
    <row r="30" ht="14.25" customHeight="1">
      <c r="A30" s="172" t="s">
        <v>159</v>
      </c>
      <c r="B30" s="170" t="s">
        <v>204</v>
      </c>
      <c r="C30" s="173">
        <f>Municipality!B30</f>
        <v>52</v>
      </c>
      <c r="D30" s="173">
        <f>Municipality!C30</f>
        <v>682</v>
      </c>
      <c r="E30" s="173">
        <f>Municipality!D30</f>
        <v>7</v>
      </c>
      <c r="F30" s="173">
        <f>Municipality!E30</f>
        <v>92</v>
      </c>
      <c r="G30" s="173">
        <f>Municipality!F30</f>
        <v>0</v>
      </c>
      <c r="H30" s="173">
        <f>Municipality!G30</f>
        <v>0</v>
      </c>
    </row>
    <row r="31" ht="14.25" customHeight="1">
      <c r="A31" s="172" t="s">
        <v>160</v>
      </c>
      <c r="B31" s="170" t="s">
        <v>205</v>
      </c>
      <c r="C31" s="173">
        <f>Municipality!B31</f>
        <v>137</v>
      </c>
      <c r="D31" s="173">
        <f>Municipality!C31</f>
        <v>1292</v>
      </c>
      <c r="E31" s="173" t="str">
        <f>Municipality!D31</f>
        <v>&lt;5</v>
      </c>
      <c r="F31" s="173" t="str">
        <f>Municipality!E31</f>
        <v>--</v>
      </c>
      <c r="G31" s="173" t="str">
        <f>Municipality!F31</f>
        <v>&lt;5</v>
      </c>
      <c r="H31" s="173" t="str">
        <f>Municipality!G31</f>
        <v>--</v>
      </c>
    </row>
    <row r="32" ht="14.25" customHeight="1">
      <c r="A32" s="172" t="s">
        <v>161</v>
      </c>
      <c r="B32" s="170" t="s">
        <v>206</v>
      </c>
      <c r="C32" s="173">
        <f>Municipality!B32</f>
        <v>575</v>
      </c>
      <c r="D32" s="173">
        <f>Municipality!C32</f>
        <v>2658</v>
      </c>
      <c r="E32" s="173">
        <f>Municipality!D32</f>
        <v>80</v>
      </c>
      <c r="F32" s="173">
        <f>Municipality!E32</f>
        <v>370</v>
      </c>
      <c r="G32" s="173">
        <f>Municipality!F32</f>
        <v>58</v>
      </c>
      <c r="H32" s="173">
        <f>Municipality!G32</f>
        <v>268</v>
      </c>
    </row>
    <row r="33" ht="14.25" customHeight="1">
      <c r="A33" s="172" t="s">
        <v>162</v>
      </c>
      <c r="B33" s="170" t="s">
        <v>207</v>
      </c>
      <c r="C33" s="173">
        <f>Municipality!B33</f>
        <v>237</v>
      </c>
      <c r="D33" s="173">
        <f>Municipality!C33</f>
        <v>771</v>
      </c>
      <c r="E33" s="173">
        <f>Municipality!D33</f>
        <v>18</v>
      </c>
      <c r="F33" s="173">
        <f>Municipality!E33</f>
        <v>59</v>
      </c>
      <c r="G33" s="173">
        <f>Municipality!F33</f>
        <v>19</v>
      </c>
      <c r="H33" s="173">
        <f>Municipality!G33</f>
        <v>62</v>
      </c>
    </row>
    <row r="34" ht="14.25" customHeight="1">
      <c r="A34" s="172" t="s">
        <v>163</v>
      </c>
      <c r="B34" s="170" t="s">
        <v>208</v>
      </c>
      <c r="C34" s="173">
        <f>Municipality!B34</f>
        <v>235</v>
      </c>
      <c r="D34" s="173">
        <f>Municipality!C34</f>
        <v>1486</v>
      </c>
      <c r="E34" s="173" t="str">
        <f>Municipality!D34</f>
        <v>&lt;5</v>
      </c>
      <c r="F34" s="173" t="str">
        <f>Municipality!E34</f>
        <v>--</v>
      </c>
      <c r="G34" s="173">
        <f>Municipality!F34</f>
        <v>5</v>
      </c>
      <c r="H34" s="173">
        <f>Municipality!G34</f>
        <v>32</v>
      </c>
    </row>
    <row r="35" ht="14.25" customHeight="1">
      <c r="A35" s="172" t="s">
        <v>164</v>
      </c>
      <c r="B35" s="170" t="s">
        <v>209</v>
      </c>
      <c r="C35" s="173">
        <f>Municipality!B35</f>
        <v>232</v>
      </c>
      <c r="D35" s="173">
        <f>Municipality!C35</f>
        <v>2212</v>
      </c>
      <c r="E35" s="173">
        <f>Municipality!D35</f>
        <v>26</v>
      </c>
      <c r="F35" s="173">
        <f>Municipality!E35</f>
        <v>248</v>
      </c>
      <c r="G35" s="173">
        <f>Municipality!F35</f>
        <v>14</v>
      </c>
      <c r="H35" s="173">
        <f>Municipality!G35</f>
        <v>133</v>
      </c>
    </row>
    <row r="36" ht="14.25" customHeight="1">
      <c r="A36" s="172" t="s">
        <v>165</v>
      </c>
      <c r="B36" s="170" t="s">
        <v>210</v>
      </c>
      <c r="C36" s="173">
        <f>Municipality!B36</f>
        <v>1667</v>
      </c>
      <c r="D36" s="173">
        <f>Municipality!C36</f>
        <v>2056</v>
      </c>
      <c r="E36" s="173">
        <f>Municipality!D36</f>
        <v>122</v>
      </c>
      <c r="F36" s="173">
        <f>Municipality!E36</f>
        <v>150</v>
      </c>
      <c r="G36" s="173">
        <f>Municipality!F36</f>
        <v>81</v>
      </c>
      <c r="H36" s="173">
        <f>Municipality!G36</f>
        <v>100</v>
      </c>
    </row>
    <row r="37" ht="14.25" customHeight="1">
      <c r="A37" s="172" t="s">
        <v>166</v>
      </c>
      <c r="B37" s="170" t="s">
        <v>211</v>
      </c>
      <c r="C37" s="173">
        <f>Municipality!B37</f>
        <v>83</v>
      </c>
      <c r="D37" s="173">
        <f>Municipality!C37</f>
        <v>1343</v>
      </c>
      <c r="E37" s="173" t="str">
        <f>Municipality!D37</f>
        <v>&lt;5</v>
      </c>
      <c r="F37" s="173" t="str">
        <f>Municipality!E37</f>
        <v>--</v>
      </c>
      <c r="G37" s="173">
        <f>Municipality!F37</f>
        <v>0</v>
      </c>
      <c r="H37" s="173">
        <f>Municipality!G37</f>
        <v>0</v>
      </c>
    </row>
    <row r="38" ht="14.25" customHeight="1">
      <c r="A38" s="172" t="s">
        <v>167</v>
      </c>
      <c r="B38" s="170" t="s">
        <v>212</v>
      </c>
      <c r="C38" s="173">
        <f>Municipality!B38</f>
        <v>702</v>
      </c>
      <c r="D38" s="173">
        <f>Municipality!C38</f>
        <v>2424</v>
      </c>
      <c r="E38" s="173">
        <f>Municipality!D38</f>
        <v>60</v>
      </c>
      <c r="F38" s="173">
        <f>Municipality!E38</f>
        <v>207</v>
      </c>
      <c r="G38" s="173">
        <f>Municipality!F38</f>
        <v>22</v>
      </c>
      <c r="H38" s="173">
        <f>Municipality!G38</f>
        <v>76</v>
      </c>
    </row>
    <row r="39" ht="14.25" customHeight="1">
      <c r="A39" s="172" t="s">
        <v>168</v>
      </c>
      <c r="B39" s="170" t="s">
        <v>213</v>
      </c>
      <c r="C39" s="173">
        <f>Municipality!B39</f>
        <v>224</v>
      </c>
      <c r="D39" s="173">
        <f>Municipality!C39</f>
        <v>990</v>
      </c>
      <c r="E39" s="173">
        <f>Municipality!D39</f>
        <v>12</v>
      </c>
      <c r="F39" s="173">
        <f>Municipality!E39</f>
        <v>53</v>
      </c>
      <c r="G39" s="173" t="str">
        <f>Municipality!F39</f>
        <v>&lt;5</v>
      </c>
      <c r="H39" s="173" t="str">
        <f>Municipality!G39</f>
        <v>--</v>
      </c>
    </row>
    <row r="40" ht="14.25" customHeight="1">
      <c r="A40" s="172" t="s">
        <v>169</v>
      </c>
      <c r="B40" s="170" t="s">
        <v>214</v>
      </c>
      <c r="C40" s="173">
        <f>Municipality!B40</f>
        <v>1222</v>
      </c>
      <c r="D40" s="173">
        <f>Municipality!C40</f>
        <v>2942</v>
      </c>
      <c r="E40" s="173">
        <f>Municipality!D40</f>
        <v>137</v>
      </c>
      <c r="F40" s="173">
        <f>Municipality!E40</f>
        <v>330</v>
      </c>
      <c r="G40" s="173">
        <f>Municipality!F40</f>
        <v>88</v>
      </c>
      <c r="H40" s="173">
        <f>Municipality!G40</f>
        <v>212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4" t="s">
        <v>229</v>
      </c>
      <c r="B1" s="175" t="s">
        <v>230</v>
      </c>
      <c r="C1" s="115" t="s">
        <v>127</v>
      </c>
    </row>
    <row r="2" ht="14.25" customHeight="1">
      <c r="A2" s="176" t="s">
        <v>231</v>
      </c>
      <c r="B2" s="177">
        <v>16.0</v>
      </c>
      <c r="C2" s="178">
        <v>2385.0</v>
      </c>
    </row>
    <row r="3" ht="14.25" customHeight="1">
      <c r="A3" s="179" t="s">
        <v>232</v>
      </c>
      <c r="B3" s="180">
        <v>16.0</v>
      </c>
      <c r="C3" s="181">
        <v>798.0</v>
      </c>
    </row>
    <row r="4" ht="14.25" customHeight="1">
      <c r="A4" s="179" t="s">
        <v>233</v>
      </c>
      <c r="B4" s="180">
        <v>172.0</v>
      </c>
      <c r="C4" s="181">
        <v>1062.0</v>
      </c>
    </row>
    <row r="5" ht="14.25" customHeight="1">
      <c r="A5" s="179" t="s">
        <v>234</v>
      </c>
      <c r="B5" s="180">
        <v>12.0</v>
      </c>
      <c r="C5" s="181">
        <v>1451.0</v>
      </c>
    </row>
    <row r="6" ht="14.25" customHeight="1">
      <c r="A6" s="179" t="s">
        <v>235</v>
      </c>
      <c r="B6" s="180">
        <v>26.0</v>
      </c>
      <c r="C6" s="181">
        <v>1014.0</v>
      </c>
    </row>
    <row r="7" ht="14.25" customHeight="1">
      <c r="A7" s="179" t="s">
        <v>236</v>
      </c>
      <c r="B7" s="180">
        <v>442.0</v>
      </c>
      <c r="C7" s="181">
        <v>1986.0</v>
      </c>
    </row>
    <row r="8" ht="14.25" customHeight="1">
      <c r="A8" s="179" t="s">
        <v>237</v>
      </c>
      <c r="B8" s="180">
        <v>14.0</v>
      </c>
      <c r="C8" s="181">
        <v>1159.0</v>
      </c>
    </row>
    <row r="9" ht="14.25" customHeight="1">
      <c r="A9" s="179" t="s">
        <v>238</v>
      </c>
      <c r="B9" s="180">
        <v>65.0</v>
      </c>
      <c r="C9" s="181">
        <v>835.0</v>
      </c>
    </row>
    <row r="10" ht="14.25" customHeight="1">
      <c r="A10" s="179" t="s">
        <v>239</v>
      </c>
      <c r="B10" s="180">
        <v>112.0</v>
      </c>
      <c r="C10" s="181">
        <v>1460.0</v>
      </c>
    </row>
    <row r="11" ht="14.25" customHeight="1">
      <c r="A11" s="179" t="s">
        <v>240</v>
      </c>
      <c r="B11" s="180">
        <v>0.0</v>
      </c>
      <c r="C11" s="181">
        <v>0.0</v>
      </c>
    </row>
    <row r="12" ht="14.25" customHeight="1">
      <c r="A12" s="179" t="s">
        <v>241</v>
      </c>
      <c r="B12" s="180">
        <v>578.0</v>
      </c>
      <c r="C12" s="181">
        <v>1761.0</v>
      </c>
    </row>
    <row r="13" ht="14.25" customHeight="1">
      <c r="A13" s="179" t="s">
        <v>242</v>
      </c>
      <c r="B13" s="180">
        <v>85.0</v>
      </c>
      <c r="C13" s="181">
        <v>1409.0</v>
      </c>
    </row>
    <row r="14" ht="14.25" customHeight="1">
      <c r="A14" s="179" t="s">
        <v>243</v>
      </c>
      <c r="B14" s="180">
        <v>293.0</v>
      </c>
      <c r="C14" s="181">
        <v>1611.0</v>
      </c>
    </row>
    <row r="15" ht="14.25" customHeight="1">
      <c r="A15" s="179" t="s">
        <v>244</v>
      </c>
      <c r="B15" s="180">
        <v>75.0</v>
      </c>
      <c r="C15" s="181">
        <v>1140.0</v>
      </c>
    </row>
    <row r="16" ht="14.25" customHeight="1">
      <c r="A16" s="179" t="s">
        <v>245</v>
      </c>
      <c r="B16" s="180">
        <v>73.0</v>
      </c>
      <c r="C16" s="181">
        <v>1327.0</v>
      </c>
    </row>
    <row r="17" ht="14.25" customHeight="1">
      <c r="A17" s="179" t="s">
        <v>246</v>
      </c>
      <c r="B17" s="180">
        <v>7.0</v>
      </c>
      <c r="C17" s="181">
        <v>1397.0</v>
      </c>
    </row>
    <row r="18" ht="14.25" customHeight="1">
      <c r="A18" s="179" t="s">
        <v>247</v>
      </c>
      <c r="B18" s="180">
        <v>33.0</v>
      </c>
      <c r="C18" s="181">
        <v>1602.0</v>
      </c>
    </row>
    <row r="19" ht="14.25" customHeight="1">
      <c r="A19" s="179" t="s">
        <v>248</v>
      </c>
      <c r="B19" s="180">
        <v>306.0</v>
      </c>
      <c r="C19" s="181">
        <v>3892.0</v>
      </c>
    </row>
    <row r="20" ht="14.25" customHeight="1">
      <c r="A20" s="179" t="s">
        <v>249</v>
      </c>
      <c r="B20" s="180">
        <v>70.0</v>
      </c>
      <c r="C20" s="181">
        <v>1179.0</v>
      </c>
    </row>
    <row r="21" ht="14.25" customHeight="1">
      <c r="A21" s="179" t="s">
        <v>250</v>
      </c>
      <c r="B21" s="180">
        <v>72.0</v>
      </c>
      <c r="C21" s="181">
        <v>2057.0</v>
      </c>
    </row>
    <row r="22" ht="14.25" customHeight="1">
      <c r="A22" s="179" t="s">
        <v>251</v>
      </c>
      <c r="B22" s="180">
        <v>35.0</v>
      </c>
      <c r="C22" s="181">
        <v>810.0</v>
      </c>
    </row>
    <row r="23" ht="14.25" customHeight="1">
      <c r="A23" s="179" t="s">
        <v>252</v>
      </c>
      <c r="B23" s="180">
        <v>0.0</v>
      </c>
      <c r="C23" s="181">
        <v>0.0</v>
      </c>
    </row>
    <row r="24" ht="14.25" customHeight="1">
      <c r="A24" s="179" t="s">
        <v>253</v>
      </c>
      <c r="B24" s="180">
        <v>59.0</v>
      </c>
      <c r="C24" s="181">
        <v>1074.0</v>
      </c>
    </row>
    <row r="25" ht="14.25" customHeight="1">
      <c r="A25" s="179" t="s">
        <v>254</v>
      </c>
      <c r="B25" s="182">
        <v>0.0</v>
      </c>
      <c r="C25" s="181">
        <v>0.0</v>
      </c>
    </row>
    <row r="26" ht="14.25" customHeight="1">
      <c r="A26" s="179" t="s">
        <v>255</v>
      </c>
      <c r="B26" s="180">
        <v>30.0</v>
      </c>
      <c r="C26" s="181">
        <v>856.0</v>
      </c>
    </row>
    <row r="27" ht="14.25" customHeight="1">
      <c r="A27" s="179" t="s">
        <v>256</v>
      </c>
      <c r="B27" s="180">
        <v>163.0</v>
      </c>
      <c r="C27" s="181">
        <v>4632.0</v>
      </c>
    </row>
    <row r="28" ht="14.25" customHeight="1">
      <c r="A28" s="179" t="s">
        <v>257</v>
      </c>
      <c r="B28" s="180">
        <v>30.0</v>
      </c>
      <c r="C28" s="181">
        <v>1455.0</v>
      </c>
    </row>
    <row r="29" ht="14.25" customHeight="1">
      <c r="A29" s="179" t="s">
        <v>258</v>
      </c>
      <c r="B29" s="180">
        <v>257.0</v>
      </c>
      <c r="C29" s="181">
        <v>1107.0</v>
      </c>
    </row>
    <row r="30" ht="14.25" customHeight="1">
      <c r="A30" s="179" t="s">
        <v>259</v>
      </c>
      <c r="B30" s="180">
        <v>15.0</v>
      </c>
      <c r="C30" s="181">
        <v>919.0</v>
      </c>
    </row>
    <row r="31" ht="14.25" customHeight="1">
      <c r="A31" s="179" t="s">
        <v>260</v>
      </c>
      <c r="B31" s="180">
        <v>147.0</v>
      </c>
      <c r="C31" s="181">
        <v>919.0</v>
      </c>
    </row>
    <row r="32" ht="14.25" customHeight="1">
      <c r="A32" s="179" t="s">
        <v>261</v>
      </c>
      <c r="B32" s="180">
        <v>487.0</v>
      </c>
      <c r="C32" s="181">
        <v>2211.0</v>
      </c>
    </row>
    <row r="33" ht="14.25" customHeight="1">
      <c r="A33" s="179" t="s">
        <v>262</v>
      </c>
      <c r="B33" s="180">
        <v>112.0</v>
      </c>
      <c r="C33" s="181">
        <v>1282.0</v>
      </c>
    </row>
    <row r="34" ht="14.25" customHeight="1">
      <c r="A34" s="179" t="s">
        <v>263</v>
      </c>
      <c r="B34" s="182">
        <v>9.0</v>
      </c>
      <c r="C34" s="181">
        <v>1236.0</v>
      </c>
    </row>
    <row r="35" ht="14.25" customHeight="1">
      <c r="A35" s="179" t="s">
        <v>264</v>
      </c>
      <c r="B35" s="180">
        <v>154.0</v>
      </c>
      <c r="C35" s="181">
        <v>2131.0</v>
      </c>
    </row>
    <row r="36" ht="14.25" customHeight="1">
      <c r="A36" s="179" t="s">
        <v>265</v>
      </c>
      <c r="B36" s="180">
        <v>2636.0</v>
      </c>
      <c r="C36" s="181">
        <v>5593.0</v>
      </c>
    </row>
    <row r="37" ht="14.25" customHeight="1">
      <c r="A37" s="179" t="s">
        <v>266</v>
      </c>
      <c r="B37" s="180">
        <v>961.0</v>
      </c>
      <c r="C37" s="181">
        <v>3837.0</v>
      </c>
    </row>
    <row r="38" ht="14.25" customHeight="1">
      <c r="A38" s="179" t="s">
        <v>267</v>
      </c>
      <c r="B38" s="180">
        <v>2026.0</v>
      </c>
      <c r="C38" s="181">
        <v>10472.0</v>
      </c>
    </row>
    <row r="39" ht="14.25" customHeight="1">
      <c r="A39" s="179" t="s">
        <v>268</v>
      </c>
      <c r="B39" s="180">
        <v>810.0</v>
      </c>
      <c r="C39" s="181">
        <v>2339.0</v>
      </c>
    </row>
    <row r="40" ht="14.25" customHeight="1">
      <c r="A40" s="179" t="s">
        <v>269</v>
      </c>
      <c r="B40" s="180">
        <v>390.0</v>
      </c>
      <c r="C40" s="181">
        <v>2235.0</v>
      </c>
    </row>
    <row r="41" ht="14.25" customHeight="1">
      <c r="A41" s="179" t="s">
        <v>270</v>
      </c>
      <c r="B41" s="180">
        <v>153.0</v>
      </c>
      <c r="C41" s="181">
        <v>893.0</v>
      </c>
    </row>
    <row r="42" ht="14.25" customHeight="1">
      <c r="A42" s="179" t="s">
        <v>271</v>
      </c>
      <c r="B42" s="180">
        <v>0.0</v>
      </c>
      <c r="C42" s="181">
        <v>0.0</v>
      </c>
    </row>
    <row r="43" ht="14.25" customHeight="1">
      <c r="A43" s="179" t="s">
        <v>272</v>
      </c>
      <c r="B43" s="180">
        <v>0.0</v>
      </c>
      <c r="C43" s="181">
        <v>0.0</v>
      </c>
    </row>
    <row r="44" ht="14.25" customHeight="1">
      <c r="A44" s="179" t="s">
        <v>273</v>
      </c>
      <c r="B44" s="180">
        <v>88.0</v>
      </c>
      <c r="C44" s="181">
        <v>1477.0</v>
      </c>
    </row>
    <row r="45" ht="14.25" customHeight="1">
      <c r="A45" s="179" t="s">
        <v>274</v>
      </c>
      <c r="B45" s="180">
        <v>0.0</v>
      </c>
      <c r="C45" s="181">
        <v>0.0</v>
      </c>
    </row>
    <row r="46" ht="14.25" customHeight="1">
      <c r="A46" s="179" t="s">
        <v>275</v>
      </c>
      <c r="B46" s="180">
        <v>8.0</v>
      </c>
      <c r="C46" s="181">
        <v>2749.0</v>
      </c>
    </row>
    <row r="47" ht="14.25" customHeight="1">
      <c r="A47" s="179" t="s">
        <v>276</v>
      </c>
      <c r="B47" s="180">
        <v>233.0</v>
      </c>
      <c r="C47" s="181">
        <v>1473.0</v>
      </c>
    </row>
    <row r="48" ht="14.25" customHeight="1">
      <c r="A48" s="179" t="s">
        <v>277</v>
      </c>
      <c r="B48" s="180">
        <v>250.0</v>
      </c>
      <c r="C48" s="181">
        <v>1218.0</v>
      </c>
    </row>
    <row r="49" ht="14.25" customHeight="1">
      <c r="A49" s="179" t="s">
        <v>278</v>
      </c>
      <c r="B49" s="180">
        <v>102.0</v>
      </c>
      <c r="C49" s="181">
        <v>1302.0</v>
      </c>
    </row>
    <row r="50" ht="14.25" customHeight="1">
      <c r="A50" s="179" t="s">
        <v>279</v>
      </c>
      <c r="B50" s="180">
        <v>383.0</v>
      </c>
      <c r="C50" s="181">
        <v>2745.0</v>
      </c>
    </row>
    <row r="51" ht="14.25" customHeight="1">
      <c r="A51" s="179" t="s">
        <v>280</v>
      </c>
      <c r="B51" s="180">
        <v>231.0</v>
      </c>
      <c r="C51" s="181">
        <v>2208.0</v>
      </c>
    </row>
    <row r="52" ht="14.25" customHeight="1">
      <c r="A52" s="179" t="s">
        <v>281</v>
      </c>
      <c r="B52" s="180">
        <v>557.0</v>
      </c>
      <c r="C52" s="181">
        <v>1920.0</v>
      </c>
    </row>
    <row r="53" ht="14.25" customHeight="1">
      <c r="A53" s="179" t="s">
        <v>282</v>
      </c>
      <c r="B53" s="180">
        <v>384.0</v>
      </c>
      <c r="C53" s="181">
        <v>2003.0</v>
      </c>
    </row>
    <row r="54" ht="14.25" customHeight="1">
      <c r="A54" s="179" t="s">
        <v>283</v>
      </c>
      <c r="B54" s="180">
        <v>684.0</v>
      </c>
      <c r="C54" s="181">
        <v>2502.0</v>
      </c>
    </row>
    <row r="55" ht="14.25" customHeight="1">
      <c r="A55" s="179" t="s">
        <v>284</v>
      </c>
      <c r="B55" s="180">
        <v>208.0</v>
      </c>
      <c r="C55" s="181">
        <v>986.0</v>
      </c>
    </row>
    <row r="56" ht="14.25" customHeight="1">
      <c r="A56" s="179" t="s">
        <v>285</v>
      </c>
      <c r="B56" s="180">
        <v>62.0</v>
      </c>
      <c r="C56" s="181">
        <v>1196.0</v>
      </c>
    </row>
    <row r="57" ht="14.25" customHeight="1">
      <c r="A57" s="179" t="s">
        <v>286</v>
      </c>
      <c r="B57" s="180">
        <v>696.0</v>
      </c>
      <c r="C57" s="181">
        <v>2387.0</v>
      </c>
    </row>
    <row r="58" ht="14.25" customHeight="1">
      <c r="A58" s="179" t="s">
        <v>287</v>
      </c>
      <c r="B58" s="180">
        <v>9.0</v>
      </c>
      <c r="C58" s="181">
        <v>1335.0</v>
      </c>
    </row>
    <row r="59" ht="14.25" customHeight="1">
      <c r="A59" s="179" t="s">
        <v>288</v>
      </c>
      <c r="B59" s="180">
        <v>1208.0</v>
      </c>
      <c r="C59" s="181">
        <v>2908.0</v>
      </c>
    </row>
    <row r="60" ht="14.25" customHeight="1">
      <c r="A60" s="179" t="s">
        <v>289</v>
      </c>
      <c r="B60" s="180">
        <v>274.0</v>
      </c>
      <c r="C60" s="181">
        <v>2272.0</v>
      </c>
    </row>
    <row r="61" ht="14.25" customHeight="1">
      <c r="A61" s="179" t="s">
        <v>290</v>
      </c>
      <c r="B61" s="180">
        <v>25.0</v>
      </c>
      <c r="C61" s="181">
        <v>1522.0</v>
      </c>
    </row>
    <row r="62" ht="14.25" customHeight="1">
      <c r="A62" s="179" t="s">
        <v>291</v>
      </c>
      <c r="B62" s="180">
        <v>355.0</v>
      </c>
      <c r="C62" s="181">
        <v>3367.0</v>
      </c>
    </row>
    <row r="63" ht="14.25" customHeight="1">
      <c r="A63" s="179" t="s">
        <v>292</v>
      </c>
      <c r="B63" s="180">
        <v>1634.0</v>
      </c>
      <c r="C63" s="181">
        <v>5354.0</v>
      </c>
    </row>
    <row r="64" ht="14.25" customHeight="1">
      <c r="A64" s="179" t="s">
        <v>293</v>
      </c>
      <c r="B64" s="180">
        <v>1266.0</v>
      </c>
      <c r="C64" s="181">
        <v>4967.0</v>
      </c>
    </row>
    <row r="65" ht="14.25" customHeight="1">
      <c r="A65" s="179" t="s">
        <v>294</v>
      </c>
      <c r="B65" s="180">
        <v>672.0</v>
      </c>
      <c r="C65" s="181">
        <v>2383.0</v>
      </c>
    </row>
    <row r="66" ht="14.25" customHeight="1">
      <c r="A66" s="179" t="s">
        <v>295</v>
      </c>
      <c r="B66" s="180">
        <v>2479.0</v>
      </c>
      <c r="C66" s="181">
        <v>8054.0</v>
      </c>
    </row>
    <row r="67" ht="14.25" customHeight="1">
      <c r="A67" s="179" t="s">
        <v>296</v>
      </c>
      <c r="B67" s="180">
        <v>2697.0</v>
      </c>
      <c r="C67" s="181">
        <v>7183.0</v>
      </c>
    </row>
    <row r="68" ht="14.25" customHeight="1">
      <c r="A68" s="179" t="s">
        <v>297</v>
      </c>
      <c r="B68" s="180">
        <v>3400.0</v>
      </c>
      <c r="C68" s="181">
        <v>8380.0</v>
      </c>
    </row>
    <row r="69" ht="14.25" customHeight="1">
      <c r="A69" s="179" t="s">
        <v>298</v>
      </c>
      <c r="B69" s="180">
        <v>682.0</v>
      </c>
      <c r="C69" s="181">
        <v>3080.0</v>
      </c>
    </row>
    <row r="70" ht="14.25" customHeight="1">
      <c r="A70" s="179" t="s">
        <v>299</v>
      </c>
      <c r="B70" s="180">
        <v>522.0</v>
      </c>
      <c r="C70" s="181">
        <v>3290.0</v>
      </c>
    </row>
    <row r="71" ht="14.25" customHeight="1">
      <c r="A71" s="179" t="s">
        <v>300</v>
      </c>
      <c r="B71" s="180">
        <v>10.0</v>
      </c>
      <c r="C71" s="181">
        <v>735.0</v>
      </c>
    </row>
    <row r="72" ht="14.25" customHeight="1">
      <c r="A72" s="179" t="s">
        <v>301</v>
      </c>
      <c r="B72" s="180">
        <v>739.0</v>
      </c>
      <c r="C72" s="181">
        <v>3421.0</v>
      </c>
    </row>
    <row r="73" ht="14.25" customHeight="1">
      <c r="A73" s="179" t="s">
        <v>302</v>
      </c>
      <c r="B73" s="180">
        <v>392.0</v>
      </c>
      <c r="C73" s="181">
        <v>2355.0</v>
      </c>
    </row>
    <row r="74" ht="14.25" customHeight="1">
      <c r="A74" s="179" t="s">
        <v>303</v>
      </c>
      <c r="B74" s="180">
        <v>176.0</v>
      </c>
      <c r="C74" s="181">
        <v>1939.0</v>
      </c>
    </row>
    <row r="75" ht="14.25" customHeight="1">
      <c r="A75" s="179" t="s">
        <v>304</v>
      </c>
      <c r="B75" s="180">
        <v>264.0</v>
      </c>
      <c r="C75" s="181">
        <v>1913.0</v>
      </c>
    </row>
    <row r="76" ht="14.25" customHeight="1">
      <c r="A76" s="179" t="s">
        <v>305</v>
      </c>
      <c r="B76" s="180">
        <v>1146.0</v>
      </c>
      <c r="C76" s="181">
        <v>3917.0</v>
      </c>
    </row>
    <row r="77" ht="14.25" customHeight="1">
      <c r="A77" s="179" t="s">
        <v>306</v>
      </c>
      <c r="B77" s="180">
        <v>1436.0</v>
      </c>
      <c r="C77" s="181">
        <v>3860.0</v>
      </c>
    </row>
    <row r="78" ht="14.25" customHeight="1">
      <c r="A78" s="179" t="s">
        <v>307</v>
      </c>
      <c r="B78" s="180">
        <v>314.0</v>
      </c>
      <c r="C78" s="181">
        <v>2529.0</v>
      </c>
    </row>
    <row r="79" ht="14.25" customHeight="1">
      <c r="A79" s="183" t="s">
        <v>308</v>
      </c>
      <c r="B79" s="180">
        <v>1839.0</v>
      </c>
      <c r="C79" s="181" t="s">
        <v>30</v>
      </c>
    </row>
    <row r="80" ht="14.25" customHeight="1">
      <c r="A80" s="183" t="s">
        <v>170</v>
      </c>
      <c r="B80" s="180">
        <v>36375.0</v>
      </c>
      <c r="C80" s="181">
        <v>3443.0</v>
      </c>
    </row>
    <row r="81" ht="14.25" customHeight="1">
      <c r="A81" s="184" t="s">
        <v>309</v>
      </c>
    </row>
    <row r="82" ht="14.25" customHeight="1">
      <c r="A82" s="123" t="s">
        <v>310</v>
      </c>
    </row>
    <row r="83" ht="14.25" customHeight="1"/>
    <row r="84" ht="14.25" customHeight="1"/>
    <row r="85" ht="14.25" customHeight="1"/>
    <row r="86" ht="14.25" customHeight="1">
      <c r="A86" s="71" t="s">
        <v>0</v>
      </c>
      <c r="B86" s="72">
        <v>44146.0</v>
      </c>
      <c r="C86" s="185"/>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6" t="s">
        <v>311</v>
      </c>
    </row>
    <row r="2">
      <c r="A2" s="187" t="s">
        <v>312</v>
      </c>
      <c r="B2" s="188"/>
      <c r="C2" s="188"/>
      <c r="D2" s="188"/>
    </row>
    <row r="3">
      <c r="A3" s="189" t="s">
        <v>313</v>
      </c>
      <c r="B3" s="190" t="s">
        <v>314</v>
      </c>
      <c r="C3" s="190" t="s">
        <v>315</v>
      </c>
      <c r="D3" s="191" t="s">
        <v>316</v>
      </c>
    </row>
    <row r="4">
      <c r="A4" s="192" t="s">
        <v>317</v>
      </c>
      <c r="B4" s="86"/>
      <c r="C4" s="86"/>
      <c r="D4" s="35"/>
    </row>
    <row r="5">
      <c r="A5" s="193" t="s">
        <v>318</v>
      </c>
      <c r="B5" s="194" t="s">
        <v>319</v>
      </c>
      <c r="C5" s="195">
        <v>0.0</v>
      </c>
      <c r="D5" s="196">
        <v>0.0</v>
      </c>
    </row>
    <row r="6">
      <c r="A6" s="193" t="s">
        <v>320</v>
      </c>
      <c r="B6" s="194" t="s">
        <v>321</v>
      </c>
      <c r="C6" s="195">
        <v>0.0</v>
      </c>
      <c r="D6" s="196" t="s">
        <v>322</v>
      </c>
    </row>
    <row r="7">
      <c r="A7" s="193" t="s">
        <v>323</v>
      </c>
      <c r="B7" s="194" t="s">
        <v>324</v>
      </c>
      <c r="C7" s="195">
        <v>0.0</v>
      </c>
      <c r="D7" s="196" t="s">
        <v>325</v>
      </c>
    </row>
    <row r="8">
      <c r="A8" s="193" t="s">
        <v>326</v>
      </c>
      <c r="B8" s="194" t="s">
        <v>322</v>
      </c>
      <c r="C8" s="195">
        <v>0.0</v>
      </c>
      <c r="D8" s="196" t="s">
        <v>319</v>
      </c>
    </row>
    <row r="9">
      <c r="A9" s="193" t="s">
        <v>327</v>
      </c>
      <c r="B9" s="194" t="s">
        <v>328</v>
      </c>
      <c r="C9" s="195" t="s">
        <v>319</v>
      </c>
      <c r="D9" s="196" t="s">
        <v>329</v>
      </c>
    </row>
    <row r="10">
      <c r="A10" s="193" t="s">
        <v>330</v>
      </c>
      <c r="B10" s="194" t="s">
        <v>331</v>
      </c>
      <c r="C10" s="195" t="s">
        <v>332</v>
      </c>
      <c r="D10" s="196" t="s">
        <v>333</v>
      </c>
    </row>
    <row r="11">
      <c r="A11" s="193" t="s">
        <v>334</v>
      </c>
      <c r="B11" s="194" t="s">
        <v>329</v>
      </c>
      <c r="C11" s="195">
        <v>0.0</v>
      </c>
      <c r="D11" s="196" t="s">
        <v>332</v>
      </c>
    </row>
    <row r="12">
      <c r="A12" s="193" t="s">
        <v>335</v>
      </c>
      <c r="B12" s="194" t="s">
        <v>322</v>
      </c>
      <c r="C12" s="195">
        <v>0.0</v>
      </c>
      <c r="D12" s="196" t="s">
        <v>319</v>
      </c>
    </row>
    <row r="13">
      <c r="A13" s="193" t="s">
        <v>336</v>
      </c>
      <c r="B13" s="194" t="s">
        <v>322</v>
      </c>
      <c r="C13" s="195">
        <v>0.0</v>
      </c>
      <c r="D13" s="196" t="s">
        <v>332</v>
      </c>
    </row>
    <row r="14">
      <c r="A14" s="193" t="s">
        <v>337</v>
      </c>
      <c r="B14" s="194" t="s">
        <v>338</v>
      </c>
      <c r="C14" s="195">
        <v>0.0</v>
      </c>
      <c r="D14" s="196" t="s">
        <v>322</v>
      </c>
    </row>
    <row r="15">
      <c r="A15" s="193" t="s">
        <v>339</v>
      </c>
      <c r="B15" s="194" t="s">
        <v>340</v>
      </c>
      <c r="C15" s="195" t="s">
        <v>332</v>
      </c>
      <c r="D15" s="196" t="s">
        <v>341</v>
      </c>
    </row>
    <row r="16">
      <c r="A16" s="193" t="s">
        <v>342</v>
      </c>
      <c r="B16" s="194" t="s">
        <v>328</v>
      </c>
      <c r="C16" s="195" t="s">
        <v>332</v>
      </c>
      <c r="D16" s="196" t="s">
        <v>329</v>
      </c>
    </row>
    <row r="17">
      <c r="A17" s="193" t="s">
        <v>343</v>
      </c>
      <c r="B17" s="194" t="s">
        <v>328</v>
      </c>
      <c r="C17" s="195">
        <v>0.0</v>
      </c>
      <c r="D17" s="196" t="s">
        <v>322</v>
      </c>
    </row>
    <row r="18">
      <c r="A18" s="193" t="s">
        <v>344</v>
      </c>
      <c r="B18" s="194" t="s">
        <v>328</v>
      </c>
      <c r="C18" s="195">
        <v>0.0</v>
      </c>
      <c r="D18" s="196" t="s">
        <v>329</v>
      </c>
    </row>
    <row r="19">
      <c r="A19" s="193" t="s">
        <v>345</v>
      </c>
      <c r="B19" s="194" t="s">
        <v>346</v>
      </c>
      <c r="C19" s="195" t="s">
        <v>329</v>
      </c>
      <c r="D19" s="196" t="s">
        <v>347</v>
      </c>
    </row>
    <row r="20">
      <c r="A20" s="193" t="s">
        <v>348</v>
      </c>
      <c r="B20" s="194" t="s">
        <v>341</v>
      </c>
      <c r="C20" s="195">
        <v>0.0</v>
      </c>
      <c r="D20" s="196" t="s">
        <v>319</v>
      </c>
    </row>
    <row r="21">
      <c r="A21" s="193" t="s">
        <v>349</v>
      </c>
      <c r="B21" s="194" t="s">
        <v>340</v>
      </c>
      <c r="C21" s="195" t="s">
        <v>319</v>
      </c>
      <c r="D21" s="196" t="s">
        <v>350</v>
      </c>
    </row>
    <row r="22">
      <c r="A22" s="193" t="s">
        <v>351</v>
      </c>
      <c r="B22" s="194" t="s">
        <v>352</v>
      </c>
      <c r="C22" s="195">
        <v>0.0</v>
      </c>
      <c r="D22" s="196" t="s">
        <v>322</v>
      </c>
    </row>
    <row r="23">
      <c r="A23" s="193" t="s">
        <v>353</v>
      </c>
      <c r="B23" s="194" t="s">
        <v>346</v>
      </c>
      <c r="C23" s="195">
        <v>0.0</v>
      </c>
      <c r="D23" s="196" t="s">
        <v>325</v>
      </c>
    </row>
    <row r="24">
      <c r="A24" s="193" t="s">
        <v>354</v>
      </c>
      <c r="B24" s="194" t="s">
        <v>355</v>
      </c>
      <c r="C24" s="195">
        <v>0.0</v>
      </c>
      <c r="D24" s="196">
        <v>0.0</v>
      </c>
    </row>
    <row r="25">
      <c r="A25" s="193" t="s">
        <v>356</v>
      </c>
      <c r="B25" s="194" t="s">
        <v>355</v>
      </c>
      <c r="C25" s="195">
        <v>0.0</v>
      </c>
      <c r="D25" s="196" t="s">
        <v>332</v>
      </c>
    </row>
    <row r="26">
      <c r="A26" s="193" t="s">
        <v>357</v>
      </c>
      <c r="B26" s="194" t="s">
        <v>358</v>
      </c>
      <c r="C26" s="195">
        <v>0.0</v>
      </c>
      <c r="D26" s="197" t="s">
        <v>329</v>
      </c>
    </row>
    <row r="27">
      <c r="A27" s="193" t="s">
        <v>359</v>
      </c>
      <c r="B27" s="194" t="s">
        <v>338</v>
      </c>
      <c r="C27" s="195">
        <v>0.0</v>
      </c>
      <c r="D27" s="196" t="s">
        <v>350</v>
      </c>
    </row>
    <row r="28">
      <c r="A28" s="193" t="s">
        <v>360</v>
      </c>
      <c r="B28" s="194" t="s">
        <v>319</v>
      </c>
      <c r="C28" s="195" t="s">
        <v>332</v>
      </c>
      <c r="D28" s="196">
        <v>0.0</v>
      </c>
    </row>
    <row r="29">
      <c r="A29" s="193" t="s">
        <v>361</v>
      </c>
      <c r="B29" s="194" t="s">
        <v>333</v>
      </c>
      <c r="C29" s="195">
        <v>0.0</v>
      </c>
      <c r="D29" s="196" t="s">
        <v>329</v>
      </c>
    </row>
    <row r="30">
      <c r="A30" s="193" t="s">
        <v>362</v>
      </c>
      <c r="B30" s="194" t="s">
        <v>350</v>
      </c>
      <c r="C30" s="195">
        <v>0.0</v>
      </c>
      <c r="D30" s="196" t="s">
        <v>332</v>
      </c>
    </row>
    <row r="31">
      <c r="A31" s="193" t="s">
        <v>363</v>
      </c>
      <c r="B31" s="194" t="s">
        <v>319</v>
      </c>
      <c r="C31" s="195" t="s">
        <v>332</v>
      </c>
      <c r="D31" s="196">
        <v>0.0</v>
      </c>
    </row>
    <row r="32">
      <c r="A32" s="193" t="s">
        <v>364</v>
      </c>
      <c r="B32" s="194" t="s">
        <v>355</v>
      </c>
      <c r="C32" s="195">
        <v>0.0</v>
      </c>
      <c r="D32" s="196">
        <v>0.0</v>
      </c>
    </row>
    <row r="33">
      <c r="A33" s="193" t="s">
        <v>365</v>
      </c>
      <c r="B33" s="194" t="s">
        <v>319</v>
      </c>
      <c r="C33" s="195">
        <v>0.0</v>
      </c>
      <c r="D33" s="196">
        <v>0.0</v>
      </c>
    </row>
    <row r="34">
      <c r="A34" s="193" t="s">
        <v>366</v>
      </c>
      <c r="B34" s="194" t="s">
        <v>321</v>
      </c>
      <c r="C34" s="195">
        <v>0.0</v>
      </c>
      <c r="D34" s="196" t="s">
        <v>333</v>
      </c>
    </row>
    <row r="35">
      <c r="A35" s="193" t="s">
        <v>367</v>
      </c>
      <c r="B35" s="194" t="s">
        <v>346</v>
      </c>
      <c r="C35" s="195" t="s">
        <v>332</v>
      </c>
      <c r="D35" s="196" t="s">
        <v>350</v>
      </c>
    </row>
    <row r="36">
      <c r="A36" s="193" t="s">
        <v>368</v>
      </c>
      <c r="B36" s="194" t="s">
        <v>347</v>
      </c>
      <c r="C36" s="195" t="s">
        <v>332</v>
      </c>
      <c r="D36" s="196" t="s">
        <v>332</v>
      </c>
    </row>
    <row r="37">
      <c r="A37" s="193" t="s">
        <v>369</v>
      </c>
      <c r="B37" s="194" t="s">
        <v>319</v>
      </c>
      <c r="C37" s="195" t="s">
        <v>319</v>
      </c>
      <c r="D37" s="196">
        <v>0.0</v>
      </c>
    </row>
    <row r="38">
      <c r="A38" s="193" t="s">
        <v>370</v>
      </c>
      <c r="B38" s="194" t="s">
        <v>325</v>
      </c>
      <c r="C38" s="195">
        <v>0.0</v>
      </c>
      <c r="D38" s="196" t="s">
        <v>322</v>
      </c>
    </row>
    <row r="39">
      <c r="A39" s="193" t="s">
        <v>371</v>
      </c>
      <c r="B39" s="194" t="s">
        <v>341</v>
      </c>
      <c r="C39" s="195" t="s">
        <v>341</v>
      </c>
      <c r="D39" s="196">
        <v>0.0</v>
      </c>
    </row>
    <row r="40">
      <c r="A40" s="193" t="s">
        <v>372</v>
      </c>
      <c r="B40" s="194" t="s">
        <v>333</v>
      </c>
      <c r="C40" s="195">
        <v>0.0</v>
      </c>
      <c r="D40" s="196" t="s">
        <v>319</v>
      </c>
    </row>
    <row r="41">
      <c r="A41" s="193" t="s">
        <v>373</v>
      </c>
      <c r="B41" s="194" t="s">
        <v>374</v>
      </c>
      <c r="C41" s="195">
        <v>0.0</v>
      </c>
      <c r="D41" s="196" t="s">
        <v>350</v>
      </c>
    </row>
    <row r="42">
      <c r="A42" s="193" t="s">
        <v>375</v>
      </c>
      <c r="B42" s="194" t="s">
        <v>374</v>
      </c>
      <c r="C42" s="195">
        <v>0.0</v>
      </c>
      <c r="D42" s="196" t="s">
        <v>333</v>
      </c>
    </row>
    <row r="43">
      <c r="A43" s="193" t="s">
        <v>376</v>
      </c>
      <c r="B43" s="194" t="s">
        <v>374</v>
      </c>
      <c r="C43" s="195" t="s">
        <v>319</v>
      </c>
      <c r="D43" s="196" t="s">
        <v>350</v>
      </c>
    </row>
    <row r="44">
      <c r="A44" s="193" t="s">
        <v>377</v>
      </c>
      <c r="B44" s="194" t="s">
        <v>378</v>
      </c>
      <c r="C44" s="195">
        <v>0.0</v>
      </c>
      <c r="D44" s="196" t="s">
        <v>341</v>
      </c>
    </row>
    <row r="45">
      <c r="A45" s="193" t="s">
        <v>379</v>
      </c>
      <c r="B45" s="194" t="s">
        <v>341</v>
      </c>
      <c r="C45" s="195">
        <v>0.0</v>
      </c>
      <c r="D45" s="196" t="s">
        <v>319</v>
      </c>
    </row>
    <row r="46">
      <c r="A46" s="193" t="s">
        <v>380</v>
      </c>
      <c r="B46" s="194" t="s">
        <v>350</v>
      </c>
      <c r="C46" s="195">
        <v>0.0</v>
      </c>
      <c r="D46" s="196" t="s">
        <v>319</v>
      </c>
    </row>
    <row r="47">
      <c r="A47" s="193" t="s">
        <v>381</v>
      </c>
      <c r="B47" s="194" t="s">
        <v>382</v>
      </c>
      <c r="C47" s="195" t="s">
        <v>319</v>
      </c>
      <c r="D47" s="196" t="s">
        <v>350</v>
      </c>
    </row>
    <row r="48">
      <c r="A48" s="193" t="s">
        <v>383</v>
      </c>
      <c r="B48" s="194" t="s">
        <v>328</v>
      </c>
      <c r="C48" s="195" t="s">
        <v>328</v>
      </c>
      <c r="D48" s="196" t="s">
        <v>332</v>
      </c>
    </row>
    <row r="49">
      <c r="A49" s="193" t="s">
        <v>384</v>
      </c>
      <c r="B49" s="194" t="s">
        <v>329</v>
      </c>
      <c r="C49" s="195" t="s">
        <v>332</v>
      </c>
      <c r="D49" s="196">
        <v>0.0</v>
      </c>
    </row>
    <row r="50">
      <c r="A50" s="193" t="s">
        <v>385</v>
      </c>
      <c r="B50" s="194" t="s">
        <v>338</v>
      </c>
      <c r="C50" s="195" t="s">
        <v>319</v>
      </c>
      <c r="D50" s="196" t="s">
        <v>350</v>
      </c>
    </row>
    <row r="51">
      <c r="A51" s="193" t="s">
        <v>386</v>
      </c>
      <c r="B51" s="194" t="s">
        <v>355</v>
      </c>
      <c r="C51" s="195">
        <v>0.0</v>
      </c>
      <c r="D51" s="196">
        <v>0.0</v>
      </c>
    </row>
    <row r="52">
      <c r="A52" s="193" t="s">
        <v>387</v>
      </c>
      <c r="B52" s="194" t="s">
        <v>329</v>
      </c>
      <c r="C52" s="195">
        <v>0.0</v>
      </c>
      <c r="D52" s="196" t="s">
        <v>332</v>
      </c>
    </row>
    <row r="53">
      <c r="A53" s="193" t="s">
        <v>388</v>
      </c>
      <c r="B53" s="194" t="s">
        <v>331</v>
      </c>
      <c r="C53" s="195">
        <v>0.0</v>
      </c>
      <c r="D53" s="196" t="s">
        <v>350</v>
      </c>
    </row>
    <row r="54">
      <c r="A54" s="198" t="s">
        <v>389</v>
      </c>
      <c r="B54" s="199" t="s">
        <v>350</v>
      </c>
      <c r="C54" s="199">
        <v>0.0</v>
      </c>
      <c r="D54" s="199" t="s">
        <v>332</v>
      </c>
    </row>
    <row r="55">
      <c r="A55" s="193" t="s">
        <v>390</v>
      </c>
      <c r="B55" s="194" t="s">
        <v>391</v>
      </c>
      <c r="C55" s="195" t="s">
        <v>391</v>
      </c>
      <c r="D55" s="196">
        <v>0.0</v>
      </c>
    </row>
    <row r="56">
      <c r="A56" s="193" t="s">
        <v>392</v>
      </c>
      <c r="B56" s="194" t="s">
        <v>374</v>
      </c>
      <c r="C56" s="195">
        <v>0.0</v>
      </c>
      <c r="D56" s="196" t="s">
        <v>333</v>
      </c>
    </row>
    <row r="57">
      <c r="A57" s="193" t="s">
        <v>393</v>
      </c>
      <c r="B57" s="194" t="s">
        <v>350</v>
      </c>
      <c r="C57" s="195">
        <v>0.0</v>
      </c>
      <c r="D57" s="196" t="s">
        <v>319</v>
      </c>
    </row>
    <row r="58">
      <c r="A58" s="193" t="s">
        <v>394</v>
      </c>
      <c r="B58" s="194" t="s">
        <v>338</v>
      </c>
      <c r="C58" s="195" t="s">
        <v>332</v>
      </c>
      <c r="D58" s="196" t="s">
        <v>333</v>
      </c>
    </row>
    <row r="59">
      <c r="A59" s="193" t="s">
        <v>395</v>
      </c>
      <c r="B59" s="194" t="s">
        <v>391</v>
      </c>
      <c r="C59" s="195" t="s">
        <v>332</v>
      </c>
      <c r="D59" s="196" t="s">
        <v>350</v>
      </c>
    </row>
    <row r="60">
      <c r="A60" s="193" t="s">
        <v>396</v>
      </c>
      <c r="B60" s="194" t="s">
        <v>346</v>
      </c>
      <c r="C60" s="195">
        <v>0.0</v>
      </c>
      <c r="D60" s="196" t="s">
        <v>347</v>
      </c>
    </row>
    <row r="61">
      <c r="A61" s="193" t="s">
        <v>397</v>
      </c>
      <c r="B61" s="194" t="s">
        <v>350</v>
      </c>
      <c r="C61" s="195">
        <v>0.0</v>
      </c>
      <c r="D61" s="196" t="s">
        <v>332</v>
      </c>
    </row>
    <row r="62">
      <c r="A62" s="193" t="s">
        <v>398</v>
      </c>
      <c r="B62" s="194" t="s">
        <v>355</v>
      </c>
      <c r="C62" s="195">
        <v>0.0</v>
      </c>
      <c r="D62" s="196">
        <v>0.0</v>
      </c>
    </row>
    <row r="63">
      <c r="A63" s="193" t="s">
        <v>399</v>
      </c>
      <c r="B63" s="194" t="s">
        <v>329</v>
      </c>
      <c r="C63" s="195" t="s">
        <v>319</v>
      </c>
      <c r="D63" s="196">
        <v>0.0</v>
      </c>
    </row>
    <row r="64">
      <c r="A64" s="193" t="s">
        <v>400</v>
      </c>
      <c r="B64" s="194" t="s">
        <v>341</v>
      </c>
      <c r="C64" s="195">
        <v>0.0</v>
      </c>
      <c r="D64" s="196" t="s">
        <v>329</v>
      </c>
    </row>
    <row r="65">
      <c r="A65" s="193" t="s">
        <v>401</v>
      </c>
      <c r="B65" s="194" t="s">
        <v>402</v>
      </c>
      <c r="C65" s="195">
        <v>0.0</v>
      </c>
      <c r="D65" s="196" t="s">
        <v>341</v>
      </c>
    </row>
    <row r="66">
      <c r="A66" s="193" t="s">
        <v>403</v>
      </c>
      <c r="B66" s="194" t="s">
        <v>391</v>
      </c>
      <c r="C66" s="195">
        <v>0.0</v>
      </c>
      <c r="D66" s="196" t="s">
        <v>322</v>
      </c>
    </row>
    <row r="67">
      <c r="A67" s="193" t="s">
        <v>404</v>
      </c>
      <c r="B67" s="194" t="s">
        <v>405</v>
      </c>
      <c r="C67" s="195">
        <v>0.0</v>
      </c>
      <c r="D67" s="196" t="s">
        <v>350</v>
      </c>
    </row>
    <row r="68">
      <c r="A68" s="200" t="s">
        <v>78</v>
      </c>
      <c r="B68" s="201" t="s">
        <v>406</v>
      </c>
      <c r="C68" s="202" t="s">
        <v>407</v>
      </c>
      <c r="D68" s="203" t="s">
        <v>408</v>
      </c>
    </row>
    <row r="69">
      <c r="A69" s="192" t="s">
        <v>409</v>
      </c>
      <c r="B69" s="86"/>
      <c r="C69" s="86"/>
      <c r="D69" s="35"/>
    </row>
    <row r="70">
      <c r="A70" s="204" t="s">
        <v>410</v>
      </c>
      <c r="B70" s="205" t="s">
        <v>319</v>
      </c>
      <c r="C70" s="206" t="s">
        <v>332</v>
      </c>
      <c r="D70" s="207" t="s">
        <v>332</v>
      </c>
    </row>
    <row r="71">
      <c r="A71" s="204" t="s">
        <v>411</v>
      </c>
      <c r="B71" s="205" t="s">
        <v>355</v>
      </c>
      <c r="C71" s="206">
        <v>0.0</v>
      </c>
      <c r="D71" s="207" t="s">
        <v>332</v>
      </c>
    </row>
    <row r="72">
      <c r="A72" s="204" t="s">
        <v>412</v>
      </c>
      <c r="B72" s="205" t="s">
        <v>319</v>
      </c>
      <c r="C72" s="206" t="s">
        <v>319</v>
      </c>
      <c r="D72" s="207">
        <v>0.0</v>
      </c>
    </row>
    <row r="73">
      <c r="A73" s="193" t="s">
        <v>413</v>
      </c>
      <c r="B73" s="194" t="s">
        <v>355</v>
      </c>
      <c r="C73" s="195">
        <v>0.0</v>
      </c>
      <c r="D73" s="196">
        <v>0.0</v>
      </c>
    </row>
    <row r="74">
      <c r="A74" s="193" t="s">
        <v>414</v>
      </c>
      <c r="B74" s="194" t="s">
        <v>333</v>
      </c>
      <c r="C74" s="195">
        <v>0.0</v>
      </c>
      <c r="D74" s="196" t="s">
        <v>319</v>
      </c>
    </row>
    <row r="75">
      <c r="A75" s="193" t="s">
        <v>415</v>
      </c>
      <c r="B75" s="194" t="s">
        <v>319</v>
      </c>
      <c r="C75" s="195">
        <v>0.0</v>
      </c>
      <c r="D75" s="196" t="s">
        <v>332</v>
      </c>
    </row>
    <row r="76">
      <c r="A76" s="193" t="s">
        <v>416</v>
      </c>
      <c r="B76" s="194" t="s">
        <v>355</v>
      </c>
      <c r="C76" s="195">
        <v>0.0</v>
      </c>
      <c r="D76" s="196" t="s">
        <v>332</v>
      </c>
    </row>
    <row r="77">
      <c r="A77" s="193" t="s">
        <v>417</v>
      </c>
      <c r="B77" s="194" t="s">
        <v>350</v>
      </c>
      <c r="C77" s="195">
        <v>0.0</v>
      </c>
      <c r="D77" s="208" t="s">
        <v>319</v>
      </c>
    </row>
    <row r="78">
      <c r="A78" s="209" t="s">
        <v>418</v>
      </c>
      <c r="B78" s="194" t="s">
        <v>358</v>
      </c>
      <c r="C78" s="195">
        <v>0.0</v>
      </c>
      <c r="D78" s="196" t="s">
        <v>329</v>
      </c>
    </row>
    <row r="79">
      <c r="A79" s="193" t="s">
        <v>419</v>
      </c>
      <c r="B79" s="194" t="s">
        <v>325</v>
      </c>
      <c r="C79" s="195" t="s">
        <v>332</v>
      </c>
      <c r="D79" s="196" t="s">
        <v>319</v>
      </c>
    </row>
    <row r="80">
      <c r="A80" s="193" t="s">
        <v>420</v>
      </c>
      <c r="B80" s="194" t="s">
        <v>322</v>
      </c>
      <c r="C80" s="195">
        <v>0.0</v>
      </c>
      <c r="D80" s="196" t="s">
        <v>332</v>
      </c>
    </row>
    <row r="81">
      <c r="A81" s="193" t="s">
        <v>421</v>
      </c>
      <c r="B81" s="194" t="s">
        <v>329</v>
      </c>
      <c r="C81" s="195">
        <v>0.0</v>
      </c>
      <c r="D81" s="196" t="s">
        <v>332</v>
      </c>
    </row>
    <row r="82">
      <c r="A82" s="193" t="s">
        <v>422</v>
      </c>
      <c r="B82" s="194" t="s">
        <v>322</v>
      </c>
      <c r="C82" s="195">
        <v>0.0</v>
      </c>
      <c r="D82" s="196" t="s">
        <v>332</v>
      </c>
    </row>
    <row r="83">
      <c r="A83" s="193" t="s">
        <v>423</v>
      </c>
      <c r="B83" s="194" t="s">
        <v>319</v>
      </c>
      <c r="C83" s="195">
        <v>0.0</v>
      </c>
      <c r="D83" s="196" t="s">
        <v>332</v>
      </c>
    </row>
    <row r="84">
      <c r="A84" s="193" t="s">
        <v>424</v>
      </c>
      <c r="B84" s="194" t="s">
        <v>355</v>
      </c>
      <c r="C84" s="195">
        <v>0.0</v>
      </c>
      <c r="D84" s="196">
        <v>0.0</v>
      </c>
    </row>
    <row r="85">
      <c r="A85" s="193" t="s">
        <v>425</v>
      </c>
      <c r="B85" s="194" t="s">
        <v>341</v>
      </c>
      <c r="C85" s="195" t="s">
        <v>332</v>
      </c>
      <c r="D85" s="196" t="s">
        <v>329</v>
      </c>
    </row>
    <row r="86">
      <c r="A86" s="209" t="s">
        <v>426</v>
      </c>
      <c r="B86" s="194" t="s">
        <v>350</v>
      </c>
      <c r="C86" s="195">
        <v>0.0</v>
      </c>
      <c r="D86" s="196" t="s">
        <v>329</v>
      </c>
    </row>
    <row r="87">
      <c r="A87" s="209" t="s">
        <v>427</v>
      </c>
      <c r="B87" s="194" t="s">
        <v>322</v>
      </c>
      <c r="C87" s="195">
        <v>0.0</v>
      </c>
      <c r="D87" s="196" t="s">
        <v>332</v>
      </c>
    </row>
    <row r="88">
      <c r="A88" s="200" t="s">
        <v>78</v>
      </c>
      <c r="B88" s="201" t="s">
        <v>428</v>
      </c>
      <c r="C88" s="202" t="s">
        <v>329</v>
      </c>
      <c r="D88" s="203" t="s">
        <v>338</v>
      </c>
    </row>
    <row r="89">
      <c r="A89" s="210" t="s">
        <v>429</v>
      </c>
      <c r="B89" s="86"/>
      <c r="C89" s="86"/>
      <c r="D89" s="35"/>
    </row>
  </sheetData>
  <mergeCells count="4">
    <mergeCell ref="A1:D1"/>
    <mergeCell ref="A4:D4"/>
    <mergeCell ref="A69:D69"/>
    <mergeCell ref="A89:D89"/>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1" t="s">
        <v>430</v>
      </c>
      <c r="B1" s="86"/>
      <c r="C1" s="86"/>
      <c r="D1" s="86"/>
      <c r="E1" s="86"/>
      <c r="F1" s="35"/>
      <c r="G1" s="212"/>
      <c r="H1" s="212"/>
      <c r="I1" s="212"/>
      <c r="J1" s="212"/>
      <c r="K1" s="212"/>
      <c r="L1" s="212"/>
      <c r="M1" s="212"/>
      <c r="N1" s="212"/>
      <c r="O1" s="212"/>
      <c r="P1" s="212"/>
      <c r="Q1" s="212"/>
      <c r="R1" s="212"/>
      <c r="S1" s="212"/>
      <c r="T1" s="212"/>
      <c r="U1" s="212"/>
      <c r="V1" s="212"/>
      <c r="W1" s="212"/>
      <c r="X1" s="212"/>
      <c r="Y1" s="212"/>
      <c r="Z1" s="212"/>
    </row>
    <row r="2">
      <c r="A2" s="213" t="s">
        <v>431</v>
      </c>
      <c r="B2" s="86"/>
      <c r="C2" s="86"/>
      <c r="D2" s="86"/>
      <c r="E2" s="86"/>
      <c r="F2" s="35"/>
    </row>
    <row r="3">
      <c r="A3" s="214" t="s">
        <v>432</v>
      </c>
      <c r="B3" s="86"/>
      <c r="C3" s="86"/>
      <c r="D3" s="86"/>
      <c r="E3" s="86"/>
      <c r="F3" s="35"/>
      <c r="G3" s="215"/>
      <c r="H3" s="215"/>
      <c r="I3" s="215"/>
      <c r="J3" s="215"/>
      <c r="K3" s="215"/>
      <c r="L3" s="215"/>
      <c r="M3" s="215"/>
      <c r="N3" s="215"/>
      <c r="O3" s="215"/>
      <c r="P3" s="215"/>
      <c r="Q3" s="215"/>
      <c r="R3" s="215"/>
      <c r="S3" s="215"/>
      <c r="T3" s="215"/>
      <c r="U3" s="215"/>
      <c r="V3" s="215"/>
      <c r="W3" s="215"/>
      <c r="X3" s="215"/>
      <c r="Y3" s="215"/>
      <c r="Z3" s="216"/>
    </row>
    <row r="4">
      <c r="A4" s="217" t="s">
        <v>433</v>
      </c>
      <c r="B4" s="218" t="s">
        <v>434</v>
      </c>
      <c r="C4" s="219" t="s">
        <v>435</v>
      </c>
      <c r="D4" s="219" t="s">
        <v>436</v>
      </c>
      <c r="E4" s="220" t="s">
        <v>437</v>
      </c>
      <c r="F4" s="220" t="s">
        <v>438</v>
      </c>
      <c r="G4" s="221"/>
      <c r="H4" s="221"/>
      <c r="I4" s="221"/>
      <c r="J4" s="221"/>
      <c r="K4" s="221"/>
      <c r="L4" s="221"/>
      <c r="M4" s="221"/>
      <c r="N4" s="221"/>
      <c r="O4" s="221"/>
      <c r="P4" s="221"/>
      <c r="Q4" s="221"/>
      <c r="R4" s="221"/>
      <c r="S4" s="221"/>
      <c r="T4" s="221"/>
      <c r="U4" s="221"/>
      <c r="V4" s="221"/>
      <c r="W4" s="221"/>
      <c r="X4" s="221"/>
      <c r="Y4" s="221"/>
      <c r="Z4" s="221"/>
    </row>
    <row r="5">
      <c r="A5" s="222" t="s">
        <v>439</v>
      </c>
      <c r="B5" s="223"/>
      <c r="C5" s="223"/>
      <c r="D5" s="223"/>
      <c r="E5" s="223"/>
      <c r="F5" s="224"/>
      <c r="G5" s="221"/>
      <c r="H5" s="221"/>
      <c r="I5" s="221"/>
      <c r="J5" s="221"/>
      <c r="K5" s="221"/>
      <c r="L5" s="221"/>
      <c r="M5" s="221"/>
      <c r="N5" s="221"/>
      <c r="O5" s="221"/>
      <c r="P5" s="221"/>
      <c r="Q5" s="221"/>
      <c r="R5" s="221"/>
      <c r="S5" s="221"/>
      <c r="T5" s="221"/>
      <c r="U5" s="221"/>
      <c r="V5" s="221"/>
      <c r="W5" s="221"/>
      <c r="X5" s="221"/>
      <c r="Y5" s="221"/>
      <c r="Z5" s="221"/>
    </row>
    <row r="6">
      <c r="A6" s="225" t="s">
        <v>440</v>
      </c>
      <c r="B6" s="226" t="s">
        <v>441</v>
      </c>
      <c r="C6" s="227">
        <v>0.0</v>
      </c>
      <c r="D6" s="227">
        <v>0.0</v>
      </c>
      <c r="E6" s="227">
        <v>0.0</v>
      </c>
      <c r="F6" s="227" t="s">
        <v>332</v>
      </c>
      <c r="G6" s="221"/>
      <c r="H6" s="221"/>
      <c r="I6" s="221"/>
      <c r="J6" s="221"/>
      <c r="K6" s="221"/>
      <c r="L6" s="221"/>
      <c r="M6" s="221"/>
      <c r="N6" s="221"/>
      <c r="O6" s="221"/>
      <c r="P6" s="221"/>
      <c r="Q6" s="221"/>
      <c r="R6" s="221"/>
      <c r="S6" s="221"/>
      <c r="T6" s="221"/>
      <c r="U6" s="221"/>
      <c r="V6" s="221"/>
      <c r="W6" s="221"/>
      <c r="X6" s="221"/>
      <c r="Y6" s="221"/>
      <c r="Z6" s="221"/>
    </row>
    <row r="7">
      <c r="A7" s="225" t="s">
        <v>442</v>
      </c>
      <c r="B7" s="226" t="s">
        <v>441</v>
      </c>
      <c r="C7" s="227">
        <v>0.0</v>
      </c>
      <c r="D7" s="227" t="s">
        <v>332</v>
      </c>
      <c r="E7" s="227">
        <v>0.0</v>
      </c>
      <c r="F7" s="227">
        <v>0.0</v>
      </c>
      <c r="G7" s="221"/>
      <c r="H7" s="221"/>
      <c r="I7" s="221"/>
      <c r="J7" s="221"/>
      <c r="K7" s="221"/>
      <c r="L7" s="221"/>
      <c r="M7" s="221"/>
      <c r="N7" s="221"/>
      <c r="O7" s="221"/>
      <c r="P7" s="221"/>
      <c r="Q7" s="221"/>
      <c r="R7" s="221"/>
      <c r="S7" s="221"/>
      <c r="T7" s="221"/>
      <c r="U7" s="221"/>
      <c r="V7" s="221"/>
      <c r="W7" s="221"/>
      <c r="X7" s="221"/>
      <c r="Y7" s="221"/>
      <c r="Z7" s="221"/>
    </row>
    <row r="8">
      <c r="A8" s="225" t="s">
        <v>443</v>
      </c>
      <c r="B8" s="226" t="s">
        <v>441</v>
      </c>
      <c r="C8" s="227" t="s">
        <v>332</v>
      </c>
      <c r="D8" s="227" t="s">
        <v>319</v>
      </c>
      <c r="E8" s="227" t="s">
        <v>332</v>
      </c>
      <c r="F8" s="227" t="s">
        <v>332</v>
      </c>
      <c r="G8" s="221"/>
      <c r="H8" s="221"/>
      <c r="I8" s="221"/>
      <c r="J8" s="221"/>
      <c r="K8" s="221"/>
      <c r="L8" s="221"/>
      <c r="M8" s="221"/>
      <c r="N8" s="221"/>
      <c r="O8" s="221"/>
      <c r="P8" s="221"/>
      <c r="Q8" s="221"/>
      <c r="R8" s="221"/>
      <c r="S8" s="221"/>
      <c r="T8" s="221"/>
      <c r="U8" s="221"/>
      <c r="V8" s="221"/>
      <c r="W8" s="221"/>
      <c r="X8" s="221"/>
      <c r="Y8" s="221"/>
      <c r="Z8" s="221"/>
    </row>
    <row r="9">
      <c r="A9" s="225" t="s">
        <v>444</v>
      </c>
      <c r="B9" s="226" t="s">
        <v>131</v>
      </c>
      <c r="C9" s="227">
        <v>0.0</v>
      </c>
      <c r="D9" s="227" t="s">
        <v>332</v>
      </c>
      <c r="E9" s="227">
        <v>0.0</v>
      </c>
      <c r="F9" s="227">
        <v>0.0</v>
      </c>
      <c r="G9" s="221"/>
      <c r="H9" s="221"/>
      <c r="I9" s="221"/>
      <c r="J9" s="221"/>
      <c r="K9" s="221"/>
      <c r="L9" s="221"/>
      <c r="M9" s="221"/>
      <c r="N9" s="221"/>
      <c r="O9" s="221"/>
      <c r="P9" s="221"/>
      <c r="Q9" s="221"/>
      <c r="R9" s="221"/>
      <c r="S9" s="221"/>
      <c r="T9" s="221"/>
      <c r="U9" s="221"/>
      <c r="V9" s="221"/>
      <c r="W9" s="221"/>
      <c r="X9" s="221"/>
      <c r="Y9" s="221"/>
      <c r="Z9" s="221"/>
    </row>
    <row r="10">
      <c r="A10" s="225" t="s">
        <v>445</v>
      </c>
      <c r="B10" s="226" t="s">
        <v>131</v>
      </c>
      <c r="C10" s="227">
        <v>0.0</v>
      </c>
      <c r="D10" s="227" t="s">
        <v>332</v>
      </c>
      <c r="E10" s="227" t="s">
        <v>332</v>
      </c>
      <c r="F10" s="227" t="s">
        <v>332</v>
      </c>
      <c r="G10" s="221"/>
      <c r="H10" s="221"/>
      <c r="I10" s="221"/>
      <c r="J10" s="221"/>
      <c r="K10" s="221"/>
      <c r="L10" s="221"/>
      <c r="M10" s="221"/>
      <c r="N10" s="221"/>
      <c r="O10" s="221"/>
      <c r="P10" s="221"/>
      <c r="Q10" s="221"/>
      <c r="R10" s="221"/>
      <c r="S10" s="221"/>
      <c r="T10" s="221"/>
      <c r="U10" s="221"/>
      <c r="V10" s="221"/>
      <c r="W10" s="221"/>
      <c r="X10" s="221"/>
      <c r="Y10" s="221"/>
      <c r="Z10" s="221"/>
    </row>
    <row r="11">
      <c r="A11" s="225" t="s">
        <v>446</v>
      </c>
      <c r="B11" s="226" t="s">
        <v>131</v>
      </c>
      <c r="C11" s="227" t="s">
        <v>332</v>
      </c>
      <c r="D11" s="227" t="s">
        <v>332</v>
      </c>
      <c r="E11" s="227" t="s">
        <v>332</v>
      </c>
      <c r="F11" s="227" t="s">
        <v>332</v>
      </c>
      <c r="G11" s="221"/>
      <c r="H11" s="221"/>
      <c r="I11" s="221"/>
      <c r="J11" s="221"/>
      <c r="K11" s="221"/>
      <c r="L11" s="221"/>
      <c r="M11" s="221"/>
      <c r="N11" s="221"/>
      <c r="O11" s="221"/>
      <c r="P11" s="221"/>
      <c r="Q11" s="221"/>
      <c r="R11" s="221"/>
      <c r="S11" s="221"/>
      <c r="T11" s="221"/>
      <c r="U11" s="221"/>
      <c r="V11" s="221"/>
      <c r="W11" s="221"/>
      <c r="X11" s="221"/>
      <c r="Y11" s="221"/>
      <c r="Z11" s="221"/>
    </row>
    <row r="12">
      <c r="A12" s="225" t="s">
        <v>447</v>
      </c>
      <c r="B12" s="226" t="s">
        <v>131</v>
      </c>
      <c r="C12" s="227">
        <v>0.0</v>
      </c>
      <c r="D12" s="227" t="s">
        <v>332</v>
      </c>
      <c r="E12" s="227">
        <v>0.0</v>
      </c>
      <c r="F12" s="227" t="s">
        <v>332</v>
      </c>
      <c r="G12" s="221"/>
      <c r="H12" s="221"/>
      <c r="I12" s="221"/>
      <c r="J12" s="221"/>
      <c r="K12" s="221"/>
      <c r="L12" s="221"/>
      <c r="M12" s="221"/>
      <c r="N12" s="221"/>
      <c r="O12" s="221"/>
      <c r="P12" s="221"/>
      <c r="Q12" s="221"/>
      <c r="R12" s="221"/>
      <c r="S12" s="221"/>
      <c r="T12" s="221"/>
      <c r="U12" s="221"/>
      <c r="V12" s="221"/>
      <c r="W12" s="221"/>
      <c r="X12" s="221"/>
      <c r="Y12" s="221"/>
      <c r="Z12" s="221"/>
    </row>
    <row r="13">
      <c r="A13" s="225" t="s">
        <v>448</v>
      </c>
      <c r="B13" s="226" t="s">
        <v>131</v>
      </c>
      <c r="C13" s="227">
        <v>0.0</v>
      </c>
      <c r="D13" s="227">
        <v>0.0</v>
      </c>
      <c r="E13" s="227" t="s">
        <v>332</v>
      </c>
      <c r="F13" s="227" t="s">
        <v>332</v>
      </c>
      <c r="G13" s="221"/>
      <c r="H13" s="221"/>
      <c r="I13" s="221"/>
      <c r="J13" s="221"/>
      <c r="K13" s="221"/>
      <c r="L13" s="221"/>
      <c r="M13" s="221"/>
      <c r="N13" s="221"/>
      <c r="O13" s="221"/>
      <c r="P13" s="221"/>
      <c r="Q13" s="221"/>
      <c r="R13" s="221"/>
      <c r="S13" s="221"/>
      <c r="T13" s="221"/>
      <c r="U13" s="221"/>
      <c r="V13" s="221"/>
      <c r="W13" s="221"/>
      <c r="X13" s="221"/>
      <c r="Y13" s="221"/>
      <c r="Z13" s="221"/>
    </row>
    <row r="14">
      <c r="A14" s="225" t="s">
        <v>449</v>
      </c>
      <c r="B14" s="226" t="s">
        <v>450</v>
      </c>
      <c r="C14" s="227">
        <v>0.0</v>
      </c>
      <c r="D14" s="227">
        <v>0.0</v>
      </c>
      <c r="E14" s="227">
        <v>0.0</v>
      </c>
      <c r="F14" s="227" t="s">
        <v>332</v>
      </c>
      <c r="G14" s="221"/>
      <c r="H14" s="221"/>
      <c r="I14" s="221"/>
      <c r="J14" s="221"/>
      <c r="K14" s="221"/>
      <c r="L14" s="221"/>
      <c r="M14" s="221"/>
      <c r="N14" s="221"/>
      <c r="O14" s="221"/>
      <c r="P14" s="221"/>
      <c r="Q14" s="221"/>
      <c r="R14" s="221"/>
      <c r="S14" s="221"/>
      <c r="T14" s="221"/>
      <c r="U14" s="221"/>
      <c r="V14" s="221"/>
      <c r="W14" s="221"/>
      <c r="X14" s="221"/>
      <c r="Y14" s="221"/>
      <c r="Z14" s="221"/>
    </row>
    <row r="15">
      <c r="A15" s="225" t="s">
        <v>451</v>
      </c>
      <c r="B15" s="226" t="s">
        <v>452</v>
      </c>
      <c r="C15" s="227">
        <v>0.0</v>
      </c>
      <c r="D15" s="227" t="s">
        <v>332</v>
      </c>
      <c r="E15" s="227">
        <v>0.0</v>
      </c>
      <c r="F15" s="227">
        <v>0.0</v>
      </c>
      <c r="G15" s="221"/>
      <c r="H15" s="221"/>
      <c r="I15" s="221"/>
      <c r="J15" s="221"/>
      <c r="K15" s="221"/>
      <c r="L15" s="221"/>
      <c r="M15" s="221"/>
      <c r="N15" s="221"/>
      <c r="O15" s="221"/>
      <c r="P15" s="221"/>
      <c r="Q15" s="221"/>
      <c r="R15" s="221"/>
      <c r="S15" s="221"/>
      <c r="T15" s="221"/>
      <c r="U15" s="221"/>
      <c r="V15" s="221"/>
      <c r="W15" s="221"/>
      <c r="X15" s="221"/>
      <c r="Y15" s="221"/>
      <c r="Z15" s="221"/>
    </row>
    <row r="16">
      <c r="A16" s="225" t="s">
        <v>453</v>
      </c>
      <c r="B16" s="226" t="s">
        <v>454</v>
      </c>
      <c r="C16" s="227">
        <v>0.0</v>
      </c>
      <c r="D16" s="227" t="s">
        <v>332</v>
      </c>
      <c r="E16" s="227">
        <v>0.0</v>
      </c>
      <c r="F16" s="227">
        <v>0.0</v>
      </c>
      <c r="G16" s="221"/>
      <c r="H16" s="221"/>
      <c r="I16" s="221"/>
      <c r="J16" s="221"/>
      <c r="K16" s="221"/>
      <c r="L16" s="221"/>
      <c r="M16" s="221"/>
      <c r="N16" s="221"/>
      <c r="O16" s="221"/>
      <c r="P16" s="221"/>
      <c r="Q16" s="221"/>
      <c r="R16" s="221"/>
      <c r="S16" s="221"/>
      <c r="T16" s="221"/>
      <c r="U16" s="221"/>
      <c r="V16" s="221"/>
      <c r="W16" s="221"/>
      <c r="X16" s="221"/>
      <c r="Y16" s="221"/>
      <c r="Z16" s="221"/>
    </row>
    <row r="17">
      <c r="A17" s="225" t="s">
        <v>455</v>
      </c>
      <c r="B17" s="226" t="s">
        <v>454</v>
      </c>
      <c r="C17" s="227">
        <v>0.0</v>
      </c>
      <c r="D17" s="227" t="s">
        <v>332</v>
      </c>
      <c r="E17" s="227">
        <v>0.0</v>
      </c>
      <c r="F17" s="227" t="s">
        <v>332</v>
      </c>
      <c r="G17" s="221"/>
      <c r="H17" s="221"/>
      <c r="I17" s="221"/>
      <c r="J17" s="221"/>
      <c r="K17" s="221"/>
      <c r="L17" s="221"/>
      <c r="M17" s="221"/>
      <c r="N17" s="221"/>
      <c r="O17" s="221"/>
      <c r="P17" s="221"/>
      <c r="Q17" s="221"/>
      <c r="R17" s="221"/>
      <c r="S17" s="221"/>
      <c r="T17" s="221"/>
      <c r="U17" s="221"/>
      <c r="V17" s="221"/>
      <c r="W17" s="221"/>
      <c r="X17" s="221"/>
      <c r="Y17" s="221"/>
      <c r="Z17" s="221"/>
    </row>
    <row r="18">
      <c r="A18" s="225" t="s">
        <v>456</v>
      </c>
      <c r="B18" s="226" t="s">
        <v>454</v>
      </c>
      <c r="C18" s="227">
        <v>0.0</v>
      </c>
      <c r="D18" s="227" t="s">
        <v>332</v>
      </c>
      <c r="E18" s="227">
        <v>0.0</v>
      </c>
      <c r="F18" s="227" t="s">
        <v>332</v>
      </c>
      <c r="G18" s="221"/>
      <c r="H18" s="221"/>
      <c r="I18" s="221"/>
      <c r="J18" s="221"/>
      <c r="K18" s="221"/>
      <c r="L18" s="221"/>
      <c r="M18" s="221"/>
      <c r="N18" s="221"/>
      <c r="O18" s="221"/>
      <c r="P18" s="221"/>
      <c r="Q18" s="221"/>
      <c r="R18" s="221"/>
      <c r="S18" s="221"/>
      <c r="T18" s="221"/>
      <c r="U18" s="221"/>
      <c r="V18" s="221"/>
      <c r="W18" s="221"/>
      <c r="X18" s="221"/>
      <c r="Y18" s="221"/>
      <c r="Z18" s="221"/>
    </row>
    <row r="19">
      <c r="A19" s="225" t="s">
        <v>457</v>
      </c>
      <c r="B19" s="226" t="s">
        <v>454</v>
      </c>
      <c r="C19" s="227">
        <v>0.0</v>
      </c>
      <c r="D19" s="227" t="s">
        <v>332</v>
      </c>
      <c r="E19" s="227">
        <v>0.0</v>
      </c>
      <c r="F19" s="227" t="s">
        <v>332</v>
      </c>
      <c r="G19" s="221"/>
      <c r="H19" s="221"/>
      <c r="I19" s="221"/>
      <c r="J19" s="221"/>
      <c r="K19" s="221"/>
      <c r="L19" s="221"/>
      <c r="M19" s="221"/>
      <c r="N19" s="221"/>
      <c r="O19" s="221"/>
      <c r="P19" s="221"/>
      <c r="Q19" s="221"/>
      <c r="R19" s="221"/>
      <c r="S19" s="221"/>
      <c r="T19" s="221"/>
      <c r="U19" s="221"/>
      <c r="V19" s="221"/>
      <c r="W19" s="221"/>
      <c r="X19" s="221"/>
      <c r="Y19" s="221"/>
      <c r="Z19" s="221"/>
    </row>
    <row r="20">
      <c r="A20" s="225" t="s">
        <v>458</v>
      </c>
      <c r="B20" s="226" t="s">
        <v>459</v>
      </c>
      <c r="C20" s="227">
        <v>0.0</v>
      </c>
      <c r="D20" s="227">
        <v>0.0</v>
      </c>
      <c r="E20" s="227">
        <v>0.0</v>
      </c>
      <c r="F20" s="227" t="s">
        <v>332</v>
      </c>
      <c r="G20" s="221"/>
      <c r="H20" s="221"/>
      <c r="I20" s="221"/>
      <c r="J20" s="221"/>
      <c r="K20" s="221"/>
      <c r="L20" s="221"/>
      <c r="M20" s="221"/>
      <c r="N20" s="221"/>
      <c r="O20" s="221"/>
      <c r="P20" s="221"/>
      <c r="Q20" s="221"/>
      <c r="R20" s="221"/>
      <c r="S20" s="221"/>
      <c r="T20" s="221"/>
      <c r="U20" s="221"/>
      <c r="V20" s="221"/>
      <c r="W20" s="221"/>
      <c r="X20" s="221"/>
      <c r="Y20" s="221"/>
      <c r="Z20" s="221"/>
    </row>
    <row r="21">
      <c r="A21" s="225" t="s">
        <v>460</v>
      </c>
      <c r="B21" s="226" t="s">
        <v>459</v>
      </c>
      <c r="C21" s="227">
        <v>0.0</v>
      </c>
      <c r="D21" s="227" t="s">
        <v>332</v>
      </c>
      <c r="E21" s="227">
        <v>0.0</v>
      </c>
      <c r="F21" s="227" t="s">
        <v>332</v>
      </c>
      <c r="G21" s="221"/>
      <c r="H21" s="221"/>
      <c r="I21" s="221"/>
      <c r="J21" s="221"/>
      <c r="K21" s="221"/>
      <c r="L21" s="221"/>
      <c r="M21" s="221"/>
      <c r="N21" s="221"/>
      <c r="O21" s="221"/>
      <c r="P21" s="221"/>
      <c r="Q21" s="221"/>
      <c r="R21" s="221"/>
      <c r="S21" s="221"/>
      <c r="T21" s="221"/>
      <c r="U21" s="221"/>
      <c r="V21" s="221"/>
      <c r="W21" s="221"/>
      <c r="X21" s="221"/>
      <c r="Y21" s="221"/>
      <c r="Z21" s="221"/>
    </row>
    <row r="22">
      <c r="A22" s="225" t="s">
        <v>461</v>
      </c>
      <c r="B22" s="226" t="s">
        <v>459</v>
      </c>
      <c r="C22" s="227">
        <v>0.0</v>
      </c>
      <c r="D22" s="227" t="s">
        <v>332</v>
      </c>
      <c r="E22" s="227" t="s">
        <v>332</v>
      </c>
      <c r="F22" s="227" t="s">
        <v>332</v>
      </c>
      <c r="G22" s="221"/>
      <c r="H22" s="221"/>
      <c r="I22" s="221"/>
      <c r="J22" s="221"/>
      <c r="K22" s="221"/>
      <c r="L22" s="221"/>
      <c r="M22" s="221"/>
      <c r="N22" s="221"/>
      <c r="O22" s="221"/>
      <c r="P22" s="221"/>
      <c r="Q22" s="221"/>
      <c r="R22" s="221"/>
      <c r="S22" s="221"/>
      <c r="T22" s="221"/>
      <c r="U22" s="221"/>
      <c r="V22" s="221"/>
      <c r="W22" s="221"/>
      <c r="X22" s="221"/>
      <c r="Y22" s="221"/>
      <c r="Z22" s="221"/>
    </row>
    <row r="23">
      <c r="A23" s="225" t="s">
        <v>462</v>
      </c>
      <c r="B23" s="226" t="s">
        <v>459</v>
      </c>
      <c r="C23" s="227" t="s">
        <v>332</v>
      </c>
      <c r="D23" s="227" t="s">
        <v>332</v>
      </c>
      <c r="E23" s="227">
        <v>0.0</v>
      </c>
      <c r="F23" s="227" t="s">
        <v>332</v>
      </c>
      <c r="G23" s="221"/>
      <c r="H23" s="221"/>
      <c r="I23" s="221"/>
      <c r="J23" s="221"/>
      <c r="K23" s="221"/>
      <c r="L23" s="221"/>
      <c r="M23" s="221"/>
      <c r="N23" s="221"/>
      <c r="O23" s="221"/>
      <c r="P23" s="221"/>
      <c r="Q23" s="221"/>
      <c r="R23" s="221"/>
      <c r="S23" s="221"/>
      <c r="T23" s="221"/>
      <c r="U23" s="221"/>
      <c r="V23" s="221"/>
      <c r="W23" s="221"/>
      <c r="X23" s="221"/>
      <c r="Y23" s="221"/>
      <c r="Z23" s="221"/>
    </row>
    <row r="24">
      <c r="A24" s="225" t="s">
        <v>463</v>
      </c>
      <c r="B24" s="226" t="s">
        <v>459</v>
      </c>
      <c r="C24" s="227">
        <v>0.0</v>
      </c>
      <c r="D24" s="227" t="s">
        <v>319</v>
      </c>
      <c r="E24" s="227">
        <v>0.0</v>
      </c>
      <c r="F24" s="227">
        <v>0.0</v>
      </c>
      <c r="G24" s="221"/>
      <c r="H24" s="221"/>
      <c r="I24" s="221"/>
      <c r="J24" s="221"/>
      <c r="K24" s="221"/>
      <c r="L24" s="221"/>
      <c r="M24" s="221"/>
      <c r="N24" s="221"/>
      <c r="O24" s="221"/>
      <c r="P24" s="221"/>
      <c r="Q24" s="221"/>
      <c r="R24" s="221"/>
      <c r="S24" s="221"/>
      <c r="T24" s="221"/>
      <c r="U24" s="221"/>
      <c r="V24" s="221"/>
      <c r="W24" s="221"/>
      <c r="X24" s="221"/>
      <c r="Y24" s="221"/>
      <c r="Z24" s="221"/>
    </row>
    <row r="25">
      <c r="A25" s="225" t="s">
        <v>464</v>
      </c>
      <c r="B25" s="226" t="s">
        <v>133</v>
      </c>
      <c r="C25" s="227">
        <v>0.0</v>
      </c>
      <c r="D25" s="227" t="s">
        <v>332</v>
      </c>
      <c r="E25" s="227">
        <v>0.0</v>
      </c>
      <c r="F25" s="227">
        <v>0.0</v>
      </c>
      <c r="G25" s="221"/>
      <c r="H25" s="221"/>
      <c r="I25" s="221"/>
      <c r="J25" s="221"/>
      <c r="K25" s="221"/>
      <c r="L25" s="221"/>
      <c r="M25" s="221"/>
      <c r="N25" s="221"/>
      <c r="O25" s="221"/>
      <c r="P25" s="221"/>
      <c r="Q25" s="221"/>
      <c r="R25" s="221"/>
      <c r="S25" s="221"/>
      <c r="T25" s="221"/>
      <c r="U25" s="221"/>
      <c r="V25" s="221"/>
      <c r="W25" s="221"/>
      <c r="X25" s="221"/>
      <c r="Y25" s="221"/>
      <c r="Z25" s="221"/>
    </row>
    <row r="26">
      <c r="A26" s="225" t="s">
        <v>465</v>
      </c>
      <c r="B26" s="226" t="s">
        <v>133</v>
      </c>
      <c r="C26" s="227">
        <v>0.0</v>
      </c>
      <c r="D26" s="227" t="s">
        <v>332</v>
      </c>
      <c r="E26" s="227">
        <v>0.0</v>
      </c>
      <c r="F26" s="227">
        <v>0.0</v>
      </c>
      <c r="G26" s="221"/>
      <c r="H26" s="221"/>
      <c r="I26" s="221"/>
      <c r="J26" s="221"/>
      <c r="K26" s="221"/>
      <c r="L26" s="221"/>
      <c r="M26" s="221"/>
      <c r="N26" s="221"/>
      <c r="O26" s="221"/>
      <c r="P26" s="221"/>
      <c r="Q26" s="221"/>
      <c r="R26" s="221"/>
      <c r="S26" s="221"/>
      <c r="T26" s="221"/>
      <c r="U26" s="221"/>
      <c r="V26" s="221"/>
      <c r="W26" s="221"/>
      <c r="X26" s="221"/>
      <c r="Y26" s="221"/>
      <c r="Z26" s="221"/>
    </row>
    <row r="27">
      <c r="A27" s="225" t="s">
        <v>466</v>
      </c>
      <c r="B27" s="226" t="s">
        <v>133</v>
      </c>
      <c r="C27" s="227">
        <v>0.0</v>
      </c>
      <c r="D27" s="227" t="s">
        <v>332</v>
      </c>
      <c r="E27" s="227" t="s">
        <v>332</v>
      </c>
      <c r="F27" s="227" t="s">
        <v>332</v>
      </c>
      <c r="G27" s="221"/>
      <c r="H27" s="221"/>
      <c r="I27" s="221"/>
      <c r="J27" s="221"/>
      <c r="K27" s="221"/>
      <c r="L27" s="221"/>
      <c r="M27" s="221"/>
      <c r="N27" s="221"/>
      <c r="O27" s="221"/>
      <c r="P27" s="221"/>
      <c r="Q27" s="221"/>
      <c r="R27" s="221"/>
      <c r="S27" s="221"/>
      <c r="T27" s="221"/>
      <c r="U27" s="221"/>
      <c r="V27" s="221"/>
      <c r="W27" s="221"/>
      <c r="X27" s="221"/>
      <c r="Y27" s="221"/>
      <c r="Z27" s="221"/>
    </row>
    <row r="28">
      <c r="A28" s="225" t="s">
        <v>467</v>
      </c>
      <c r="B28" s="226" t="s">
        <v>133</v>
      </c>
      <c r="C28" s="227">
        <v>0.0</v>
      </c>
      <c r="D28" s="227" t="s">
        <v>332</v>
      </c>
      <c r="E28" s="227">
        <v>0.0</v>
      </c>
      <c r="F28" s="227" t="s">
        <v>332</v>
      </c>
      <c r="G28" s="221"/>
      <c r="H28" s="221"/>
      <c r="I28" s="221"/>
      <c r="J28" s="221"/>
      <c r="K28" s="221"/>
      <c r="L28" s="221"/>
      <c r="M28" s="221"/>
      <c r="N28" s="221"/>
      <c r="O28" s="221"/>
      <c r="P28" s="221"/>
      <c r="Q28" s="221"/>
      <c r="R28" s="221"/>
      <c r="S28" s="221"/>
      <c r="T28" s="221"/>
      <c r="U28" s="221"/>
      <c r="V28" s="221"/>
      <c r="W28" s="221"/>
      <c r="X28" s="221"/>
      <c r="Y28" s="221"/>
      <c r="Z28" s="221"/>
    </row>
    <row r="29">
      <c r="A29" s="225" t="s">
        <v>468</v>
      </c>
      <c r="B29" s="226" t="s">
        <v>133</v>
      </c>
      <c r="C29" s="227">
        <v>0.0</v>
      </c>
      <c r="D29" s="227" t="s">
        <v>332</v>
      </c>
      <c r="E29" s="227">
        <v>0.0</v>
      </c>
      <c r="F29" s="227">
        <v>0.0</v>
      </c>
      <c r="G29" s="221"/>
      <c r="H29" s="221"/>
      <c r="I29" s="221"/>
      <c r="J29" s="221"/>
      <c r="K29" s="221"/>
      <c r="L29" s="221"/>
      <c r="M29" s="221"/>
      <c r="N29" s="221"/>
      <c r="O29" s="221"/>
      <c r="P29" s="221"/>
      <c r="Q29" s="221"/>
      <c r="R29" s="221"/>
      <c r="S29" s="221"/>
      <c r="T29" s="221"/>
      <c r="U29" s="221"/>
      <c r="V29" s="221"/>
      <c r="W29" s="221"/>
      <c r="X29" s="221"/>
      <c r="Y29" s="221"/>
      <c r="Z29" s="221"/>
    </row>
    <row r="30">
      <c r="A30" s="225" t="s">
        <v>469</v>
      </c>
      <c r="B30" s="226" t="s">
        <v>470</v>
      </c>
      <c r="C30" s="227" t="s">
        <v>332</v>
      </c>
      <c r="D30" s="227" t="s">
        <v>329</v>
      </c>
      <c r="E30" s="227">
        <v>0.0</v>
      </c>
      <c r="F30" s="227" t="s">
        <v>332</v>
      </c>
      <c r="G30" s="221"/>
      <c r="H30" s="221"/>
      <c r="I30" s="221"/>
      <c r="J30" s="221"/>
      <c r="K30" s="221"/>
      <c r="L30" s="221"/>
      <c r="M30" s="221"/>
      <c r="N30" s="221"/>
      <c r="O30" s="221"/>
      <c r="P30" s="221"/>
      <c r="Q30" s="221"/>
      <c r="R30" s="221"/>
      <c r="S30" s="221"/>
      <c r="T30" s="221"/>
      <c r="U30" s="221"/>
      <c r="V30" s="221"/>
      <c r="W30" s="221"/>
      <c r="X30" s="221"/>
      <c r="Y30" s="221"/>
      <c r="Z30" s="221"/>
    </row>
    <row r="31">
      <c r="A31" s="225" t="s">
        <v>471</v>
      </c>
      <c r="B31" s="226" t="s">
        <v>470</v>
      </c>
      <c r="C31" s="227">
        <v>0.0</v>
      </c>
      <c r="D31" s="227" t="s">
        <v>332</v>
      </c>
      <c r="E31" s="227">
        <v>0.0</v>
      </c>
      <c r="F31" s="227">
        <v>0.0</v>
      </c>
      <c r="G31" s="221"/>
      <c r="H31" s="221"/>
      <c r="I31" s="221"/>
      <c r="J31" s="221"/>
      <c r="K31" s="221"/>
      <c r="L31" s="221"/>
      <c r="M31" s="221"/>
      <c r="N31" s="221"/>
      <c r="O31" s="221"/>
      <c r="P31" s="221"/>
      <c r="Q31" s="221"/>
      <c r="R31" s="221"/>
      <c r="S31" s="221"/>
      <c r="T31" s="221"/>
      <c r="U31" s="221"/>
      <c r="V31" s="221"/>
      <c r="W31" s="221"/>
      <c r="X31" s="221"/>
      <c r="Y31" s="221"/>
      <c r="Z31" s="221"/>
    </row>
    <row r="32">
      <c r="A32" s="225" t="s">
        <v>472</v>
      </c>
      <c r="B32" s="226" t="s">
        <v>470</v>
      </c>
      <c r="C32" s="227">
        <v>0.0</v>
      </c>
      <c r="D32" s="227" t="s">
        <v>332</v>
      </c>
      <c r="E32" s="227">
        <v>0.0</v>
      </c>
      <c r="F32" s="227" t="s">
        <v>332</v>
      </c>
      <c r="G32" s="221"/>
      <c r="H32" s="221"/>
      <c r="I32" s="221"/>
      <c r="J32" s="221"/>
      <c r="K32" s="221"/>
      <c r="L32" s="221"/>
      <c r="M32" s="221"/>
      <c r="N32" s="221"/>
      <c r="O32" s="221"/>
      <c r="P32" s="221"/>
      <c r="Q32" s="221"/>
      <c r="R32" s="221"/>
      <c r="S32" s="221"/>
      <c r="T32" s="221"/>
      <c r="U32" s="221"/>
      <c r="V32" s="221"/>
      <c r="W32" s="221"/>
      <c r="X32" s="221"/>
      <c r="Y32" s="221"/>
      <c r="Z32" s="221"/>
    </row>
    <row r="33">
      <c r="A33" s="225" t="s">
        <v>473</v>
      </c>
      <c r="B33" s="226" t="s">
        <v>470</v>
      </c>
      <c r="C33" s="227" t="s">
        <v>332</v>
      </c>
      <c r="D33" s="227" t="s">
        <v>332</v>
      </c>
      <c r="E33" s="227">
        <v>0.0</v>
      </c>
      <c r="F33" s="227" t="s">
        <v>332</v>
      </c>
      <c r="G33" s="221"/>
      <c r="H33" s="221"/>
      <c r="I33" s="221"/>
      <c r="J33" s="221"/>
      <c r="K33" s="221"/>
      <c r="L33" s="221"/>
      <c r="M33" s="221"/>
      <c r="N33" s="221"/>
      <c r="O33" s="221"/>
      <c r="P33" s="221"/>
      <c r="Q33" s="221"/>
      <c r="R33" s="221"/>
      <c r="S33" s="221"/>
      <c r="T33" s="221"/>
      <c r="U33" s="221"/>
      <c r="V33" s="221"/>
      <c r="W33" s="221"/>
      <c r="X33" s="221"/>
      <c r="Y33" s="221"/>
      <c r="Z33" s="221"/>
    </row>
    <row r="34">
      <c r="A34" s="225" t="s">
        <v>474</v>
      </c>
      <c r="B34" s="226" t="s">
        <v>470</v>
      </c>
      <c r="C34" s="227" t="s">
        <v>332</v>
      </c>
      <c r="D34" s="227" t="s">
        <v>332</v>
      </c>
      <c r="E34" s="227">
        <v>0.0</v>
      </c>
      <c r="F34" s="227">
        <v>0.0</v>
      </c>
      <c r="G34" s="221"/>
      <c r="H34" s="221"/>
      <c r="I34" s="221"/>
      <c r="J34" s="221"/>
      <c r="K34" s="221"/>
      <c r="L34" s="221"/>
      <c r="M34" s="221"/>
      <c r="N34" s="221"/>
      <c r="O34" s="221"/>
      <c r="P34" s="221"/>
      <c r="Q34" s="221"/>
      <c r="R34" s="221"/>
      <c r="S34" s="221"/>
      <c r="T34" s="221"/>
      <c r="U34" s="221"/>
      <c r="V34" s="221"/>
      <c r="W34" s="221"/>
      <c r="X34" s="221"/>
      <c r="Y34" s="221"/>
      <c r="Z34" s="221"/>
    </row>
    <row r="35">
      <c r="A35" s="225" t="s">
        <v>475</v>
      </c>
      <c r="B35" s="226" t="s">
        <v>470</v>
      </c>
      <c r="C35" s="227">
        <v>0.0</v>
      </c>
      <c r="D35" s="227" t="s">
        <v>329</v>
      </c>
      <c r="E35" s="227">
        <v>0.0</v>
      </c>
      <c r="F35" s="227" t="s">
        <v>332</v>
      </c>
      <c r="G35" s="221"/>
      <c r="H35" s="221"/>
      <c r="I35" s="221"/>
      <c r="J35" s="221"/>
      <c r="K35" s="221"/>
      <c r="L35" s="221"/>
      <c r="M35" s="221"/>
      <c r="N35" s="221"/>
      <c r="O35" s="221"/>
      <c r="P35" s="221"/>
      <c r="Q35" s="221"/>
      <c r="R35" s="221"/>
      <c r="S35" s="221"/>
      <c r="T35" s="221"/>
      <c r="U35" s="221"/>
      <c r="V35" s="221"/>
      <c r="W35" s="221"/>
      <c r="X35" s="221"/>
      <c r="Y35" s="221"/>
      <c r="Z35" s="221"/>
    </row>
    <row r="36">
      <c r="A36" s="225" t="s">
        <v>476</v>
      </c>
      <c r="B36" s="226" t="s">
        <v>470</v>
      </c>
      <c r="C36" s="227">
        <v>0.0</v>
      </c>
      <c r="D36" s="227" t="s">
        <v>319</v>
      </c>
      <c r="E36" s="227">
        <v>0.0</v>
      </c>
      <c r="F36" s="227" t="s">
        <v>332</v>
      </c>
      <c r="G36" s="221"/>
      <c r="H36" s="221"/>
      <c r="I36" s="221"/>
      <c r="J36" s="221"/>
      <c r="K36" s="221"/>
      <c r="L36" s="221"/>
      <c r="M36" s="221"/>
      <c r="N36" s="221"/>
      <c r="O36" s="221"/>
      <c r="P36" s="221"/>
      <c r="Q36" s="221"/>
      <c r="R36" s="221"/>
      <c r="S36" s="221"/>
      <c r="T36" s="221"/>
      <c r="U36" s="221"/>
      <c r="V36" s="221"/>
      <c r="W36" s="221"/>
      <c r="X36" s="221"/>
      <c r="Y36" s="221"/>
      <c r="Z36" s="221"/>
    </row>
    <row r="37">
      <c r="A37" s="225" t="s">
        <v>477</v>
      </c>
      <c r="B37" s="226" t="s">
        <v>470</v>
      </c>
      <c r="C37" s="227">
        <v>0.0</v>
      </c>
      <c r="D37" s="227" t="s">
        <v>329</v>
      </c>
      <c r="E37" s="227">
        <v>0.0</v>
      </c>
      <c r="F37" s="227">
        <v>0.0</v>
      </c>
      <c r="G37" s="221"/>
      <c r="H37" s="221"/>
      <c r="I37" s="221"/>
      <c r="J37" s="221"/>
      <c r="K37" s="221"/>
      <c r="L37" s="221"/>
      <c r="M37" s="221"/>
      <c r="N37" s="221"/>
      <c r="O37" s="221"/>
      <c r="P37" s="221"/>
      <c r="Q37" s="221"/>
      <c r="R37" s="221"/>
      <c r="S37" s="221"/>
      <c r="T37" s="221"/>
      <c r="U37" s="221"/>
      <c r="V37" s="221"/>
      <c r="W37" s="221"/>
      <c r="X37" s="221"/>
      <c r="Y37" s="221"/>
      <c r="Z37" s="221"/>
    </row>
    <row r="38">
      <c r="A38" s="225" t="s">
        <v>478</v>
      </c>
      <c r="B38" s="226" t="s">
        <v>470</v>
      </c>
      <c r="C38" s="227" t="s">
        <v>332</v>
      </c>
      <c r="D38" s="227" t="s">
        <v>332</v>
      </c>
      <c r="E38" s="227">
        <v>0.0</v>
      </c>
      <c r="F38" s="227" t="s">
        <v>332</v>
      </c>
      <c r="G38" s="221"/>
      <c r="H38" s="221"/>
      <c r="I38" s="221"/>
      <c r="J38" s="221"/>
      <c r="K38" s="221"/>
      <c r="L38" s="221"/>
      <c r="M38" s="221"/>
      <c r="N38" s="221"/>
      <c r="O38" s="221"/>
      <c r="P38" s="221"/>
      <c r="Q38" s="221"/>
      <c r="R38" s="221"/>
      <c r="S38" s="221"/>
      <c r="T38" s="221"/>
      <c r="U38" s="221"/>
      <c r="V38" s="221"/>
      <c r="W38" s="221"/>
      <c r="X38" s="221"/>
      <c r="Y38" s="221"/>
      <c r="Z38" s="221"/>
    </row>
    <row r="39">
      <c r="A39" s="225" t="s">
        <v>479</v>
      </c>
      <c r="B39" s="226" t="s">
        <v>470</v>
      </c>
      <c r="C39" s="227" t="s">
        <v>332</v>
      </c>
      <c r="D39" s="227" t="s">
        <v>332</v>
      </c>
      <c r="E39" s="227">
        <v>0.0</v>
      </c>
      <c r="F39" s="227" t="s">
        <v>332</v>
      </c>
      <c r="G39" s="221"/>
      <c r="H39" s="221"/>
      <c r="I39" s="221"/>
      <c r="J39" s="221"/>
      <c r="K39" s="221"/>
      <c r="L39" s="221"/>
      <c r="M39" s="221"/>
      <c r="N39" s="221"/>
      <c r="O39" s="221"/>
      <c r="P39" s="221"/>
      <c r="Q39" s="221"/>
      <c r="R39" s="221"/>
      <c r="S39" s="221"/>
      <c r="T39" s="221"/>
      <c r="U39" s="221"/>
      <c r="V39" s="221"/>
      <c r="W39" s="221"/>
      <c r="X39" s="221"/>
      <c r="Y39" s="221"/>
      <c r="Z39" s="221"/>
    </row>
    <row r="40">
      <c r="A40" s="225" t="s">
        <v>480</v>
      </c>
      <c r="B40" s="226" t="s">
        <v>470</v>
      </c>
      <c r="C40" s="227">
        <v>0.0</v>
      </c>
      <c r="D40" s="227" t="s">
        <v>332</v>
      </c>
      <c r="E40" s="227">
        <v>0.0</v>
      </c>
      <c r="F40" s="227">
        <v>0.0</v>
      </c>
      <c r="G40" s="221"/>
      <c r="H40" s="221"/>
      <c r="I40" s="221"/>
      <c r="J40" s="221"/>
      <c r="K40" s="221"/>
      <c r="L40" s="221"/>
      <c r="M40" s="221"/>
      <c r="N40" s="221"/>
      <c r="O40" s="221"/>
      <c r="P40" s="221"/>
      <c r="Q40" s="221"/>
      <c r="R40" s="221"/>
      <c r="S40" s="221"/>
      <c r="T40" s="221"/>
      <c r="U40" s="221"/>
      <c r="V40" s="221"/>
      <c r="W40" s="221"/>
      <c r="X40" s="221"/>
      <c r="Y40" s="221"/>
      <c r="Z40" s="221"/>
    </row>
    <row r="41">
      <c r="A41" s="225" t="s">
        <v>481</v>
      </c>
      <c r="B41" s="226" t="s">
        <v>470</v>
      </c>
      <c r="C41" s="227" t="s">
        <v>332</v>
      </c>
      <c r="D41" s="227" t="s">
        <v>332</v>
      </c>
      <c r="E41" s="227">
        <v>0.0</v>
      </c>
      <c r="F41" s="227">
        <v>0.0</v>
      </c>
      <c r="G41" s="221"/>
      <c r="H41" s="221"/>
      <c r="I41" s="221"/>
      <c r="J41" s="221"/>
      <c r="K41" s="221"/>
      <c r="L41" s="221"/>
      <c r="M41" s="221"/>
      <c r="N41" s="221"/>
      <c r="O41" s="221"/>
      <c r="P41" s="221"/>
      <c r="Q41" s="221"/>
      <c r="R41" s="221"/>
      <c r="S41" s="221"/>
      <c r="T41" s="221"/>
      <c r="U41" s="221"/>
      <c r="V41" s="221"/>
      <c r="W41" s="221"/>
      <c r="X41" s="221"/>
      <c r="Y41" s="221"/>
      <c r="Z41" s="221"/>
    </row>
    <row r="42">
      <c r="A42" s="225" t="s">
        <v>482</v>
      </c>
      <c r="B42" s="226" t="s">
        <v>470</v>
      </c>
      <c r="C42" s="227" t="s">
        <v>332</v>
      </c>
      <c r="D42" s="227" t="s">
        <v>332</v>
      </c>
      <c r="E42" s="227" t="s">
        <v>332</v>
      </c>
      <c r="F42" s="227" t="s">
        <v>332</v>
      </c>
      <c r="G42" s="221"/>
      <c r="H42" s="221"/>
      <c r="I42" s="221"/>
      <c r="J42" s="221"/>
      <c r="K42" s="221"/>
      <c r="L42" s="221"/>
      <c r="M42" s="221"/>
      <c r="N42" s="221"/>
      <c r="O42" s="221"/>
      <c r="P42" s="221"/>
      <c r="Q42" s="221"/>
      <c r="R42" s="221"/>
      <c r="S42" s="221"/>
      <c r="T42" s="221"/>
      <c r="U42" s="221"/>
      <c r="V42" s="221"/>
      <c r="W42" s="221"/>
      <c r="X42" s="221"/>
      <c r="Y42" s="221"/>
      <c r="Z42" s="221"/>
    </row>
    <row r="43">
      <c r="A43" s="225" t="s">
        <v>483</v>
      </c>
      <c r="B43" s="226" t="s">
        <v>470</v>
      </c>
      <c r="C43" s="227">
        <v>0.0</v>
      </c>
      <c r="D43" s="227">
        <v>0.0</v>
      </c>
      <c r="E43" s="227">
        <v>0.0</v>
      </c>
      <c r="F43" s="227" t="s">
        <v>332</v>
      </c>
      <c r="G43" s="221"/>
      <c r="H43" s="221"/>
      <c r="I43" s="221"/>
      <c r="J43" s="221"/>
      <c r="K43" s="221"/>
      <c r="L43" s="221"/>
      <c r="M43" s="221"/>
      <c r="N43" s="221"/>
      <c r="O43" s="221"/>
      <c r="P43" s="221"/>
      <c r="Q43" s="221"/>
      <c r="R43" s="221"/>
      <c r="S43" s="221"/>
      <c r="T43" s="221"/>
      <c r="U43" s="221"/>
      <c r="V43" s="221"/>
      <c r="W43" s="221"/>
      <c r="X43" s="221"/>
      <c r="Y43" s="221"/>
      <c r="Z43" s="221"/>
    </row>
    <row r="44">
      <c r="A44" s="225" t="s">
        <v>484</v>
      </c>
      <c r="B44" s="226" t="s">
        <v>470</v>
      </c>
      <c r="C44" s="227">
        <v>0.0</v>
      </c>
      <c r="D44" s="227" t="s">
        <v>332</v>
      </c>
      <c r="E44" s="227">
        <v>0.0</v>
      </c>
      <c r="F44" s="227">
        <v>0.0</v>
      </c>
      <c r="G44" s="221"/>
      <c r="H44" s="221"/>
      <c r="I44" s="221"/>
      <c r="J44" s="221"/>
      <c r="K44" s="221"/>
      <c r="L44" s="221"/>
      <c r="M44" s="221"/>
      <c r="N44" s="221"/>
      <c r="O44" s="221"/>
      <c r="P44" s="221"/>
      <c r="Q44" s="221"/>
      <c r="R44" s="221"/>
      <c r="S44" s="221"/>
      <c r="T44" s="221"/>
      <c r="U44" s="221"/>
      <c r="V44" s="221"/>
      <c r="W44" s="221"/>
      <c r="X44" s="221"/>
      <c r="Y44" s="221"/>
      <c r="Z44" s="221"/>
    </row>
    <row r="45">
      <c r="A45" s="225" t="s">
        <v>485</v>
      </c>
      <c r="B45" s="226" t="s">
        <v>470</v>
      </c>
      <c r="C45" s="227" t="s">
        <v>332</v>
      </c>
      <c r="D45" s="227" t="s">
        <v>332</v>
      </c>
      <c r="E45" s="227">
        <v>0.0</v>
      </c>
      <c r="F45" s="227">
        <v>0.0</v>
      </c>
      <c r="G45" s="221"/>
      <c r="H45" s="221"/>
      <c r="I45" s="221"/>
      <c r="J45" s="221"/>
      <c r="K45" s="221"/>
      <c r="L45" s="221"/>
      <c r="M45" s="221"/>
      <c r="N45" s="221"/>
      <c r="O45" s="221"/>
      <c r="P45" s="221"/>
      <c r="Q45" s="221"/>
      <c r="R45" s="221"/>
      <c r="S45" s="221"/>
      <c r="T45" s="221"/>
      <c r="U45" s="221"/>
      <c r="V45" s="221"/>
      <c r="W45" s="221"/>
      <c r="X45" s="221"/>
      <c r="Y45" s="221"/>
      <c r="Z45" s="221"/>
    </row>
    <row r="46">
      <c r="A46" s="225" t="s">
        <v>486</v>
      </c>
      <c r="B46" s="226" t="s">
        <v>470</v>
      </c>
      <c r="C46" s="227">
        <v>0.0</v>
      </c>
      <c r="D46" s="227" t="s">
        <v>332</v>
      </c>
      <c r="E46" s="227">
        <v>0.0</v>
      </c>
      <c r="F46" s="227" t="s">
        <v>332</v>
      </c>
      <c r="G46" s="221"/>
      <c r="H46" s="221"/>
      <c r="I46" s="221"/>
      <c r="J46" s="221"/>
      <c r="K46" s="221"/>
      <c r="L46" s="221"/>
      <c r="M46" s="221"/>
      <c r="N46" s="221"/>
      <c r="O46" s="221"/>
      <c r="P46" s="221"/>
      <c r="Q46" s="221"/>
      <c r="R46" s="221"/>
      <c r="S46" s="221"/>
      <c r="T46" s="221"/>
      <c r="U46" s="221"/>
      <c r="V46" s="221"/>
      <c r="W46" s="221"/>
      <c r="X46" s="221"/>
      <c r="Y46" s="221"/>
      <c r="Z46" s="221"/>
    </row>
    <row r="47">
      <c r="A47" s="225" t="s">
        <v>487</v>
      </c>
      <c r="B47" s="226" t="s">
        <v>470</v>
      </c>
      <c r="C47" s="227">
        <v>0.0</v>
      </c>
      <c r="D47" s="227" t="s">
        <v>332</v>
      </c>
      <c r="E47" s="227">
        <v>0.0</v>
      </c>
      <c r="F47" s="227">
        <v>0.0</v>
      </c>
      <c r="G47" s="221"/>
      <c r="H47" s="221"/>
      <c r="I47" s="221"/>
      <c r="J47" s="221"/>
      <c r="K47" s="221"/>
      <c r="L47" s="221"/>
      <c r="M47" s="221"/>
      <c r="N47" s="221"/>
      <c r="O47" s="221"/>
      <c r="P47" s="221"/>
      <c r="Q47" s="221"/>
      <c r="R47" s="221"/>
      <c r="S47" s="221"/>
      <c r="T47" s="221"/>
      <c r="U47" s="221"/>
      <c r="V47" s="221"/>
      <c r="W47" s="221"/>
      <c r="X47" s="221"/>
      <c r="Y47" s="221"/>
      <c r="Z47" s="221"/>
    </row>
    <row r="48">
      <c r="A48" s="225" t="s">
        <v>488</v>
      </c>
      <c r="B48" s="226" t="s">
        <v>470</v>
      </c>
      <c r="C48" s="227" t="s">
        <v>332</v>
      </c>
      <c r="D48" s="227" t="s">
        <v>319</v>
      </c>
      <c r="E48" s="227">
        <v>0.0</v>
      </c>
      <c r="F48" s="227" t="s">
        <v>332</v>
      </c>
      <c r="G48" s="221"/>
      <c r="H48" s="221"/>
      <c r="I48" s="221"/>
      <c r="J48" s="221"/>
      <c r="K48" s="221"/>
      <c r="L48" s="221"/>
      <c r="M48" s="221"/>
      <c r="N48" s="221"/>
      <c r="O48" s="221"/>
      <c r="P48" s="221"/>
      <c r="Q48" s="221"/>
      <c r="R48" s="221"/>
      <c r="S48" s="221"/>
      <c r="T48" s="221"/>
      <c r="U48" s="221"/>
      <c r="V48" s="221"/>
      <c r="W48" s="221"/>
      <c r="X48" s="221"/>
      <c r="Y48" s="221"/>
      <c r="Z48" s="221"/>
    </row>
    <row r="49">
      <c r="A49" s="225" t="s">
        <v>489</v>
      </c>
      <c r="B49" s="226" t="s">
        <v>470</v>
      </c>
      <c r="C49" s="227" t="s">
        <v>332</v>
      </c>
      <c r="D49" s="227" t="s">
        <v>332</v>
      </c>
      <c r="E49" s="227">
        <v>0.0</v>
      </c>
      <c r="F49" s="227">
        <v>0.0</v>
      </c>
      <c r="G49" s="221"/>
      <c r="H49" s="221"/>
      <c r="I49" s="221"/>
      <c r="J49" s="221"/>
      <c r="K49" s="221"/>
      <c r="L49" s="221"/>
      <c r="M49" s="221"/>
      <c r="N49" s="221"/>
      <c r="O49" s="221"/>
      <c r="P49" s="221"/>
      <c r="Q49" s="221"/>
      <c r="R49" s="221"/>
      <c r="S49" s="221"/>
      <c r="T49" s="221"/>
      <c r="U49" s="221"/>
      <c r="V49" s="221"/>
      <c r="W49" s="221"/>
      <c r="X49" s="221"/>
      <c r="Y49" s="221"/>
      <c r="Z49" s="221"/>
    </row>
    <row r="50">
      <c r="A50" s="225" t="s">
        <v>490</v>
      </c>
      <c r="B50" s="226" t="s">
        <v>470</v>
      </c>
      <c r="C50" s="227">
        <v>0.0</v>
      </c>
      <c r="D50" s="227" t="s">
        <v>332</v>
      </c>
      <c r="E50" s="227">
        <v>0.0</v>
      </c>
      <c r="F50" s="227" t="s">
        <v>332</v>
      </c>
      <c r="G50" s="221"/>
      <c r="H50" s="221"/>
      <c r="I50" s="221"/>
      <c r="J50" s="221"/>
      <c r="K50" s="221"/>
      <c r="L50" s="221"/>
      <c r="M50" s="221"/>
      <c r="N50" s="221"/>
      <c r="O50" s="221"/>
      <c r="P50" s="221"/>
      <c r="Q50" s="221"/>
      <c r="R50" s="221"/>
      <c r="S50" s="221"/>
      <c r="T50" s="221"/>
      <c r="U50" s="221"/>
      <c r="V50" s="221"/>
      <c r="W50" s="221"/>
      <c r="X50" s="221"/>
      <c r="Y50" s="221"/>
      <c r="Z50" s="221"/>
    </row>
    <row r="51">
      <c r="A51" s="225" t="s">
        <v>491</v>
      </c>
      <c r="B51" s="226" t="s">
        <v>470</v>
      </c>
      <c r="C51" s="227">
        <v>0.0</v>
      </c>
      <c r="D51" s="227" t="s">
        <v>332</v>
      </c>
      <c r="E51" s="227">
        <v>0.0</v>
      </c>
      <c r="F51" s="227">
        <v>0.0</v>
      </c>
      <c r="G51" s="221"/>
      <c r="H51" s="221"/>
      <c r="I51" s="221"/>
      <c r="J51" s="221"/>
      <c r="K51" s="221"/>
      <c r="L51" s="221"/>
      <c r="M51" s="221"/>
      <c r="N51" s="221"/>
      <c r="O51" s="221"/>
      <c r="P51" s="221"/>
      <c r="Q51" s="221"/>
      <c r="R51" s="221"/>
      <c r="S51" s="221"/>
      <c r="T51" s="221"/>
      <c r="U51" s="221"/>
      <c r="V51" s="221"/>
      <c r="W51" s="221"/>
      <c r="X51" s="221"/>
      <c r="Y51" s="221"/>
      <c r="Z51" s="221"/>
    </row>
    <row r="52">
      <c r="A52" s="225" t="s">
        <v>492</v>
      </c>
      <c r="B52" s="226" t="s">
        <v>470</v>
      </c>
      <c r="C52" s="227" t="s">
        <v>332</v>
      </c>
      <c r="D52" s="227" t="s">
        <v>332</v>
      </c>
      <c r="E52" s="227">
        <v>0.0</v>
      </c>
      <c r="F52" s="227">
        <v>0.0</v>
      </c>
      <c r="G52" s="221"/>
      <c r="H52" s="221"/>
      <c r="I52" s="221"/>
      <c r="J52" s="221"/>
      <c r="K52" s="221"/>
      <c r="L52" s="221"/>
      <c r="M52" s="221"/>
      <c r="N52" s="221"/>
      <c r="O52" s="221"/>
      <c r="P52" s="221"/>
      <c r="Q52" s="221"/>
      <c r="R52" s="221"/>
      <c r="S52" s="221"/>
      <c r="T52" s="221"/>
      <c r="U52" s="221"/>
      <c r="V52" s="221"/>
      <c r="W52" s="221"/>
      <c r="X52" s="221"/>
      <c r="Y52" s="221"/>
      <c r="Z52" s="221"/>
    </row>
    <row r="53">
      <c r="A53" s="225" t="s">
        <v>493</v>
      </c>
      <c r="B53" s="226" t="s">
        <v>470</v>
      </c>
      <c r="C53" s="227" t="s">
        <v>332</v>
      </c>
      <c r="D53" s="227" t="s">
        <v>319</v>
      </c>
      <c r="E53" s="227">
        <v>0.0</v>
      </c>
      <c r="F53" s="227">
        <v>0.0</v>
      </c>
      <c r="G53" s="221"/>
      <c r="H53" s="221"/>
      <c r="I53" s="221"/>
      <c r="J53" s="221"/>
      <c r="K53" s="221"/>
      <c r="L53" s="221"/>
      <c r="M53" s="221"/>
      <c r="N53" s="221"/>
      <c r="O53" s="221"/>
      <c r="P53" s="221"/>
      <c r="Q53" s="221"/>
      <c r="R53" s="221"/>
      <c r="S53" s="221"/>
      <c r="T53" s="221"/>
      <c r="U53" s="221"/>
      <c r="V53" s="221"/>
      <c r="W53" s="221"/>
      <c r="X53" s="221"/>
      <c r="Y53" s="221"/>
      <c r="Z53" s="221"/>
    </row>
    <row r="54">
      <c r="A54" s="225" t="s">
        <v>494</v>
      </c>
      <c r="B54" s="226" t="s">
        <v>134</v>
      </c>
      <c r="C54" s="227" t="s">
        <v>332</v>
      </c>
      <c r="D54" s="227" t="s">
        <v>332</v>
      </c>
      <c r="E54" s="227">
        <v>0.0</v>
      </c>
      <c r="F54" s="227">
        <v>0.0</v>
      </c>
      <c r="G54" s="221"/>
      <c r="H54" s="221"/>
      <c r="I54" s="221"/>
      <c r="J54" s="221"/>
      <c r="K54" s="221"/>
      <c r="L54" s="221"/>
      <c r="M54" s="221"/>
      <c r="N54" s="221"/>
      <c r="O54" s="221"/>
      <c r="P54" s="221"/>
      <c r="Q54" s="221"/>
      <c r="R54" s="221"/>
      <c r="S54" s="221"/>
      <c r="T54" s="221"/>
      <c r="U54" s="221"/>
      <c r="V54" s="221"/>
      <c r="W54" s="221"/>
      <c r="X54" s="221"/>
      <c r="Y54" s="221"/>
      <c r="Z54" s="221"/>
    </row>
    <row r="55">
      <c r="A55" s="225" t="s">
        <v>495</v>
      </c>
      <c r="B55" s="226" t="s">
        <v>134</v>
      </c>
      <c r="C55" s="227">
        <v>0.0</v>
      </c>
      <c r="D55" s="227">
        <v>0.0</v>
      </c>
      <c r="E55" s="227">
        <v>0.0</v>
      </c>
      <c r="F55" s="227" t="s">
        <v>332</v>
      </c>
      <c r="G55" s="221"/>
      <c r="H55" s="221"/>
      <c r="I55" s="221"/>
      <c r="J55" s="221"/>
      <c r="K55" s="221"/>
      <c r="L55" s="221"/>
      <c r="M55" s="221"/>
      <c r="N55" s="221"/>
      <c r="O55" s="221"/>
      <c r="P55" s="221"/>
      <c r="Q55" s="221"/>
      <c r="R55" s="221"/>
      <c r="S55" s="221"/>
      <c r="T55" s="221"/>
      <c r="U55" s="221"/>
      <c r="V55" s="221"/>
      <c r="W55" s="221"/>
      <c r="X55" s="221"/>
      <c r="Y55" s="221"/>
      <c r="Z55" s="221"/>
    </row>
    <row r="56">
      <c r="A56" s="225" t="s">
        <v>496</v>
      </c>
      <c r="B56" s="226" t="s">
        <v>134</v>
      </c>
      <c r="C56" s="227">
        <v>0.0</v>
      </c>
      <c r="D56" s="227" t="s">
        <v>332</v>
      </c>
      <c r="E56" s="227">
        <v>0.0</v>
      </c>
      <c r="F56" s="227" t="s">
        <v>332</v>
      </c>
      <c r="G56" s="221"/>
      <c r="H56" s="221"/>
      <c r="I56" s="221"/>
      <c r="J56" s="221"/>
      <c r="K56" s="221"/>
      <c r="L56" s="221"/>
      <c r="M56" s="221"/>
      <c r="N56" s="221"/>
      <c r="O56" s="221"/>
      <c r="P56" s="221"/>
      <c r="Q56" s="221"/>
      <c r="R56" s="221"/>
      <c r="S56" s="221"/>
      <c r="T56" s="221"/>
      <c r="U56" s="221"/>
      <c r="V56" s="221"/>
      <c r="W56" s="221"/>
      <c r="X56" s="221"/>
      <c r="Y56" s="221"/>
      <c r="Z56" s="221"/>
    </row>
    <row r="57">
      <c r="A57" s="225" t="s">
        <v>497</v>
      </c>
      <c r="B57" s="226" t="s">
        <v>134</v>
      </c>
      <c r="C57" s="227">
        <v>0.0</v>
      </c>
      <c r="D57" s="227" t="s">
        <v>332</v>
      </c>
      <c r="E57" s="227">
        <v>0.0</v>
      </c>
      <c r="F57" s="227" t="s">
        <v>332</v>
      </c>
      <c r="G57" s="221"/>
      <c r="H57" s="221"/>
      <c r="I57" s="221"/>
      <c r="J57" s="221"/>
      <c r="K57" s="221"/>
      <c r="L57" s="221"/>
      <c r="M57" s="221"/>
      <c r="N57" s="221"/>
      <c r="O57" s="221"/>
      <c r="P57" s="221"/>
      <c r="Q57" s="221"/>
      <c r="R57" s="221"/>
      <c r="S57" s="221"/>
      <c r="T57" s="221"/>
      <c r="U57" s="221"/>
      <c r="V57" s="221"/>
      <c r="W57" s="221"/>
      <c r="X57" s="221"/>
      <c r="Y57" s="221"/>
      <c r="Z57" s="221"/>
    </row>
    <row r="58">
      <c r="A58" s="225" t="s">
        <v>498</v>
      </c>
      <c r="B58" s="226" t="s">
        <v>134</v>
      </c>
      <c r="C58" s="227">
        <v>0.0</v>
      </c>
      <c r="D58" s="227">
        <v>0.0</v>
      </c>
      <c r="E58" s="227">
        <v>0.0</v>
      </c>
      <c r="F58" s="227" t="s">
        <v>332</v>
      </c>
      <c r="G58" s="221"/>
      <c r="H58" s="221"/>
      <c r="I58" s="221"/>
      <c r="J58" s="221"/>
      <c r="K58" s="221"/>
      <c r="L58" s="221"/>
      <c r="M58" s="221"/>
      <c r="N58" s="221"/>
      <c r="O58" s="221"/>
      <c r="P58" s="221"/>
      <c r="Q58" s="221"/>
      <c r="R58" s="221"/>
      <c r="S58" s="221"/>
      <c r="T58" s="221"/>
      <c r="U58" s="221"/>
      <c r="V58" s="221"/>
      <c r="W58" s="221"/>
      <c r="X58" s="221"/>
      <c r="Y58" s="221"/>
      <c r="Z58" s="221"/>
    </row>
    <row r="59">
      <c r="A59" s="225" t="s">
        <v>499</v>
      </c>
      <c r="B59" s="226" t="s">
        <v>134</v>
      </c>
      <c r="C59" s="227" t="s">
        <v>332</v>
      </c>
      <c r="D59" s="227" t="s">
        <v>319</v>
      </c>
      <c r="E59" s="227" t="s">
        <v>332</v>
      </c>
      <c r="F59" s="227" t="s">
        <v>332</v>
      </c>
      <c r="G59" s="221"/>
      <c r="H59" s="221"/>
      <c r="I59" s="221"/>
      <c r="J59" s="221"/>
      <c r="K59" s="221"/>
      <c r="L59" s="221"/>
      <c r="M59" s="221"/>
      <c r="N59" s="221"/>
      <c r="O59" s="221"/>
      <c r="P59" s="221"/>
      <c r="Q59" s="221"/>
      <c r="R59" s="221"/>
      <c r="S59" s="221"/>
      <c r="T59" s="221"/>
      <c r="U59" s="221"/>
      <c r="V59" s="221"/>
      <c r="W59" s="221"/>
      <c r="X59" s="221"/>
      <c r="Y59" s="221"/>
      <c r="Z59" s="221"/>
    </row>
    <row r="60">
      <c r="A60" s="225" t="s">
        <v>500</v>
      </c>
      <c r="B60" s="226" t="s">
        <v>134</v>
      </c>
      <c r="C60" s="227" t="s">
        <v>332</v>
      </c>
      <c r="D60" s="227" t="s">
        <v>332</v>
      </c>
      <c r="E60" s="227">
        <v>0.0</v>
      </c>
      <c r="F60" s="227">
        <v>0.0</v>
      </c>
      <c r="G60" s="221"/>
      <c r="H60" s="221"/>
      <c r="I60" s="221"/>
      <c r="J60" s="221"/>
      <c r="K60" s="221"/>
      <c r="L60" s="221"/>
      <c r="M60" s="221"/>
      <c r="N60" s="221"/>
      <c r="O60" s="221"/>
      <c r="P60" s="221"/>
      <c r="Q60" s="221"/>
      <c r="R60" s="221"/>
      <c r="S60" s="221"/>
      <c r="T60" s="221"/>
      <c r="U60" s="221"/>
      <c r="V60" s="221"/>
      <c r="W60" s="221"/>
      <c r="X60" s="221"/>
      <c r="Y60" s="221"/>
      <c r="Z60" s="221"/>
    </row>
    <row r="61">
      <c r="A61" s="225" t="s">
        <v>501</v>
      </c>
      <c r="B61" s="226" t="s">
        <v>502</v>
      </c>
      <c r="C61" s="227">
        <v>0.0</v>
      </c>
      <c r="D61" s="227" t="s">
        <v>332</v>
      </c>
      <c r="E61" s="227">
        <v>0.0</v>
      </c>
      <c r="F61" s="227" t="s">
        <v>332</v>
      </c>
      <c r="G61" s="221"/>
      <c r="H61" s="221"/>
      <c r="I61" s="221"/>
      <c r="J61" s="221"/>
      <c r="K61" s="221"/>
      <c r="L61" s="221"/>
      <c r="M61" s="221"/>
      <c r="N61" s="221"/>
      <c r="O61" s="221"/>
      <c r="P61" s="221"/>
      <c r="Q61" s="221"/>
      <c r="R61" s="221"/>
      <c r="S61" s="221"/>
      <c r="T61" s="221"/>
      <c r="U61" s="221"/>
      <c r="V61" s="221"/>
      <c r="W61" s="221"/>
      <c r="X61" s="221"/>
      <c r="Y61" s="221"/>
      <c r="Z61" s="221"/>
    </row>
    <row r="62">
      <c r="A62" s="225" t="s">
        <v>503</v>
      </c>
      <c r="B62" s="226" t="s">
        <v>504</v>
      </c>
      <c r="C62" s="227" t="s">
        <v>332</v>
      </c>
      <c r="D62" s="227" t="s">
        <v>332</v>
      </c>
      <c r="E62" s="227">
        <v>0.0</v>
      </c>
      <c r="F62" s="227">
        <v>0.0</v>
      </c>
      <c r="G62" s="221"/>
      <c r="H62" s="221"/>
      <c r="I62" s="221"/>
      <c r="J62" s="221"/>
      <c r="K62" s="221"/>
      <c r="L62" s="221"/>
      <c r="M62" s="221"/>
      <c r="N62" s="221"/>
      <c r="O62" s="221"/>
      <c r="P62" s="221"/>
      <c r="Q62" s="221"/>
      <c r="R62" s="221"/>
      <c r="S62" s="221"/>
      <c r="T62" s="221"/>
      <c r="U62" s="221"/>
      <c r="V62" s="221"/>
      <c r="W62" s="221"/>
      <c r="X62" s="221"/>
      <c r="Y62" s="221"/>
      <c r="Z62" s="221"/>
    </row>
    <row r="63">
      <c r="A63" s="225" t="s">
        <v>505</v>
      </c>
      <c r="B63" s="226" t="s">
        <v>504</v>
      </c>
      <c r="C63" s="227" t="s">
        <v>332</v>
      </c>
      <c r="D63" s="227" t="s">
        <v>332</v>
      </c>
      <c r="E63" s="227">
        <v>0.0</v>
      </c>
      <c r="F63" s="227" t="s">
        <v>332</v>
      </c>
      <c r="G63" s="221"/>
      <c r="H63" s="221"/>
      <c r="I63" s="221"/>
      <c r="J63" s="221"/>
      <c r="K63" s="221"/>
      <c r="L63" s="221"/>
      <c r="M63" s="221"/>
      <c r="N63" s="221"/>
      <c r="O63" s="221"/>
      <c r="P63" s="221"/>
      <c r="Q63" s="221"/>
      <c r="R63" s="221"/>
      <c r="S63" s="221"/>
      <c r="T63" s="221"/>
      <c r="U63" s="221"/>
      <c r="V63" s="221"/>
      <c r="W63" s="221"/>
      <c r="X63" s="221"/>
      <c r="Y63" s="221"/>
      <c r="Z63" s="221"/>
    </row>
    <row r="64">
      <c r="A64" s="225" t="s">
        <v>506</v>
      </c>
      <c r="B64" s="226" t="s">
        <v>504</v>
      </c>
      <c r="C64" s="227" t="s">
        <v>332</v>
      </c>
      <c r="D64" s="227" t="s">
        <v>332</v>
      </c>
      <c r="E64" s="227" t="s">
        <v>332</v>
      </c>
      <c r="F64" s="227" t="s">
        <v>332</v>
      </c>
      <c r="G64" s="221"/>
      <c r="H64" s="221"/>
      <c r="I64" s="221"/>
      <c r="J64" s="221"/>
      <c r="K64" s="221"/>
      <c r="L64" s="221"/>
      <c r="M64" s="221"/>
      <c r="N64" s="221"/>
      <c r="O64" s="221"/>
      <c r="P64" s="221"/>
      <c r="Q64" s="221"/>
      <c r="R64" s="221"/>
      <c r="S64" s="221"/>
      <c r="T64" s="221"/>
      <c r="U64" s="221"/>
      <c r="V64" s="221"/>
      <c r="W64" s="221"/>
      <c r="X64" s="221"/>
      <c r="Y64" s="221"/>
      <c r="Z64" s="221"/>
    </row>
    <row r="65">
      <c r="A65" s="225" t="s">
        <v>507</v>
      </c>
      <c r="B65" s="226" t="s">
        <v>504</v>
      </c>
      <c r="C65" s="227">
        <v>0.0</v>
      </c>
      <c r="D65" s="227">
        <v>0.0</v>
      </c>
      <c r="E65" s="227">
        <v>0.0</v>
      </c>
      <c r="F65" s="227" t="s">
        <v>332</v>
      </c>
      <c r="G65" s="221"/>
      <c r="H65" s="221"/>
      <c r="I65" s="221"/>
      <c r="J65" s="221"/>
      <c r="K65" s="221"/>
      <c r="L65" s="221"/>
      <c r="M65" s="221"/>
      <c r="N65" s="221"/>
      <c r="O65" s="221"/>
      <c r="P65" s="221"/>
      <c r="Q65" s="221"/>
      <c r="R65" s="221"/>
      <c r="S65" s="221"/>
      <c r="T65" s="221"/>
      <c r="U65" s="221"/>
      <c r="V65" s="221"/>
      <c r="W65" s="221"/>
      <c r="X65" s="221"/>
      <c r="Y65" s="221"/>
      <c r="Z65" s="221"/>
    </row>
    <row r="66">
      <c r="A66" s="225" t="s">
        <v>508</v>
      </c>
      <c r="B66" s="226" t="s">
        <v>504</v>
      </c>
      <c r="C66" s="227">
        <v>0.0</v>
      </c>
      <c r="D66" s="227" t="s">
        <v>332</v>
      </c>
      <c r="E66" s="227">
        <v>0.0</v>
      </c>
      <c r="F66" s="227">
        <v>0.0</v>
      </c>
      <c r="G66" s="221"/>
      <c r="H66" s="221"/>
      <c r="I66" s="221"/>
      <c r="J66" s="221"/>
      <c r="K66" s="221"/>
      <c r="L66" s="221"/>
      <c r="M66" s="221"/>
      <c r="N66" s="221"/>
      <c r="O66" s="221"/>
      <c r="P66" s="221"/>
      <c r="Q66" s="221"/>
      <c r="R66" s="221"/>
      <c r="S66" s="221"/>
      <c r="T66" s="221"/>
      <c r="U66" s="221"/>
      <c r="V66" s="221"/>
      <c r="W66" s="221"/>
      <c r="X66" s="221"/>
      <c r="Y66" s="221"/>
      <c r="Z66" s="221"/>
    </row>
    <row r="67">
      <c r="A67" s="225" t="s">
        <v>509</v>
      </c>
      <c r="B67" s="226" t="s">
        <v>136</v>
      </c>
      <c r="C67" s="227">
        <v>0.0</v>
      </c>
      <c r="D67" s="227" t="s">
        <v>319</v>
      </c>
      <c r="E67" s="227">
        <v>0.0</v>
      </c>
      <c r="F67" s="227" t="s">
        <v>332</v>
      </c>
      <c r="G67" s="221"/>
      <c r="H67" s="221"/>
      <c r="I67" s="221"/>
      <c r="J67" s="221"/>
      <c r="K67" s="221"/>
      <c r="L67" s="221"/>
      <c r="M67" s="221"/>
      <c r="N67" s="221"/>
      <c r="O67" s="221"/>
      <c r="P67" s="221"/>
      <c r="Q67" s="221"/>
      <c r="R67" s="221"/>
      <c r="S67" s="221"/>
      <c r="T67" s="221"/>
      <c r="U67" s="221"/>
      <c r="V67" s="221"/>
      <c r="W67" s="221"/>
      <c r="X67" s="221"/>
      <c r="Y67" s="221"/>
      <c r="Z67" s="221"/>
    </row>
    <row r="68">
      <c r="A68" s="225" t="s">
        <v>510</v>
      </c>
      <c r="B68" s="226" t="s">
        <v>136</v>
      </c>
      <c r="C68" s="227">
        <v>0.0</v>
      </c>
      <c r="D68" s="227" t="s">
        <v>332</v>
      </c>
      <c r="E68" s="227">
        <v>0.0</v>
      </c>
      <c r="F68" s="227" t="s">
        <v>332</v>
      </c>
      <c r="G68" s="221"/>
      <c r="H68" s="221"/>
      <c r="I68" s="221"/>
      <c r="J68" s="221"/>
      <c r="K68" s="221"/>
      <c r="L68" s="221"/>
      <c r="M68" s="221"/>
      <c r="N68" s="221"/>
      <c r="O68" s="221"/>
      <c r="P68" s="221"/>
      <c r="Q68" s="221"/>
      <c r="R68" s="221"/>
      <c r="S68" s="221"/>
      <c r="T68" s="221"/>
      <c r="U68" s="221"/>
      <c r="V68" s="221"/>
      <c r="W68" s="221"/>
      <c r="X68" s="221"/>
      <c r="Y68" s="221"/>
      <c r="Z68" s="221"/>
    </row>
    <row r="69">
      <c r="A69" s="225" t="s">
        <v>511</v>
      </c>
      <c r="B69" s="226" t="s">
        <v>136</v>
      </c>
      <c r="C69" s="227" t="s">
        <v>332</v>
      </c>
      <c r="D69" s="227" t="s">
        <v>319</v>
      </c>
      <c r="E69" s="227">
        <v>0.0</v>
      </c>
      <c r="F69" s="227" t="s">
        <v>332</v>
      </c>
      <c r="G69" s="221"/>
      <c r="H69" s="221"/>
      <c r="I69" s="221"/>
      <c r="J69" s="221"/>
      <c r="K69" s="221"/>
      <c r="L69" s="221"/>
      <c r="M69" s="221"/>
      <c r="N69" s="221"/>
      <c r="O69" s="221"/>
      <c r="P69" s="221"/>
      <c r="Q69" s="221"/>
      <c r="R69" s="221"/>
      <c r="S69" s="221"/>
      <c r="T69" s="221"/>
      <c r="U69" s="221"/>
      <c r="V69" s="221"/>
      <c r="W69" s="221"/>
      <c r="X69" s="221"/>
      <c r="Y69" s="221"/>
      <c r="Z69" s="221"/>
    </row>
    <row r="70">
      <c r="A70" s="225" t="s">
        <v>512</v>
      </c>
      <c r="B70" s="226" t="s">
        <v>136</v>
      </c>
      <c r="C70" s="227">
        <v>0.0</v>
      </c>
      <c r="D70" s="227">
        <v>0.0</v>
      </c>
      <c r="E70" s="227">
        <v>0.0</v>
      </c>
      <c r="F70" s="227" t="s">
        <v>332</v>
      </c>
      <c r="G70" s="221"/>
      <c r="H70" s="221"/>
      <c r="I70" s="221"/>
      <c r="J70" s="221"/>
      <c r="K70" s="221"/>
      <c r="L70" s="221"/>
      <c r="M70" s="221"/>
      <c r="N70" s="221"/>
      <c r="O70" s="221"/>
      <c r="P70" s="221"/>
      <c r="Q70" s="221"/>
      <c r="R70" s="221"/>
      <c r="S70" s="221"/>
      <c r="T70" s="221"/>
      <c r="U70" s="221"/>
      <c r="V70" s="221"/>
      <c r="W70" s="221"/>
      <c r="X70" s="221"/>
      <c r="Y70" s="221"/>
      <c r="Z70" s="221"/>
    </row>
    <row r="71">
      <c r="A71" s="225" t="s">
        <v>513</v>
      </c>
      <c r="B71" s="226" t="s">
        <v>136</v>
      </c>
      <c r="C71" s="227">
        <v>0.0</v>
      </c>
      <c r="D71" s="227" t="s">
        <v>332</v>
      </c>
      <c r="E71" s="227" t="s">
        <v>332</v>
      </c>
      <c r="F71" s="227" t="s">
        <v>332</v>
      </c>
      <c r="G71" s="221"/>
      <c r="H71" s="221"/>
      <c r="I71" s="221"/>
      <c r="J71" s="221"/>
      <c r="K71" s="221"/>
      <c r="L71" s="221"/>
      <c r="M71" s="221"/>
      <c r="N71" s="221"/>
      <c r="O71" s="221"/>
      <c r="P71" s="221"/>
      <c r="Q71" s="221"/>
      <c r="R71" s="221"/>
      <c r="S71" s="221"/>
      <c r="T71" s="221"/>
      <c r="U71" s="221"/>
      <c r="V71" s="221"/>
      <c r="W71" s="221"/>
      <c r="X71" s="221"/>
      <c r="Y71" s="221"/>
      <c r="Z71" s="221"/>
    </row>
    <row r="72">
      <c r="A72" s="225" t="s">
        <v>514</v>
      </c>
      <c r="B72" s="226" t="s">
        <v>136</v>
      </c>
      <c r="C72" s="227">
        <v>0.0</v>
      </c>
      <c r="D72" s="227" t="s">
        <v>332</v>
      </c>
      <c r="E72" s="227">
        <v>0.0</v>
      </c>
      <c r="F72" s="227">
        <v>0.0</v>
      </c>
      <c r="G72" s="221"/>
      <c r="H72" s="221"/>
      <c r="I72" s="221"/>
      <c r="J72" s="221"/>
      <c r="K72" s="221"/>
      <c r="L72" s="221"/>
      <c r="M72" s="221"/>
      <c r="N72" s="221"/>
      <c r="O72" s="221"/>
      <c r="P72" s="221"/>
      <c r="Q72" s="221"/>
      <c r="R72" s="221"/>
      <c r="S72" s="221"/>
      <c r="T72" s="221"/>
      <c r="U72" s="221"/>
      <c r="V72" s="221"/>
      <c r="W72" s="221"/>
      <c r="X72" s="221"/>
      <c r="Y72" s="221"/>
      <c r="Z72" s="221"/>
    </row>
    <row r="73">
      <c r="A73" s="225" t="s">
        <v>515</v>
      </c>
      <c r="B73" s="226" t="s">
        <v>136</v>
      </c>
      <c r="C73" s="227">
        <v>0.0</v>
      </c>
      <c r="D73" s="227" t="s">
        <v>332</v>
      </c>
      <c r="E73" s="227">
        <v>0.0</v>
      </c>
      <c r="F73" s="227" t="s">
        <v>332</v>
      </c>
      <c r="G73" s="221"/>
      <c r="H73" s="221"/>
      <c r="I73" s="221"/>
      <c r="J73" s="221"/>
      <c r="K73" s="221"/>
      <c r="L73" s="221"/>
      <c r="M73" s="221"/>
      <c r="N73" s="221"/>
      <c r="O73" s="221"/>
      <c r="P73" s="221"/>
      <c r="Q73" s="221"/>
      <c r="R73" s="221"/>
      <c r="S73" s="221"/>
      <c r="T73" s="221"/>
      <c r="U73" s="221"/>
      <c r="V73" s="221"/>
      <c r="W73" s="221"/>
      <c r="X73" s="221"/>
      <c r="Y73" s="221"/>
      <c r="Z73" s="221"/>
    </row>
    <row r="74">
      <c r="A74" s="225" t="s">
        <v>516</v>
      </c>
      <c r="B74" s="226" t="s">
        <v>137</v>
      </c>
      <c r="C74" s="227">
        <v>0.0</v>
      </c>
      <c r="D74" s="227" t="s">
        <v>332</v>
      </c>
      <c r="E74" s="227">
        <v>0.0</v>
      </c>
      <c r="F74" s="227" t="s">
        <v>332</v>
      </c>
      <c r="G74" s="221"/>
      <c r="H74" s="221"/>
      <c r="I74" s="221"/>
      <c r="J74" s="221"/>
      <c r="K74" s="221"/>
      <c r="L74" s="221"/>
      <c r="M74" s="221"/>
      <c r="N74" s="221"/>
      <c r="O74" s="221"/>
      <c r="P74" s="221"/>
      <c r="Q74" s="221"/>
      <c r="R74" s="221"/>
      <c r="S74" s="221"/>
      <c r="T74" s="221"/>
      <c r="U74" s="221"/>
      <c r="V74" s="221"/>
      <c r="W74" s="221"/>
      <c r="X74" s="221"/>
      <c r="Y74" s="221"/>
      <c r="Z74" s="221"/>
    </row>
    <row r="75">
      <c r="A75" s="225" t="s">
        <v>517</v>
      </c>
      <c r="B75" s="226" t="s">
        <v>137</v>
      </c>
      <c r="C75" s="227">
        <v>0.0</v>
      </c>
      <c r="D75" s="227">
        <v>0.0</v>
      </c>
      <c r="E75" s="227" t="s">
        <v>332</v>
      </c>
      <c r="F75" s="227" t="s">
        <v>332</v>
      </c>
      <c r="G75" s="221"/>
      <c r="H75" s="221"/>
      <c r="I75" s="221"/>
      <c r="J75" s="221"/>
      <c r="K75" s="221"/>
      <c r="L75" s="221"/>
      <c r="M75" s="221"/>
      <c r="N75" s="221"/>
      <c r="O75" s="221"/>
      <c r="P75" s="221"/>
      <c r="Q75" s="221"/>
      <c r="R75" s="221"/>
      <c r="S75" s="221"/>
      <c r="T75" s="221"/>
      <c r="U75" s="221"/>
      <c r="V75" s="221"/>
      <c r="W75" s="221"/>
      <c r="X75" s="221"/>
      <c r="Y75" s="221"/>
      <c r="Z75" s="221"/>
    </row>
    <row r="76">
      <c r="A76" s="225" t="s">
        <v>518</v>
      </c>
      <c r="B76" s="226" t="s">
        <v>137</v>
      </c>
      <c r="C76" s="227">
        <v>0.0</v>
      </c>
      <c r="D76" s="227" t="s">
        <v>332</v>
      </c>
      <c r="E76" s="227" t="s">
        <v>332</v>
      </c>
      <c r="F76" s="227" t="s">
        <v>332</v>
      </c>
      <c r="G76" s="221"/>
      <c r="H76" s="221"/>
      <c r="I76" s="221"/>
      <c r="J76" s="221"/>
      <c r="K76" s="221"/>
      <c r="L76" s="221"/>
      <c r="M76" s="221"/>
      <c r="N76" s="221"/>
      <c r="O76" s="221"/>
      <c r="P76" s="221"/>
      <c r="Q76" s="221"/>
      <c r="R76" s="221"/>
      <c r="S76" s="221"/>
      <c r="T76" s="221"/>
      <c r="U76" s="221"/>
      <c r="V76" s="221"/>
      <c r="W76" s="221"/>
      <c r="X76" s="221"/>
      <c r="Y76" s="221"/>
      <c r="Z76" s="221"/>
    </row>
    <row r="77">
      <c r="A77" s="225" t="s">
        <v>519</v>
      </c>
      <c r="B77" s="226" t="s">
        <v>137</v>
      </c>
      <c r="C77" s="227" t="s">
        <v>319</v>
      </c>
      <c r="D77" s="227" t="s">
        <v>329</v>
      </c>
      <c r="E77" s="227" t="s">
        <v>332</v>
      </c>
      <c r="F77" s="227" t="s">
        <v>332</v>
      </c>
      <c r="G77" s="221"/>
      <c r="H77" s="221"/>
      <c r="I77" s="221"/>
      <c r="J77" s="221"/>
      <c r="K77" s="221"/>
      <c r="L77" s="221"/>
      <c r="M77" s="221"/>
      <c r="N77" s="221"/>
      <c r="O77" s="221"/>
      <c r="P77" s="221"/>
      <c r="Q77" s="221"/>
      <c r="R77" s="221"/>
      <c r="S77" s="221"/>
      <c r="T77" s="221"/>
      <c r="U77" s="221"/>
      <c r="V77" s="221"/>
      <c r="W77" s="221"/>
      <c r="X77" s="221"/>
      <c r="Y77" s="221"/>
      <c r="Z77" s="221"/>
    </row>
    <row r="78">
      <c r="A78" s="225" t="s">
        <v>520</v>
      </c>
      <c r="B78" s="226" t="s">
        <v>137</v>
      </c>
      <c r="C78" s="227">
        <v>0.0</v>
      </c>
      <c r="D78" s="227" t="s">
        <v>332</v>
      </c>
      <c r="E78" s="227">
        <v>0.0</v>
      </c>
      <c r="F78" s="227">
        <v>0.0</v>
      </c>
      <c r="G78" s="221"/>
      <c r="H78" s="221"/>
      <c r="I78" s="221"/>
      <c r="J78" s="221"/>
      <c r="K78" s="221"/>
      <c r="L78" s="221"/>
      <c r="M78" s="221"/>
      <c r="N78" s="221"/>
      <c r="O78" s="221"/>
      <c r="P78" s="221"/>
      <c r="Q78" s="221"/>
      <c r="R78" s="221"/>
      <c r="S78" s="221"/>
      <c r="T78" s="221"/>
      <c r="U78" s="221"/>
      <c r="V78" s="221"/>
      <c r="W78" s="221"/>
      <c r="X78" s="221"/>
      <c r="Y78" s="221"/>
      <c r="Z78" s="221"/>
    </row>
    <row r="79">
      <c r="A79" s="225" t="s">
        <v>521</v>
      </c>
      <c r="B79" s="226" t="s">
        <v>137</v>
      </c>
      <c r="C79" s="227" t="s">
        <v>332</v>
      </c>
      <c r="D79" s="227" t="s">
        <v>332</v>
      </c>
      <c r="E79" s="227">
        <v>0.0</v>
      </c>
      <c r="F79" s="227" t="s">
        <v>332</v>
      </c>
      <c r="G79" s="221"/>
      <c r="H79" s="221"/>
      <c r="I79" s="221"/>
      <c r="J79" s="221"/>
      <c r="K79" s="221"/>
      <c r="L79" s="221"/>
      <c r="M79" s="221"/>
      <c r="N79" s="221"/>
      <c r="O79" s="221"/>
      <c r="P79" s="221"/>
      <c r="Q79" s="221"/>
      <c r="R79" s="221"/>
      <c r="S79" s="221"/>
      <c r="T79" s="221"/>
      <c r="U79" s="221"/>
      <c r="V79" s="221"/>
      <c r="W79" s="221"/>
      <c r="X79" s="221"/>
      <c r="Y79" s="221"/>
      <c r="Z79" s="221"/>
    </row>
    <row r="80">
      <c r="A80" s="225" t="s">
        <v>522</v>
      </c>
      <c r="B80" s="226" t="s">
        <v>137</v>
      </c>
      <c r="C80" s="227">
        <v>0.0</v>
      </c>
      <c r="D80" s="227" t="s">
        <v>332</v>
      </c>
      <c r="E80" s="227">
        <v>0.0</v>
      </c>
      <c r="F80" s="227">
        <v>0.0</v>
      </c>
      <c r="G80" s="221"/>
      <c r="H80" s="221"/>
      <c r="I80" s="221"/>
      <c r="J80" s="221"/>
      <c r="K80" s="221"/>
      <c r="L80" s="221"/>
      <c r="M80" s="221"/>
      <c r="N80" s="221"/>
      <c r="O80" s="221"/>
      <c r="P80" s="221"/>
      <c r="Q80" s="221"/>
      <c r="R80" s="221"/>
      <c r="S80" s="221"/>
      <c r="T80" s="221"/>
      <c r="U80" s="221"/>
      <c r="V80" s="221"/>
      <c r="W80" s="221"/>
      <c r="X80" s="221"/>
      <c r="Y80" s="221"/>
      <c r="Z80" s="221"/>
    </row>
    <row r="81">
      <c r="A81" s="225" t="s">
        <v>523</v>
      </c>
      <c r="B81" s="226" t="s">
        <v>137</v>
      </c>
      <c r="C81" s="227" t="s">
        <v>332</v>
      </c>
      <c r="D81" s="227" t="s">
        <v>332</v>
      </c>
      <c r="E81" s="227">
        <v>0.0</v>
      </c>
      <c r="F81" s="227" t="s">
        <v>332</v>
      </c>
      <c r="G81" s="221"/>
      <c r="H81" s="221"/>
      <c r="I81" s="221"/>
      <c r="J81" s="221"/>
      <c r="K81" s="221"/>
      <c r="L81" s="221"/>
      <c r="M81" s="221"/>
      <c r="N81" s="221"/>
      <c r="O81" s="221"/>
      <c r="P81" s="221"/>
      <c r="Q81" s="221"/>
      <c r="R81" s="221"/>
      <c r="S81" s="221"/>
      <c r="T81" s="221"/>
      <c r="U81" s="221"/>
      <c r="V81" s="221"/>
      <c r="W81" s="221"/>
      <c r="X81" s="221"/>
      <c r="Y81" s="221"/>
      <c r="Z81" s="221"/>
    </row>
    <row r="82">
      <c r="A82" s="225" t="s">
        <v>524</v>
      </c>
      <c r="B82" s="226" t="s">
        <v>137</v>
      </c>
      <c r="C82" s="227" t="s">
        <v>332</v>
      </c>
      <c r="D82" s="227" t="s">
        <v>332</v>
      </c>
      <c r="E82" s="227" t="s">
        <v>332</v>
      </c>
      <c r="F82" s="227" t="s">
        <v>332</v>
      </c>
      <c r="G82" s="221"/>
      <c r="H82" s="221"/>
      <c r="I82" s="221"/>
      <c r="J82" s="221"/>
      <c r="K82" s="221"/>
      <c r="L82" s="221"/>
      <c r="M82" s="221"/>
      <c r="N82" s="221"/>
      <c r="O82" s="221"/>
      <c r="P82" s="221"/>
      <c r="Q82" s="221"/>
      <c r="R82" s="221"/>
      <c r="S82" s="221"/>
      <c r="T82" s="221"/>
      <c r="U82" s="221"/>
      <c r="V82" s="221"/>
      <c r="W82" s="221"/>
      <c r="X82" s="221"/>
      <c r="Y82" s="221"/>
      <c r="Z82" s="221"/>
    </row>
    <row r="83">
      <c r="A83" s="225" t="s">
        <v>525</v>
      </c>
      <c r="B83" s="226" t="s">
        <v>137</v>
      </c>
      <c r="C83" s="227">
        <v>0.0</v>
      </c>
      <c r="D83" s="227" t="s">
        <v>332</v>
      </c>
      <c r="E83" s="227" t="s">
        <v>332</v>
      </c>
      <c r="F83" s="227" t="s">
        <v>332</v>
      </c>
      <c r="G83" s="221"/>
      <c r="H83" s="221"/>
      <c r="I83" s="221"/>
      <c r="J83" s="221"/>
      <c r="K83" s="221"/>
      <c r="L83" s="221"/>
      <c r="M83" s="221"/>
      <c r="N83" s="221"/>
      <c r="O83" s="221"/>
      <c r="P83" s="221"/>
      <c r="Q83" s="221"/>
      <c r="R83" s="221"/>
      <c r="S83" s="221"/>
      <c r="T83" s="221"/>
      <c r="U83" s="221"/>
      <c r="V83" s="221"/>
      <c r="W83" s="221"/>
      <c r="X83" s="221"/>
      <c r="Y83" s="221"/>
      <c r="Z83" s="221"/>
    </row>
    <row r="84">
      <c r="A84" s="225" t="s">
        <v>526</v>
      </c>
      <c r="B84" s="226" t="s">
        <v>137</v>
      </c>
      <c r="C84" s="227">
        <v>0.0</v>
      </c>
      <c r="D84" s="227">
        <v>0.0</v>
      </c>
      <c r="E84" s="227" t="s">
        <v>332</v>
      </c>
      <c r="F84" s="227" t="s">
        <v>332</v>
      </c>
      <c r="G84" s="221"/>
      <c r="H84" s="221"/>
      <c r="I84" s="221"/>
      <c r="J84" s="221"/>
      <c r="K84" s="221"/>
      <c r="L84" s="221"/>
      <c r="M84" s="221"/>
      <c r="N84" s="221"/>
      <c r="O84" s="221"/>
      <c r="P84" s="221"/>
      <c r="Q84" s="221"/>
      <c r="R84" s="221"/>
      <c r="S84" s="221"/>
      <c r="T84" s="221"/>
      <c r="U84" s="221"/>
      <c r="V84" s="221"/>
      <c r="W84" s="221"/>
      <c r="X84" s="221"/>
      <c r="Y84" s="221"/>
      <c r="Z84" s="221"/>
    </row>
    <row r="85">
      <c r="A85" s="225" t="s">
        <v>527</v>
      </c>
      <c r="B85" s="226" t="s">
        <v>137</v>
      </c>
      <c r="C85" s="227">
        <v>0.0</v>
      </c>
      <c r="D85" s="227" t="s">
        <v>332</v>
      </c>
      <c r="E85" s="227">
        <v>0.0</v>
      </c>
      <c r="F85" s="227" t="s">
        <v>332</v>
      </c>
      <c r="G85" s="221"/>
      <c r="H85" s="221"/>
      <c r="I85" s="221"/>
      <c r="J85" s="221"/>
      <c r="K85" s="221"/>
      <c r="L85" s="221"/>
      <c r="M85" s="221"/>
      <c r="N85" s="221"/>
      <c r="O85" s="221"/>
      <c r="P85" s="221"/>
      <c r="Q85" s="221"/>
      <c r="R85" s="221"/>
      <c r="S85" s="221"/>
      <c r="T85" s="221"/>
      <c r="U85" s="221"/>
      <c r="V85" s="221"/>
      <c r="W85" s="221"/>
      <c r="X85" s="221"/>
      <c r="Y85" s="221"/>
      <c r="Z85" s="221"/>
    </row>
    <row r="86">
      <c r="A86" s="225" t="s">
        <v>528</v>
      </c>
      <c r="B86" s="226" t="s">
        <v>137</v>
      </c>
      <c r="C86" s="227">
        <v>0.0</v>
      </c>
      <c r="D86" s="227" t="s">
        <v>332</v>
      </c>
      <c r="E86" s="227">
        <v>0.0</v>
      </c>
      <c r="F86" s="227">
        <v>0.0</v>
      </c>
      <c r="G86" s="221"/>
      <c r="H86" s="221"/>
      <c r="I86" s="221"/>
      <c r="J86" s="221"/>
      <c r="K86" s="221"/>
      <c r="L86" s="221"/>
      <c r="M86" s="221"/>
      <c r="N86" s="221"/>
      <c r="O86" s="221"/>
      <c r="P86" s="221"/>
      <c r="Q86" s="221"/>
      <c r="R86" s="221"/>
      <c r="S86" s="221"/>
      <c r="T86" s="221"/>
      <c r="U86" s="221"/>
      <c r="V86" s="221"/>
      <c r="W86" s="221"/>
      <c r="X86" s="221"/>
      <c r="Y86" s="221"/>
      <c r="Z86" s="221"/>
    </row>
    <row r="87">
      <c r="A87" s="225" t="s">
        <v>529</v>
      </c>
      <c r="B87" s="226" t="s">
        <v>137</v>
      </c>
      <c r="C87" s="227">
        <v>0.0</v>
      </c>
      <c r="D87" s="227" t="s">
        <v>332</v>
      </c>
      <c r="E87" s="227">
        <v>0.0</v>
      </c>
      <c r="F87" s="227" t="s">
        <v>332</v>
      </c>
      <c r="G87" s="221"/>
      <c r="H87" s="221"/>
      <c r="I87" s="221"/>
      <c r="J87" s="221"/>
      <c r="K87" s="221"/>
      <c r="L87" s="221"/>
      <c r="M87" s="221"/>
      <c r="N87" s="221"/>
      <c r="O87" s="221"/>
      <c r="P87" s="221"/>
      <c r="Q87" s="221"/>
      <c r="R87" s="221"/>
      <c r="S87" s="221"/>
      <c r="T87" s="221"/>
      <c r="U87" s="221"/>
      <c r="V87" s="221"/>
      <c r="W87" s="221"/>
      <c r="X87" s="221"/>
      <c r="Y87" s="221"/>
      <c r="Z87" s="221"/>
    </row>
    <row r="88">
      <c r="A88" s="225" t="s">
        <v>530</v>
      </c>
      <c r="B88" s="226" t="s">
        <v>137</v>
      </c>
      <c r="C88" s="227" t="s">
        <v>319</v>
      </c>
      <c r="D88" s="227" t="s">
        <v>319</v>
      </c>
      <c r="E88" s="227">
        <v>0.0</v>
      </c>
      <c r="F88" s="227">
        <v>0.0</v>
      </c>
      <c r="G88" s="221"/>
      <c r="H88" s="221"/>
      <c r="I88" s="221"/>
      <c r="J88" s="221"/>
      <c r="K88" s="221"/>
      <c r="L88" s="221"/>
      <c r="M88" s="221"/>
      <c r="N88" s="221"/>
      <c r="O88" s="221"/>
      <c r="P88" s="221"/>
      <c r="Q88" s="221"/>
      <c r="R88" s="221"/>
      <c r="S88" s="221"/>
      <c r="T88" s="221"/>
      <c r="U88" s="221"/>
      <c r="V88" s="221"/>
      <c r="W88" s="221"/>
      <c r="X88" s="221"/>
      <c r="Y88" s="221"/>
      <c r="Z88" s="221"/>
    </row>
    <row r="89">
      <c r="A89" s="225" t="s">
        <v>531</v>
      </c>
      <c r="B89" s="226" t="s">
        <v>137</v>
      </c>
      <c r="C89" s="227">
        <v>0.0</v>
      </c>
      <c r="D89" s="227" t="s">
        <v>332</v>
      </c>
      <c r="E89" s="227" t="s">
        <v>332</v>
      </c>
      <c r="F89" s="227" t="s">
        <v>332</v>
      </c>
      <c r="G89" s="221"/>
      <c r="H89" s="221"/>
      <c r="I89" s="221"/>
      <c r="J89" s="221"/>
      <c r="K89" s="221"/>
      <c r="L89" s="221"/>
      <c r="M89" s="221"/>
      <c r="N89" s="221"/>
      <c r="O89" s="221"/>
      <c r="P89" s="221"/>
      <c r="Q89" s="221"/>
      <c r="R89" s="221"/>
      <c r="S89" s="221"/>
      <c r="T89" s="221"/>
      <c r="U89" s="221"/>
      <c r="V89" s="221"/>
      <c r="W89" s="221"/>
      <c r="X89" s="221"/>
      <c r="Y89" s="221"/>
      <c r="Z89" s="221"/>
    </row>
    <row r="90">
      <c r="A90" s="225" t="s">
        <v>532</v>
      </c>
      <c r="B90" s="226" t="s">
        <v>137</v>
      </c>
      <c r="C90" s="227">
        <v>0.0</v>
      </c>
      <c r="D90" s="227" t="s">
        <v>332</v>
      </c>
      <c r="E90" s="227">
        <v>0.0</v>
      </c>
      <c r="F90" s="227" t="s">
        <v>332</v>
      </c>
      <c r="G90" s="221"/>
      <c r="H90" s="221"/>
      <c r="I90" s="221"/>
      <c r="J90" s="221"/>
      <c r="K90" s="221"/>
      <c r="L90" s="221"/>
      <c r="M90" s="221"/>
      <c r="N90" s="221"/>
      <c r="O90" s="221"/>
      <c r="P90" s="221"/>
      <c r="Q90" s="221"/>
      <c r="R90" s="221"/>
      <c r="S90" s="221"/>
      <c r="T90" s="221"/>
      <c r="U90" s="221"/>
      <c r="V90" s="221"/>
      <c r="W90" s="221"/>
      <c r="X90" s="221"/>
      <c r="Y90" s="221"/>
      <c r="Z90" s="221"/>
    </row>
    <row r="91">
      <c r="A91" s="225" t="s">
        <v>533</v>
      </c>
      <c r="B91" s="226" t="s">
        <v>137</v>
      </c>
      <c r="C91" s="227">
        <v>0.0</v>
      </c>
      <c r="D91" s="227" t="s">
        <v>332</v>
      </c>
      <c r="E91" s="227">
        <v>0.0</v>
      </c>
      <c r="F91" s="227">
        <v>0.0</v>
      </c>
      <c r="G91" s="221"/>
      <c r="H91" s="221"/>
      <c r="I91" s="221"/>
      <c r="J91" s="221"/>
      <c r="K91" s="221"/>
      <c r="L91" s="221"/>
      <c r="M91" s="221"/>
      <c r="N91" s="221"/>
      <c r="O91" s="221"/>
      <c r="P91" s="221"/>
      <c r="Q91" s="221"/>
      <c r="R91" s="221"/>
      <c r="S91" s="221"/>
      <c r="T91" s="221"/>
      <c r="U91" s="221"/>
      <c r="V91" s="221"/>
      <c r="W91" s="221"/>
      <c r="X91" s="221"/>
      <c r="Y91" s="221"/>
      <c r="Z91" s="221"/>
    </row>
    <row r="92">
      <c r="A92" s="225" t="s">
        <v>534</v>
      </c>
      <c r="B92" s="226" t="s">
        <v>137</v>
      </c>
      <c r="C92" s="227">
        <v>0.0</v>
      </c>
      <c r="D92" s="227" t="s">
        <v>332</v>
      </c>
      <c r="E92" s="227" t="s">
        <v>332</v>
      </c>
      <c r="F92" s="227" t="s">
        <v>332</v>
      </c>
      <c r="G92" s="221"/>
      <c r="H92" s="221"/>
      <c r="I92" s="221"/>
      <c r="J92" s="221"/>
      <c r="K92" s="221"/>
      <c r="L92" s="221"/>
      <c r="M92" s="221"/>
      <c r="N92" s="221"/>
      <c r="O92" s="221"/>
      <c r="P92" s="221"/>
      <c r="Q92" s="221"/>
      <c r="R92" s="221"/>
      <c r="S92" s="221"/>
      <c r="T92" s="221"/>
      <c r="U92" s="221"/>
      <c r="V92" s="221"/>
      <c r="W92" s="221"/>
      <c r="X92" s="221"/>
      <c r="Y92" s="221"/>
      <c r="Z92" s="221"/>
    </row>
    <row r="93">
      <c r="A93" s="225" t="s">
        <v>535</v>
      </c>
      <c r="B93" s="226" t="s">
        <v>137</v>
      </c>
      <c r="C93" s="227">
        <v>0.0</v>
      </c>
      <c r="D93" s="227">
        <v>0.0</v>
      </c>
      <c r="E93" s="227">
        <v>0.0</v>
      </c>
      <c r="F93" s="227" t="s">
        <v>332</v>
      </c>
      <c r="G93" s="221"/>
      <c r="H93" s="221"/>
      <c r="I93" s="221"/>
      <c r="J93" s="221"/>
      <c r="K93" s="221"/>
      <c r="L93" s="221"/>
      <c r="M93" s="221"/>
      <c r="N93" s="221"/>
      <c r="O93" s="221"/>
      <c r="P93" s="221"/>
      <c r="Q93" s="221"/>
      <c r="R93" s="221"/>
      <c r="S93" s="221"/>
      <c r="T93" s="221"/>
      <c r="U93" s="221"/>
      <c r="V93" s="221"/>
      <c r="W93" s="221"/>
      <c r="X93" s="221"/>
      <c r="Y93" s="221"/>
      <c r="Z93" s="221"/>
    </row>
    <row r="94">
      <c r="A94" s="225" t="s">
        <v>536</v>
      </c>
      <c r="B94" s="226" t="s">
        <v>138</v>
      </c>
      <c r="C94" s="227">
        <v>0.0</v>
      </c>
      <c r="D94" s="227" t="s">
        <v>332</v>
      </c>
      <c r="E94" s="227">
        <v>0.0</v>
      </c>
      <c r="F94" s="227">
        <v>0.0</v>
      </c>
      <c r="G94" s="221"/>
      <c r="H94" s="221"/>
      <c r="I94" s="221"/>
      <c r="J94" s="221"/>
      <c r="K94" s="221"/>
      <c r="L94" s="221"/>
      <c r="M94" s="221"/>
      <c r="N94" s="221"/>
      <c r="O94" s="221"/>
      <c r="P94" s="221"/>
      <c r="Q94" s="221"/>
      <c r="R94" s="221"/>
      <c r="S94" s="221"/>
      <c r="T94" s="221"/>
      <c r="U94" s="221"/>
      <c r="V94" s="221"/>
      <c r="W94" s="221"/>
      <c r="X94" s="221"/>
      <c r="Y94" s="221"/>
      <c r="Z94" s="221"/>
    </row>
    <row r="95">
      <c r="A95" s="225" t="s">
        <v>537</v>
      </c>
      <c r="B95" s="226" t="s">
        <v>138</v>
      </c>
      <c r="C95" s="227">
        <v>0.0</v>
      </c>
      <c r="D95" s="227">
        <v>0.0</v>
      </c>
      <c r="E95" s="227" t="s">
        <v>332</v>
      </c>
      <c r="F95" s="227" t="s">
        <v>332</v>
      </c>
      <c r="G95" s="221"/>
      <c r="H95" s="221"/>
      <c r="I95" s="221"/>
      <c r="J95" s="221"/>
      <c r="K95" s="221"/>
      <c r="L95" s="221"/>
      <c r="M95" s="221"/>
      <c r="N95" s="221"/>
      <c r="O95" s="221"/>
      <c r="P95" s="221"/>
      <c r="Q95" s="221"/>
      <c r="R95" s="221"/>
      <c r="S95" s="221"/>
      <c r="T95" s="221"/>
      <c r="U95" s="221"/>
      <c r="V95" s="221"/>
      <c r="W95" s="221"/>
      <c r="X95" s="221"/>
      <c r="Y95" s="221"/>
      <c r="Z95" s="221"/>
    </row>
    <row r="96">
      <c r="A96" s="225" t="s">
        <v>538</v>
      </c>
      <c r="B96" s="226" t="s">
        <v>138</v>
      </c>
      <c r="C96" s="227" t="s">
        <v>332</v>
      </c>
      <c r="D96" s="227" t="s">
        <v>332</v>
      </c>
      <c r="E96" s="227">
        <v>0.0</v>
      </c>
      <c r="F96" s="227" t="s">
        <v>332</v>
      </c>
      <c r="G96" s="221"/>
      <c r="H96" s="221"/>
      <c r="I96" s="221"/>
      <c r="J96" s="221"/>
      <c r="K96" s="221"/>
      <c r="L96" s="221"/>
      <c r="M96" s="221"/>
      <c r="N96" s="221"/>
      <c r="O96" s="221"/>
      <c r="P96" s="221"/>
      <c r="Q96" s="221"/>
      <c r="R96" s="221"/>
      <c r="S96" s="221"/>
      <c r="T96" s="221"/>
      <c r="U96" s="221"/>
      <c r="V96" s="221"/>
      <c r="W96" s="221"/>
      <c r="X96" s="221"/>
      <c r="Y96" s="221"/>
      <c r="Z96" s="221"/>
    </row>
    <row r="97">
      <c r="A97" s="225" t="s">
        <v>539</v>
      </c>
      <c r="B97" s="226" t="s">
        <v>138</v>
      </c>
      <c r="C97" s="227">
        <v>0.0</v>
      </c>
      <c r="D97" s="227">
        <v>0.0</v>
      </c>
      <c r="E97" s="227">
        <v>0.0</v>
      </c>
      <c r="F97" s="227" t="s">
        <v>332</v>
      </c>
      <c r="G97" s="221"/>
      <c r="H97" s="221"/>
      <c r="I97" s="221"/>
      <c r="J97" s="221"/>
      <c r="K97" s="221"/>
      <c r="L97" s="221"/>
      <c r="M97" s="221"/>
      <c r="N97" s="221"/>
      <c r="O97" s="221"/>
      <c r="P97" s="221"/>
      <c r="Q97" s="221"/>
      <c r="R97" s="221"/>
      <c r="S97" s="221"/>
      <c r="T97" s="221"/>
      <c r="U97" s="221"/>
      <c r="V97" s="221"/>
      <c r="W97" s="221"/>
      <c r="X97" s="221"/>
      <c r="Y97" s="221"/>
      <c r="Z97" s="221"/>
    </row>
    <row r="98">
      <c r="A98" s="225" t="s">
        <v>540</v>
      </c>
      <c r="B98" s="226" t="s">
        <v>138</v>
      </c>
      <c r="C98" s="227">
        <v>0.0</v>
      </c>
      <c r="D98" s="227" t="s">
        <v>332</v>
      </c>
      <c r="E98" s="227">
        <v>0.0</v>
      </c>
      <c r="F98" s="227" t="s">
        <v>332</v>
      </c>
      <c r="G98" s="221"/>
      <c r="H98" s="221"/>
      <c r="I98" s="221"/>
      <c r="J98" s="221"/>
      <c r="K98" s="221"/>
      <c r="L98" s="221"/>
      <c r="M98" s="221"/>
      <c r="N98" s="221"/>
      <c r="O98" s="221"/>
      <c r="P98" s="221"/>
      <c r="Q98" s="221"/>
      <c r="R98" s="221"/>
      <c r="S98" s="221"/>
      <c r="T98" s="221"/>
      <c r="U98" s="221"/>
      <c r="V98" s="221"/>
      <c r="W98" s="221"/>
      <c r="X98" s="221"/>
      <c r="Y98" s="221"/>
      <c r="Z98" s="221"/>
    </row>
    <row r="99">
      <c r="A99" s="225" t="s">
        <v>541</v>
      </c>
      <c r="B99" s="226" t="s">
        <v>138</v>
      </c>
      <c r="C99" s="227">
        <v>0.0</v>
      </c>
      <c r="D99" s="227" t="s">
        <v>332</v>
      </c>
      <c r="E99" s="227">
        <v>0.0</v>
      </c>
      <c r="F99" s="227">
        <v>0.0</v>
      </c>
      <c r="G99" s="221"/>
      <c r="H99" s="221"/>
      <c r="I99" s="221"/>
      <c r="J99" s="221"/>
      <c r="K99" s="221"/>
      <c r="L99" s="221"/>
      <c r="M99" s="221"/>
      <c r="N99" s="221"/>
      <c r="O99" s="221"/>
      <c r="P99" s="221"/>
      <c r="Q99" s="221"/>
      <c r="R99" s="221"/>
      <c r="S99" s="221"/>
      <c r="T99" s="221"/>
      <c r="U99" s="221"/>
      <c r="V99" s="221"/>
      <c r="W99" s="221"/>
      <c r="X99" s="221"/>
      <c r="Y99" s="221"/>
      <c r="Z99" s="221"/>
    </row>
    <row r="100">
      <c r="A100" s="225" t="s">
        <v>542</v>
      </c>
      <c r="B100" s="226" t="s">
        <v>543</v>
      </c>
      <c r="C100" s="227" t="s">
        <v>332</v>
      </c>
      <c r="D100" s="227" t="s">
        <v>332</v>
      </c>
      <c r="E100" s="227">
        <v>0.0</v>
      </c>
      <c r="F100" s="227">
        <v>0.0</v>
      </c>
      <c r="G100" s="221"/>
      <c r="H100" s="221"/>
      <c r="I100" s="221"/>
      <c r="J100" s="221"/>
      <c r="K100" s="221"/>
      <c r="L100" s="221"/>
      <c r="M100" s="221"/>
      <c r="N100" s="221"/>
      <c r="O100" s="221"/>
      <c r="P100" s="221"/>
      <c r="Q100" s="221"/>
      <c r="R100" s="221"/>
      <c r="S100" s="221"/>
      <c r="T100" s="221"/>
      <c r="U100" s="221"/>
      <c r="V100" s="221"/>
      <c r="W100" s="221"/>
      <c r="X100" s="221"/>
      <c r="Y100" s="221"/>
      <c r="Z100" s="221"/>
    </row>
    <row r="101">
      <c r="A101" s="225" t="s">
        <v>544</v>
      </c>
      <c r="B101" s="226" t="s">
        <v>545</v>
      </c>
      <c r="C101" s="227" t="s">
        <v>332</v>
      </c>
      <c r="D101" s="227" t="s">
        <v>322</v>
      </c>
      <c r="E101" s="227">
        <v>0.0</v>
      </c>
      <c r="F101" s="227" t="s">
        <v>332</v>
      </c>
      <c r="G101" s="221"/>
      <c r="H101" s="221"/>
      <c r="I101" s="221"/>
      <c r="J101" s="221"/>
      <c r="K101" s="221"/>
      <c r="L101" s="221"/>
      <c r="M101" s="221"/>
      <c r="N101" s="221"/>
      <c r="O101" s="221"/>
      <c r="P101" s="221"/>
      <c r="Q101" s="221"/>
      <c r="R101" s="221"/>
      <c r="S101" s="221"/>
      <c r="T101" s="221"/>
      <c r="U101" s="221"/>
      <c r="V101" s="221"/>
      <c r="W101" s="221"/>
      <c r="X101" s="221"/>
      <c r="Y101" s="221"/>
      <c r="Z101" s="221"/>
    </row>
    <row r="102">
      <c r="A102" s="225" t="s">
        <v>546</v>
      </c>
      <c r="B102" s="226" t="s">
        <v>546</v>
      </c>
      <c r="C102" s="227">
        <v>0.0</v>
      </c>
      <c r="D102" s="227">
        <v>0.0</v>
      </c>
      <c r="E102" s="227" t="s">
        <v>332</v>
      </c>
      <c r="F102" s="227" t="s">
        <v>332</v>
      </c>
      <c r="G102" s="221"/>
      <c r="H102" s="221"/>
      <c r="I102" s="221"/>
      <c r="J102" s="221"/>
      <c r="K102" s="221"/>
      <c r="L102" s="221"/>
      <c r="M102" s="221"/>
      <c r="N102" s="221"/>
      <c r="O102" s="221"/>
      <c r="P102" s="221"/>
      <c r="Q102" s="221"/>
      <c r="R102" s="221"/>
      <c r="S102" s="221"/>
      <c r="T102" s="221"/>
      <c r="U102" s="221"/>
      <c r="V102" s="221"/>
      <c r="W102" s="221"/>
      <c r="X102" s="221"/>
      <c r="Y102" s="221"/>
      <c r="Z102" s="221"/>
    </row>
    <row r="103">
      <c r="A103" s="225" t="s">
        <v>547</v>
      </c>
      <c r="B103" s="226" t="s">
        <v>139</v>
      </c>
      <c r="C103" s="227" t="s">
        <v>332</v>
      </c>
      <c r="D103" s="227" t="s">
        <v>319</v>
      </c>
      <c r="E103" s="227">
        <v>0.0</v>
      </c>
      <c r="F103" s="227">
        <v>0.0</v>
      </c>
      <c r="G103" s="221"/>
      <c r="H103" s="221"/>
      <c r="I103" s="221"/>
      <c r="J103" s="221"/>
      <c r="K103" s="221"/>
      <c r="L103" s="221"/>
      <c r="M103" s="221"/>
      <c r="N103" s="221"/>
      <c r="O103" s="221"/>
      <c r="P103" s="221"/>
      <c r="Q103" s="221"/>
      <c r="R103" s="221"/>
      <c r="S103" s="221"/>
      <c r="T103" s="221"/>
      <c r="U103" s="221"/>
      <c r="V103" s="221"/>
      <c r="W103" s="221"/>
      <c r="X103" s="221"/>
      <c r="Y103" s="221"/>
      <c r="Z103" s="221"/>
    </row>
    <row r="104">
      <c r="A104" s="225" t="s">
        <v>548</v>
      </c>
      <c r="B104" s="226" t="s">
        <v>139</v>
      </c>
      <c r="C104" s="227" t="s">
        <v>332</v>
      </c>
      <c r="D104" s="227" t="s">
        <v>332</v>
      </c>
      <c r="E104" s="227" t="s">
        <v>332</v>
      </c>
      <c r="F104" s="227" t="s">
        <v>332</v>
      </c>
      <c r="G104" s="221"/>
      <c r="H104" s="221"/>
      <c r="I104" s="221"/>
      <c r="J104" s="221"/>
      <c r="K104" s="221"/>
      <c r="L104" s="221"/>
      <c r="M104" s="221"/>
      <c r="N104" s="221"/>
      <c r="O104" s="221"/>
      <c r="P104" s="221"/>
      <c r="Q104" s="221"/>
      <c r="R104" s="221"/>
      <c r="S104" s="221"/>
      <c r="T104" s="221"/>
      <c r="U104" s="221"/>
      <c r="V104" s="221"/>
      <c r="W104" s="221"/>
      <c r="X104" s="221"/>
      <c r="Y104" s="221"/>
      <c r="Z104" s="221"/>
    </row>
    <row r="105">
      <c r="A105" s="225" t="s">
        <v>549</v>
      </c>
      <c r="B105" s="226" t="s">
        <v>139</v>
      </c>
      <c r="C105" s="227">
        <v>0.0</v>
      </c>
      <c r="D105" s="227">
        <v>0.0</v>
      </c>
      <c r="E105" s="227" t="s">
        <v>332</v>
      </c>
      <c r="F105" s="227" t="s">
        <v>332</v>
      </c>
      <c r="G105" s="221"/>
      <c r="H105" s="221"/>
      <c r="I105" s="221"/>
      <c r="J105" s="221"/>
      <c r="K105" s="221"/>
      <c r="L105" s="221"/>
      <c r="M105" s="221"/>
      <c r="N105" s="221"/>
      <c r="O105" s="221"/>
      <c r="P105" s="221"/>
      <c r="Q105" s="221"/>
      <c r="R105" s="221"/>
      <c r="S105" s="221"/>
      <c r="T105" s="221"/>
      <c r="U105" s="221"/>
      <c r="V105" s="221"/>
      <c r="W105" s="221"/>
      <c r="X105" s="221"/>
      <c r="Y105" s="221"/>
      <c r="Z105" s="221"/>
    </row>
    <row r="106">
      <c r="A106" s="225" t="s">
        <v>550</v>
      </c>
      <c r="B106" s="226" t="s">
        <v>139</v>
      </c>
      <c r="C106" s="227" t="s">
        <v>332</v>
      </c>
      <c r="D106" s="227" t="s">
        <v>332</v>
      </c>
      <c r="E106" s="227">
        <v>0.0</v>
      </c>
      <c r="F106" s="227" t="s">
        <v>332</v>
      </c>
      <c r="G106" s="221"/>
      <c r="H106" s="221"/>
      <c r="I106" s="221"/>
      <c r="J106" s="221"/>
      <c r="K106" s="221"/>
      <c r="L106" s="221"/>
      <c r="M106" s="221"/>
      <c r="N106" s="221"/>
      <c r="O106" s="221"/>
      <c r="P106" s="221"/>
      <c r="Q106" s="221"/>
      <c r="R106" s="221"/>
      <c r="S106" s="221"/>
      <c r="T106" s="221"/>
      <c r="U106" s="221"/>
      <c r="V106" s="221"/>
      <c r="W106" s="221"/>
      <c r="X106" s="221"/>
      <c r="Y106" s="221"/>
      <c r="Z106" s="221"/>
    </row>
    <row r="107">
      <c r="A107" s="225" t="s">
        <v>551</v>
      </c>
      <c r="B107" s="226" t="s">
        <v>139</v>
      </c>
      <c r="C107" s="227">
        <v>0.0</v>
      </c>
      <c r="D107" s="227" t="s">
        <v>332</v>
      </c>
      <c r="E107" s="227">
        <v>0.0</v>
      </c>
      <c r="F107" s="227">
        <v>0.0</v>
      </c>
      <c r="G107" s="221"/>
      <c r="H107" s="221"/>
      <c r="I107" s="221"/>
      <c r="J107" s="221"/>
      <c r="K107" s="221"/>
      <c r="L107" s="221"/>
      <c r="M107" s="221"/>
      <c r="N107" s="221"/>
      <c r="O107" s="221"/>
      <c r="P107" s="221"/>
      <c r="Q107" s="221"/>
      <c r="R107" s="221"/>
      <c r="S107" s="221"/>
      <c r="T107" s="221"/>
      <c r="U107" s="221"/>
      <c r="V107" s="221"/>
      <c r="W107" s="221"/>
      <c r="X107" s="221"/>
      <c r="Y107" s="221"/>
      <c r="Z107" s="221"/>
    </row>
    <row r="108">
      <c r="A108" s="225" t="s">
        <v>552</v>
      </c>
      <c r="B108" s="226" t="s">
        <v>140</v>
      </c>
      <c r="C108" s="227">
        <v>0.0</v>
      </c>
      <c r="D108" s="227">
        <v>0.0</v>
      </c>
      <c r="E108" s="227">
        <v>0.0</v>
      </c>
      <c r="F108" s="227" t="s">
        <v>332</v>
      </c>
      <c r="G108" s="221"/>
      <c r="H108" s="221"/>
      <c r="I108" s="221"/>
      <c r="J108" s="221"/>
      <c r="K108" s="221"/>
      <c r="L108" s="221"/>
      <c r="M108" s="221"/>
      <c r="N108" s="221"/>
      <c r="O108" s="221"/>
      <c r="P108" s="221"/>
      <c r="Q108" s="221"/>
      <c r="R108" s="221"/>
      <c r="S108" s="221"/>
      <c r="T108" s="221"/>
      <c r="U108" s="221"/>
      <c r="V108" s="221"/>
      <c r="W108" s="221"/>
      <c r="X108" s="221"/>
      <c r="Y108" s="221"/>
      <c r="Z108" s="221"/>
    </row>
    <row r="109">
      <c r="A109" s="225" t="s">
        <v>553</v>
      </c>
      <c r="B109" s="226" t="s">
        <v>140</v>
      </c>
      <c r="C109" s="227">
        <v>0.0</v>
      </c>
      <c r="D109" s="227" t="s">
        <v>332</v>
      </c>
      <c r="E109" s="227">
        <v>0.0</v>
      </c>
      <c r="F109" s="227">
        <v>0.0</v>
      </c>
      <c r="G109" s="221"/>
      <c r="H109" s="221"/>
      <c r="I109" s="221"/>
      <c r="J109" s="221"/>
      <c r="K109" s="221"/>
      <c r="L109" s="221"/>
      <c r="M109" s="221"/>
      <c r="N109" s="221"/>
      <c r="O109" s="221"/>
      <c r="P109" s="221"/>
      <c r="Q109" s="221"/>
      <c r="R109" s="221"/>
      <c r="S109" s="221"/>
      <c r="T109" s="221"/>
      <c r="U109" s="221"/>
      <c r="V109" s="221"/>
      <c r="W109" s="221"/>
      <c r="X109" s="221"/>
      <c r="Y109" s="221"/>
      <c r="Z109" s="221"/>
    </row>
    <row r="110">
      <c r="A110" s="225" t="s">
        <v>554</v>
      </c>
      <c r="B110" s="226" t="s">
        <v>140</v>
      </c>
      <c r="C110" s="227" t="s">
        <v>332</v>
      </c>
      <c r="D110" s="227" t="s">
        <v>332</v>
      </c>
      <c r="E110" s="227" t="s">
        <v>332</v>
      </c>
      <c r="F110" s="227" t="s">
        <v>319</v>
      </c>
      <c r="G110" s="221"/>
      <c r="H110" s="221"/>
      <c r="I110" s="221"/>
      <c r="J110" s="221"/>
      <c r="K110" s="221"/>
      <c r="L110" s="221"/>
      <c r="M110" s="221"/>
      <c r="N110" s="221"/>
      <c r="O110" s="221"/>
      <c r="P110" s="221"/>
      <c r="Q110" s="221"/>
      <c r="R110" s="221"/>
      <c r="S110" s="221"/>
      <c r="T110" s="221"/>
      <c r="U110" s="221"/>
      <c r="V110" s="221"/>
      <c r="W110" s="221"/>
      <c r="X110" s="221"/>
      <c r="Y110" s="221"/>
      <c r="Z110" s="221"/>
    </row>
    <row r="111">
      <c r="A111" s="225" t="s">
        <v>555</v>
      </c>
      <c r="B111" s="226" t="s">
        <v>140</v>
      </c>
      <c r="C111" s="227">
        <v>0.0</v>
      </c>
      <c r="D111" s="227" t="s">
        <v>332</v>
      </c>
      <c r="E111" s="227">
        <v>0.0</v>
      </c>
      <c r="F111" s="227" t="s">
        <v>332</v>
      </c>
      <c r="G111" s="221"/>
      <c r="H111" s="221"/>
      <c r="I111" s="221"/>
      <c r="J111" s="221"/>
      <c r="K111" s="221"/>
      <c r="L111" s="221"/>
      <c r="M111" s="221"/>
      <c r="N111" s="221"/>
      <c r="O111" s="221"/>
      <c r="P111" s="221"/>
      <c r="Q111" s="221"/>
      <c r="R111" s="221"/>
      <c r="S111" s="221"/>
      <c r="T111" s="221"/>
      <c r="U111" s="221"/>
      <c r="V111" s="221"/>
      <c r="W111" s="221"/>
      <c r="X111" s="221"/>
      <c r="Y111" s="221"/>
      <c r="Z111" s="221"/>
    </row>
    <row r="112">
      <c r="A112" s="225" t="s">
        <v>556</v>
      </c>
      <c r="B112" s="226" t="s">
        <v>140</v>
      </c>
      <c r="C112" s="227">
        <v>0.0</v>
      </c>
      <c r="D112" s="227">
        <v>0.0</v>
      </c>
      <c r="E112" s="227" t="s">
        <v>332</v>
      </c>
      <c r="F112" s="227" t="s">
        <v>332</v>
      </c>
      <c r="G112" s="221"/>
      <c r="H112" s="221"/>
      <c r="I112" s="221"/>
      <c r="J112" s="221"/>
      <c r="K112" s="221"/>
      <c r="L112" s="221"/>
      <c r="M112" s="221"/>
      <c r="N112" s="221"/>
      <c r="O112" s="221"/>
      <c r="P112" s="221"/>
      <c r="Q112" s="221"/>
      <c r="R112" s="221"/>
      <c r="S112" s="221"/>
      <c r="T112" s="221"/>
      <c r="U112" s="221"/>
      <c r="V112" s="221"/>
      <c r="W112" s="221"/>
      <c r="X112" s="221"/>
      <c r="Y112" s="221"/>
      <c r="Z112" s="221"/>
    </row>
    <row r="113">
      <c r="A113" s="225" t="s">
        <v>557</v>
      </c>
      <c r="B113" s="226" t="s">
        <v>140</v>
      </c>
      <c r="C113" s="227">
        <v>0.0</v>
      </c>
      <c r="D113" s="227">
        <v>0.0</v>
      </c>
      <c r="E113" s="227">
        <v>0.0</v>
      </c>
      <c r="F113" s="227" t="s">
        <v>332</v>
      </c>
      <c r="G113" s="221"/>
      <c r="H113" s="221"/>
      <c r="I113" s="221"/>
      <c r="J113" s="221"/>
      <c r="K113" s="221"/>
      <c r="L113" s="221"/>
      <c r="M113" s="221"/>
      <c r="N113" s="221"/>
      <c r="O113" s="221"/>
      <c r="P113" s="221"/>
      <c r="Q113" s="221"/>
      <c r="R113" s="221"/>
      <c r="S113" s="221"/>
      <c r="T113" s="221"/>
      <c r="U113" s="221"/>
      <c r="V113" s="221"/>
      <c r="W113" s="221"/>
      <c r="X113" s="221"/>
      <c r="Y113" s="221"/>
      <c r="Z113" s="221"/>
    </row>
    <row r="114">
      <c r="A114" s="225" t="s">
        <v>558</v>
      </c>
      <c r="B114" s="226" t="s">
        <v>140</v>
      </c>
      <c r="C114" s="227">
        <v>0.0</v>
      </c>
      <c r="D114" s="227" t="s">
        <v>332</v>
      </c>
      <c r="E114" s="227">
        <v>0.0</v>
      </c>
      <c r="F114" s="227">
        <v>0.0</v>
      </c>
      <c r="G114" s="221"/>
      <c r="H114" s="221"/>
      <c r="I114" s="221"/>
      <c r="J114" s="221"/>
      <c r="K114" s="221"/>
      <c r="L114" s="221"/>
      <c r="M114" s="221"/>
      <c r="N114" s="221"/>
      <c r="O114" s="221"/>
      <c r="P114" s="221"/>
      <c r="Q114" s="221"/>
      <c r="R114" s="221"/>
      <c r="S114" s="221"/>
      <c r="T114" s="221"/>
      <c r="U114" s="221"/>
      <c r="V114" s="221"/>
      <c r="W114" s="221"/>
      <c r="X114" s="221"/>
      <c r="Y114" s="221"/>
      <c r="Z114" s="221"/>
    </row>
    <row r="115">
      <c r="A115" s="225" t="s">
        <v>559</v>
      </c>
      <c r="B115" s="226" t="s">
        <v>140</v>
      </c>
      <c r="C115" s="227">
        <v>0.0</v>
      </c>
      <c r="D115" s="227" t="s">
        <v>332</v>
      </c>
      <c r="E115" s="227">
        <v>0.0</v>
      </c>
      <c r="F115" s="227">
        <v>0.0</v>
      </c>
      <c r="G115" s="221"/>
      <c r="H115" s="221"/>
      <c r="I115" s="221"/>
      <c r="J115" s="221"/>
      <c r="K115" s="221"/>
      <c r="L115" s="221"/>
      <c r="M115" s="221"/>
      <c r="N115" s="221"/>
      <c r="O115" s="221"/>
      <c r="P115" s="221"/>
      <c r="Q115" s="221"/>
      <c r="R115" s="221"/>
      <c r="S115" s="221"/>
      <c r="T115" s="221"/>
      <c r="U115" s="221"/>
      <c r="V115" s="221"/>
      <c r="W115" s="221"/>
      <c r="X115" s="221"/>
      <c r="Y115" s="221"/>
      <c r="Z115" s="221"/>
    </row>
    <row r="116">
      <c r="A116" s="225" t="s">
        <v>560</v>
      </c>
      <c r="B116" s="226" t="s">
        <v>140</v>
      </c>
      <c r="C116" s="227" t="s">
        <v>332</v>
      </c>
      <c r="D116" s="227" t="s">
        <v>332</v>
      </c>
      <c r="E116" s="227" t="s">
        <v>332</v>
      </c>
      <c r="F116" s="227" t="s">
        <v>332</v>
      </c>
      <c r="G116" s="221"/>
      <c r="H116" s="221"/>
      <c r="I116" s="221"/>
      <c r="J116" s="221"/>
      <c r="K116" s="221"/>
      <c r="L116" s="221"/>
      <c r="M116" s="221"/>
      <c r="N116" s="221"/>
      <c r="O116" s="221"/>
      <c r="P116" s="221"/>
      <c r="Q116" s="221"/>
      <c r="R116" s="221"/>
      <c r="S116" s="221"/>
      <c r="T116" s="221"/>
      <c r="U116" s="221"/>
      <c r="V116" s="221"/>
      <c r="W116" s="221"/>
      <c r="X116" s="221"/>
      <c r="Y116" s="221"/>
      <c r="Z116" s="221"/>
    </row>
    <row r="117">
      <c r="A117" s="225" t="s">
        <v>561</v>
      </c>
      <c r="B117" s="226" t="s">
        <v>140</v>
      </c>
      <c r="C117" s="227">
        <v>0.0</v>
      </c>
      <c r="D117" s="227" t="s">
        <v>332</v>
      </c>
      <c r="E117" s="227">
        <v>0.0</v>
      </c>
      <c r="F117" s="227">
        <v>0.0</v>
      </c>
      <c r="G117" s="221"/>
      <c r="H117" s="221"/>
      <c r="I117" s="221"/>
      <c r="J117" s="221"/>
      <c r="K117" s="221"/>
      <c r="L117" s="221"/>
      <c r="M117" s="221"/>
      <c r="N117" s="221"/>
      <c r="O117" s="221"/>
      <c r="P117" s="221"/>
      <c r="Q117" s="221"/>
      <c r="R117" s="221"/>
      <c r="S117" s="221"/>
      <c r="T117" s="221"/>
      <c r="U117" s="221"/>
      <c r="V117" s="221"/>
      <c r="W117" s="221"/>
      <c r="X117" s="221"/>
      <c r="Y117" s="221"/>
      <c r="Z117" s="221"/>
    </row>
    <row r="118">
      <c r="A118" s="225" t="s">
        <v>562</v>
      </c>
      <c r="B118" s="226" t="s">
        <v>140</v>
      </c>
      <c r="C118" s="227">
        <v>0.0</v>
      </c>
      <c r="D118" s="227">
        <v>0.0</v>
      </c>
      <c r="E118" s="227">
        <v>0.0</v>
      </c>
      <c r="F118" s="227" t="s">
        <v>332</v>
      </c>
      <c r="G118" s="221"/>
      <c r="H118" s="221"/>
      <c r="I118" s="221"/>
      <c r="J118" s="221"/>
      <c r="K118" s="221"/>
      <c r="L118" s="221"/>
      <c r="M118" s="221"/>
      <c r="N118" s="221"/>
      <c r="O118" s="221"/>
      <c r="P118" s="221"/>
      <c r="Q118" s="221"/>
      <c r="R118" s="221"/>
      <c r="S118" s="221"/>
      <c r="T118" s="221"/>
      <c r="U118" s="221"/>
      <c r="V118" s="221"/>
      <c r="W118" s="221"/>
      <c r="X118" s="221"/>
      <c r="Y118" s="221"/>
      <c r="Z118" s="221"/>
    </row>
    <row r="119">
      <c r="A119" s="225" t="s">
        <v>563</v>
      </c>
      <c r="B119" s="226" t="s">
        <v>140</v>
      </c>
      <c r="C119" s="227">
        <v>0.0</v>
      </c>
      <c r="D119" s="227">
        <v>0.0</v>
      </c>
      <c r="E119" s="227">
        <v>0.0</v>
      </c>
      <c r="F119" s="227" t="s">
        <v>332</v>
      </c>
      <c r="G119" s="221"/>
      <c r="H119" s="221"/>
      <c r="I119" s="221"/>
      <c r="J119" s="221"/>
      <c r="K119" s="221"/>
      <c r="L119" s="221"/>
      <c r="M119" s="221"/>
      <c r="N119" s="221"/>
      <c r="O119" s="221"/>
      <c r="P119" s="221"/>
      <c r="Q119" s="221"/>
      <c r="R119" s="221"/>
      <c r="S119" s="221"/>
      <c r="T119" s="221"/>
      <c r="U119" s="221"/>
      <c r="V119" s="221"/>
      <c r="W119" s="221"/>
      <c r="X119" s="221"/>
      <c r="Y119" s="221"/>
      <c r="Z119" s="221"/>
    </row>
    <row r="120">
      <c r="A120" s="225" t="s">
        <v>564</v>
      </c>
      <c r="B120" s="226" t="s">
        <v>565</v>
      </c>
      <c r="C120" s="227" t="s">
        <v>332</v>
      </c>
      <c r="D120" s="227" t="s">
        <v>332</v>
      </c>
      <c r="E120" s="227">
        <v>0.0</v>
      </c>
      <c r="F120" s="227">
        <v>0.0</v>
      </c>
      <c r="G120" s="221"/>
      <c r="H120" s="221"/>
      <c r="I120" s="221"/>
      <c r="J120" s="221"/>
      <c r="K120" s="221"/>
      <c r="L120" s="221"/>
      <c r="M120" s="221"/>
      <c r="N120" s="221"/>
      <c r="O120" s="221"/>
      <c r="P120" s="221"/>
      <c r="Q120" s="221"/>
      <c r="R120" s="221"/>
      <c r="S120" s="221"/>
      <c r="T120" s="221"/>
      <c r="U120" s="221"/>
      <c r="V120" s="221"/>
      <c r="W120" s="221"/>
      <c r="X120" s="221"/>
      <c r="Y120" s="221"/>
      <c r="Z120" s="221"/>
    </row>
    <row r="121">
      <c r="A121" s="225" t="s">
        <v>566</v>
      </c>
      <c r="B121" s="226" t="s">
        <v>565</v>
      </c>
      <c r="C121" s="227">
        <v>0.0</v>
      </c>
      <c r="D121" s="227" t="s">
        <v>332</v>
      </c>
      <c r="E121" s="227">
        <v>0.0</v>
      </c>
      <c r="F121" s="227">
        <v>0.0</v>
      </c>
      <c r="G121" s="221"/>
      <c r="H121" s="221"/>
      <c r="I121" s="221"/>
      <c r="J121" s="221"/>
      <c r="K121" s="221"/>
      <c r="L121" s="221"/>
      <c r="M121" s="221"/>
      <c r="N121" s="221"/>
      <c r="O121" s="221"/>
      <c r="P121" s="221"/>
      <c r="Q121" s="221"/>
      <c r="R121" s="221"/>
      <c r="S121" s="221"/>
      <c r="T121" s="221"/>
      <c r="U121" s="221"/>
      <c r="V121" s="221"/>
      <c r="W121" s="221"/>
      <c r="X121" s="221"/>
      <c r="Y121" s="221"/>
      <c r="Z121" s="221"/>
    </row>
    <row r="122">
      <c r="A122" s="225" t="s">
        <v>567</v>
      </c>
      <c r="B122" s="226" t="s">
        <v>142</v>
      </c>
      <c r="C122" s="227">
        <v>0.0</v>
      </c>
      <c r="D122" s="227">
        <v>0.0</v>
      </c>
      <c r="E122" s="227">
        <v>0.0</v>
      </c>
      <c r="F122" s="227" t="s">
        <v>332</v>
      </c>
      <c r="G122" s="221"/>
      <c r="H122" s="221"/>
      <c r="I122" s="221"/>
      <c r="J122" s="221"/>
      <c r="K122" s="221"/>
      <c r="L122" s="221"/>
      <c r="M122" s="221"/>
      <c r="N122" s="221"/>
      <c r="O122" s="221"/>
      <c r="P122" s="221"/>
      <c r="Q122" s="221"/>
      <c r="R122" s="221"/>
      <c r="S122" s="221"/>
      <c r="T122" s="221"/>
      <c r="U122" s="221"/>
      <c r="V122" s="221"/>
      <c r="W122" s="221"/>
      <c r="X122" s="221"/>
      <c r="Y122" s="221"/>
      <c r="Z122" s="221"/>
    </row>
    <row r="123">
      <c r="A123" s="225" t="s">
        <v>568</v>
      </c>
      <c r="B123" s="226" t="s">
        <v>569</v>
      </c>
      <c r="C123" s="227" t="s">
        <v>332</v>
      </c>
      <c r="D123" s="227" t="s">
        <v>332</v>
      </c>
      <c r="E123" s="227" t="s">
        <v>332</v>
      </c>
      <c r="F123" s="227" t="s">
        <v>332</v>
      </c>
      <c r="G123" s="221"/>
      <c r="H123" s="221"/>
      <c r="I123" s="221"/>
      <c r="J123" s="221"/>
      <c r="K123" s="221"/>
      <c r="L123" s="221"/>
      <c r="M123" s="221"/>
      <c r="N123" s="221"/>
      <c r="O123" s="221"/>
      <c r="P123" s="221"/>
      <c r="Q123" s="221"/>
      <c r="R123" s="221"/>
      <c r="S123" s="221"/>
      <c r="T123" s="221"/>
      <c r="U123" s="221"/>
      <c r="V123" s="221"/>
      <c r="W123" s="221"/>
      <c r="X123" s="221"/>
      <c r="Y123" s="221"/>
      <c r="Z123" s="221"/>
    </row>
    <row r="124">
      <c r="A124" s="225" t="s">
        <v>570</v>
      </c>
      <c r="B124" s="226" t="s">
        <v>569</v>
      </c>
      <c r="C124" s="227">
        <v>0.0</v>
      </c>
      <c r="D124" s="227" t="s">
        <v>332</v>
      </c>
      <c r="E124" s="227">
        <v>0.0</v>
      </c>
      <c r="F124" s="227" t="s">
        <v>332</v>
      </c>
      <c r="G124" s="221"/>
      <c r="H124" s="221"/>
      <c r="I124" s="221"/>
      <c r="J124" s="221"/>
      <c r="K124" s="221"/>
      <c r="L124" s="221"/>
      <c r="M124" s="221"/>
      <c r="N124" s="221"/>
      <c r="O124" s="221"/>
      <c r="P124" s="221"/>
      <c r="Q124" s="221"/>
      <c r="R124" s="221"/>
      <c r="S124" s="221"/>
      <c r="T124" s="221"/>
      <c r="U124" s="221"/>
      <c r="V124" s="221"/>
      <c r="W124" s="221"/>
      <c r="X124" s="221"/>
      <c r="Y124" s="221"/>
      <c r="Z124" s="221"/>
    </row>
    <row r="125">
      <c r="A125" s="225" t="s">
        <v>571</v>
      </c>
      <c r="B125" s="226" t="s">
        <v>572</v>
      </c>
      <c r="C125" s="227" t="s">
        <v>332</v>
      </c>
      <c r="D125" s="227" t="s">
        <v>332</v>
      </c>
      <c r="E125" s="227">
        <v>0.0</v>
      </c>
      <c r="F125" s="227" t="s">
        <v>332</v>
      </c>
      <c r="G125" s="221"/>
      <c r="H125" s="221"/>
      <c r="I125" s="221"/>
      <c r="J125" s="221"/>
      <c r="K125" s="221"/>
      <c r="L125" s="221"/>
      <c r="M125" s="221"/>
      <c r="N125" s="221"/>
      <c r="O125" s="221"/>
      <c r="P125" s="221"/>
      <c r="Q125" s="221"/>
      <c r="R125" s="221"/>
      <c r="S125" s="221"/>
      <c r="T125" s="221"/>
      <c r="U125" s="221"/>
      <c r="V125" s="221"/>
      <c r="W125" s="221"/>
      <c r="X125" s="221"/>
      <c r="Y125" s="221"/>
      <c r="Z125" s="221"/>
    </row>
    <row r="126">
      <c r="A126" s="225" t="s">
        <v>573</v>
      </c>
      <c r="B126" s="226" t="s">
        <v>572</v>
      </c>
      <c r="C126" s="227" t="s">
        <v>332</v>
      </c>
      <c r="D126" s="227" t="s">
        <v>332</v>
      </c>
      <c r="E126" s="227" t="s">
        <v>332</v>
      </c>
      <c r="F126" s="227" t="s">
        <v>332</v>
      </c>
      <c r="G126" s="221"/>
      <c r="H126" s="221"/>
      <c r="I126" s="221"/>
      <c r="J126" s="221"/>
      <c r="K126" s="221"/>
      <c r="L126" s="221"/>
      <c r="M126" s="221"/>
      <c r="N126" s="221"/>
      <c r="O126" s="221"/>
      <c r="P126" s="221"/>
      <c r="Q126" s="221"/>
      <c r="R126" s="221"/>
      <c r="S126" s="221"/>
      <c r="T126" s="221"/>
      <c r="U126" s="221"/>
      <c r="V126" s="221"/>
      <c r="W126" s="221"/>
      <c r="X126" s="221"/>
      <c r="Y126" s="221"/>
      <c r="Z126" s="221"/>
    </row>
    <row r="127">
      <c r="A127" s="225" t="s">
        <v>574</v>
      </c>
      <c r="B127" s="226" t="s">
        <v>575</v>
      </c>
      <c r="C127" s="227">
        <v>0.0</v>
      </c>
      <c r="D127" s="227">
        <v>0.0</v>
      </c>
      <c r="E127" s="227">
        <v>0.0</v>
      </c>
      <c r="F127" s="227" t="s">
        <v>332</v>
      </c>
      <c r="G127" s="221"/>
      <c r="H127" s="221"/>
      <c r="I127" s="221"/>
      <c r="J127" s="221"/>
      <c r="K127" s="221"/>
      <c r="L127" s="221"/>
      <c r="M127" s="221"/>
      <c r="N127" s="221"/>
      <c r="O127" s="221"/>
      <c r="P127" s="221"/>
      <c r="Q127" s="221"/>
      <c r="R127" s="221"/>
      <c r="S127" s="221"/>
      <c r="T127" s="221"/>
      <c r="U127" s="221"/>
      <c r="V127" s="221"/>
      <c r="W127" s="221"/>
      <c r="X127" s="221"/>
      <c r="Y127" s="221"/>
      <c r="Z127" s="221"/>
    </row>
    <row r="128">
      <c r="A128" s="225" t="s">
        <v>576</v>
      </c>
      <c r="B128" s="226" t="s">
        <v>145</v>
      </c>
      <c r="C128" s="227">
        <v>0.0</v>
      </c>
      <c r="D128" s="227">
        <v>0.0</v>
      </c>
      <c r="E128" s="227">
        <v>0.0</v>
      </c>
      <c r="F128" s="227" t="s">
        <v>332</v>
      </c>
      <c r="G128" s="221"/>
      <c r="H128" s="221"/>
      <c r="I128" s="221"/>
      <c r="J128" s="221"/>
      <c r="K128" s="221"/>
      <c r="L128" s="221"/>
      <c r="M128" s="221"/>
      <c r="N128" s="221"/>
      <c r="O128" s="221"/>
      <c r="P128" s="221"/>
      <c r="Q128" s="221"/>
      <c r="R128" s="221"/>
      <c r="S128" s="221"/>
      <c r="T128" s="221"/>
      <c r="U128" s="221"/>
      <c r="V128" s="221"/>
      <c r="W128" s="221"/>
      <c r="X128" s="221"/>
      <c r="Y128" s="221"/>
      <c r="Z128" s="221"/>
    </row>
    <row r="129">
      <c r="A129" s="225" t="s">
        <v>577</v>
      </c>
      <c r="B129" s="226" t="s">
        <v>146</v>
      </c>
      <c r="C129" s="227">
        <v>0.0</v>
      </c>
      <c r="D129" s="227" t="s">
        <v>332</v>
      </c>
      <c r="E129" s="227">
        <v>0.0</v>
      </c>
      <c r="F129" s="227" t="s">
        <v>332</v>
      </c>
      <c r="G129" s="221"/>
      <c r="H129" s="221"/>
      <c r="I129" s="221"/>
      <c r="J129" s="221"/>
      <c r="K129" s="221"/>
      <c r="L129" s="221"/>
      <c r="M129" s="221"/>
      <c r="N129" s="221"/>
      <c r="O129" s="221"/>
      <c r="P129" s="221"/>
      <c r="Q129" s="221"/>
      <c r="R129" s="221"/>
      <c r="S129" s="221"/>
      <c r="T129" s="221"/>
      <c r="U129" s="221"/>
      <c r="V129" s="221"/>
      <c r="W129" s="221"/>
      <c r="X129" s="221"/>
      <c r="Y129" s="221"/>
      <c r="Z129" s="221"/>
    </row>
    <row r="130">
      <c r="A130" s="225" t="s">
        <v>578</v>
      </c>
      <c r="B130" s="226" t="s">
        <v>146</v>
      </c>
      <c r="C130" s="227">
        <v>0.0</v>
      </c>
      <c r="D130" s="227" t="s">
        <v>332</v>
      </c>
      <c r="E130" s="227">
        <v>0.0</v>
      </c>
      <c r="F130" s="227" t="s">
        <v>332</v>
      </c>
      <c r="G130" s="221"/>
      <c r="H130" s="221"/>
      <c r="I130" s="221"/>
      <c r="J130" s="221"/>
      <c r="K130" s="221"/>
      <c r="L130" s="221"/>
      <c r="M130" s="221"/>
      <c r="N130" s="221"/>
      <c r="O130" s="221"/>
      <c r="P130" s="221"/>
      <c r="Q130" s="221"/>
      <c r="R130" s="221"/>
      <c r="S130" s="221"/>
      <c r="T130" s="221"/>
      <c r="U130" s="221"/>
      <c r="V130" s="221"/>
      <c r="W130" s="221"/>
      <c r="X130" s="221"/>
      <c r="Y130" s="221"/>
      <c r="Z130" s="221"/>
    </row>
    <row r="131">
      <c r="A131" s="225" t="s">
        <v>579</v>
      </c>
      <c r="B131" s="226" t="s">
        <v>146</v>
      </c>
      <c r="C131" s="227" t="s">
        <v>332</v>
      </c>
      <c r="D131" s="227" t="s">
        <v>332</v>
      </c>
      <c r="E131" s="227">
        <v>0.0</v>
      </c>
      <c r="F131" s="227">
        <v>0.0</v>
      </c>
      <c r="G131" s="221"/>
      <c r="H131" s="221"/>
      <c r="I131" s="221"/>
      <c r="J131" s="221"/>
      <c r="K131" s="221"/>
      <c r="L131" s="221"/>
      <c r="M131" s="221"/>
      <c r="N131" s="221"/>
      <c r="O131" s="221"/>
      <c r="P131" s="221"/>
      <c r="Q131" s="221"/>
      <c r="R131" s="221"/>
      <c r="S131" s="221"/>
      <c r="T131" s="221"/>
      <c r="U131" s="221"/>
      <c r="V131" s="221"/>
      <c r="W131" s="221"/>
      <c r="X131" s="221"/>
      <c r="Y131" s="221"/>
      <c r="Z131" s="221"/>
    </row>
    <row r="132">
      <c r="A132" s="225" t="s">
        <v>580</v>
      </c>
      <c r="B132" s="226" t="s">
        <v>146</v>
      </c>
      <c r="C132" s="227">
        <v>0.0</v>
      </c>
      <c r="D132" s="227" t="s">
        <v>332</v>
      </c>
      <c r="E132" s="227">
        <v>0.0</v>
      </c>
      <c r="F132" s="227" t="s">
        <v>332</v>
      </c>
      <c r="G132" s="221"/>
      <c r="H132" s="221"/>
      <c r="I132" s="221"/>
      <c r="J132" s="221"/>
      <c r="K132" s="221"/>
      <c r="L132" s="221"/>
      <c r="M132" s="221"/>
      <c r="N132" s="221"/>
      <c r="O132" s="221"/>
      <c r="P132" s="221"/>
      <c r="Q132" s="221"/>
      <c r="R132" s="221"/>
      <c r="S132" s="221"/>
      <c r="T132" s="221"/>
      <c r="U132" s="221"/>
      <c r="V132" s="221"/>
      <c r="W132" s="221"/>
      <c r="X132" s="221"/>
      <c r="Y132" s="221"/>
      <c r="Z132" s="221"/>
    </row>
    <row r="133">
      <c r="A133" s="225" t="s">
        <v>581</v>
      </c>
      <c r="B133" s="226" t="s">
        <v>146</v>
      </c>
      <c r="C133" s="227">
        <v>0.0</v>
      </c>
      <c r="D133" s="227" t="s">
        <v>332</v>
      </c>
      <c r="E133" s="227">
        <v>0.0</v>
      </c>
      <c r="F133" s="227">
        <v>0.0</v>
      </c>
      <c r="G133" s="221"/>
      <c r="H133" s="221"/>
      <c r="I133" s="221"/>
      <c r="J133" s="221"/>
      <c r="K133" s="221"/>
      <c r="L133" s="221"/>
      <c r="M133" s="221"/>
      <c r="N133" s="221"/>
      <c r="O133" s="221"/>
      <c r="P133" s="221"/>
      <c r="Q133" s="221"/>
      <c r="R133" s="221"/>
      <c r="S133" s="221"/>
      <c r="T133" s="221"/>
      <c r="U133" s="221"/>
      <c r="V133" s="221"/>
      <c r="W133" s="221"/>
      <c r="X133" s="221"/>
      <c r="Y133" s="221"/>
      <c r="Z133" s="221"/>
    </row>
    <row r="134">
      <c r="A134" s="225" t="s">
        <v>582</v>
      </c>
      <c r="B134" s="226" t="s">
        <v>146</v>
      </c>
      <c r="C134" s="227" t="s">
        <v>332</v>
      </c>
      <c r="D134" s="227" t="s">
        <v>332</v>
      </c>
      <c r="E134" s="227">
        <v>0.0</v>
      </c>
      <c r="F134" s="227" t="s">
        <v>332</v>
      </c>
      <c r="G134" s="221"/>
      <c r="H134" s="221"/>
      <c r="I134" s="221"/>
      <c r="J134" s="221"/>
      <c r="K134" s="221"/>
      <c r="L134" s="221"/>
      <c r="M134" s="221"/>
      <c r="N134" s="221"/>
      <c r="O134" s="221"/>
      <c r="P134" s="221"/>
      <c r="Q134" s="221"/>
      <c r="R134" s="221"/>
      <c r="S134" s="221"/>
      <c r="T134" s="221"/>
      <c r="U134" s="221"/>
      <c r="V134" s="221"/>
      <c r="W134" s="221"/>
      <c r="X134" s="221"/>
      <c r="Y134" s="221"/>
      <c r="Z134" s="221"/>
    </row>
    <row r="135">
      <c r="A135" s="225" t="s">
        <v>583</v>
      </c>
      <c r="B135" s="226" t="s">
        <v>583</v>
      </c>
      <c r="C135" s="227">
        <v>0.0</v>
      </c>
      <c r="D135" s="227" t="s">
        <v>332</v>
      </c>
      <c r="E135" s="227">
        <v>0.0</v>
      </c>
      <c r="F135" s="227" t="s">
        <v>332</v>
      </c>
      <c r="G135" s="221"/>
      <c r="H135" s="221"/>
      <c r="I135" s="221"/>
      <c r="J135" s="221"/>
      <c r="K135" s="221"/>
      <c r="L135" s="221"/>
      <c r="M135" s="221"/>
      <c r="N135" s="221"/>
      <c r="O135" s="221"/>
      <c r="P135" s="221"/>
      <c r="Q135" s="221"/>
      <c r="R135" s="221"/>
      <c r="S135" s="221"/>
      <c r="T135" s="221"/>
      <c r="U135" s="221"/>
      <c r="V135" s="221"/>
      <c r="W135" s="221"/>
      <c r="X135" s="221"/>
      <c r="Y135" s="221"/>
      <c r="Z135" s="221"/>
    </row>
    <row r="136">
      <c r="A136" s="225" t="s">
        <v>584</v>
      </c>
      <c r="B136" s="226" t="s">
        <v>585</v>
      </c>
      <c r="C136" s="227">
        <v>0.0</v>
      </c>
      <c r="D136" s="227">
        <v>0.0</v>
      </c>
      <c r="E136" s="227" t="s">
        <v>332</v>
      </c>
      <c r="F136" s="227" t="s">
        <v>332</v>
      </c>
      <c r="G136" s="221"/>
      <c r="H136" s="221"/>
      <c r="I136" s="221"/>
      <c r="J136" s="221"/>
      <c r="K136" s="221"/>
      <c r="L136" s="221"/>
      <c r="M136" s="221"/>
      <c r="N136" s="221"/>
      <c r="O136" s="221"/>
      <c r="P136" s="221"/>
      <c r="Q136" s="221"/>
      <c r="R136" s="221"/>
      <c r="S136" s="221"/>
      <c r="T136" s="221"/>
      <c r="U136" s="221"/>
      <c r="V136" s="221"/>
      <c r="W136" s="221"/>
      <c r="X136" s="221"/>
      <c r="Y136" s="221"/>
      <c r="Z136" s="221"/>
    </row>
    <row r="137">
      <c r="A137" s="225" t="s">
        <v>586</v>
      </c>
      <c r="B137" s="226" t="s">
        <v>147</v>
      </c>
      <c r="C137" s="227">
        <v>0.0</v>
      </c>
      <c r="D137" s="227" t="s">
        <v>332</v>
      </c>
      <c r="E137" s="227">
        <v>0.0</v>
      </c>
      <c r="F137" s="227">
        <v>0.0</v>
      </c>
      <c r="G137" s="221"/>
      <c r="H137" s="221"/>
      <c r="I137" s="221"/>
      <c r="J137" s="221"/>
      <c r="K137" s="221"/>
      <c r="L137" s="221"/>
      <c r="M137" s="221"/>
      <c r="N137" s="221"/>
      <c r="O137" s="221"/>
      <c r="P137" s="221"/>
      <c r="Q137" s="221"/>
      <c r="R137" s="221"/>
      <c r="S137" s="221"/>
      <c r="T137" s="221"/>
      <c r="U137" s="221"/>
      <c r="V137" s="221"/>
      <c r="W137" s="221"/>
      <c r="X137" s="221"/>
      <c r="Y137" s="221"/>
      <c r="Z137" s="221"/>
    </row>
    <row r="138">
      <c r="A138" s="225" t="s">
        <v>587</v>
      </c>
      <c r="B138" s="226" t="s">
        <v>147</v>
      </c>
      <c r="C138" s="227">
        <v>0.0</v>
      </c>
      <c r="D138" s="227" t="s">
        <v>332</v>
      </c>
      <c r="E138" s="227">
        <v>0.0</v>
      </c>
      <c r="F138" s="227">
        <v>0.0</v>
      </c>
      <c r="G138" s="221"/>
      <c r="H138" s="221"/>
      <c r="I138" s="221"/>
      <c r="J138" s="221"/>
      <c r="K138" s="221"/>
      <c r="L138" s="221"/>
      <c r="M138" s="221"/>
      <c r="N138" s="221"/>
      <c r="O138" s="221"/>
      <c r="P138" s="221"/>
      <c r="Q138" s="221"/>
      <c r="R138" s="221"/>
      <c r="S138" s="221"/>
      <c r="T138" s="221"/>
      <c r="U138" s="221"/>
      <c r="V138" s="221"/>
      <c r="W138" s="221"/>
      <c r="X138" s="221"/>
      <c r="Y138" s="221"/>
      <c r="Z138" s="221"/>
    </row>
    <row r="139">
      <c r="A139" s="225" t="s">
        <v>588</v>
      </c>
      <c r="B139" s="226" t="s">
        <v>147</v>
      </c>
      <c r="C139" s="227" t="s">
        <v>332</v>
      </c>
      <c r="D139" s="227" t="s">
        <v>319</v>
      </c>
      <c r="E139" s="227">
        <v>0.0</v>
      </c>
      <c r="F139" s="227" t="s">
        <v>332</v>
      </c>
      <c r="G139" s="221"/>
      <c r="H139" s="221"/>
      <c r="I139" s="221"/>
      <c r="J139" s="221"/>
      <c r="K139" s="221"/>
      <c r="L139" s="221"/>
      <c r="M139" s="221"/>
      <c r="N139" s="221"/>
      <c r="O139" s="221"/>
      <c r="P139" s="221"/>
      <c r="Q139" s="221"/>
      <c r="R139" s="221"/>
      <c r="S139" s="221"/>
      <c r="T139" s="221"/>
      <c r="U139" s="221"/>
      <c r="V139" s="221"/>
      <c r="W139" s="221"/>
      <c r="X139" s="221"/>
      <c r="Y139" s="221"/>
      <c r="Z139" s="221"/>
    </row>
    <row r="140">
      <c r="A140" s="225" t="s">
        <v>589</v>
      </c>
      <c r="B140" s="226" t="s">
        <v>147</v>
      </c>
      <c r="C140" s="227" t="s">
        <v>332</v>
      </c>
      <c r="D140" s="227" t="s">
        <v>332</v>
      </c>
      <c r="E140" s="227">
        <v>0.0</v>
      </c>
      <c r="F140" s="227" t="s">
        <v>332</v>
      </c>
      <c r="G140" s="221"/>
      <c r="H140" s="221"/>
      <c r="I140" s="221"/>
      <c r="J140" s="221"/>
      <c r="K140" s="221"/>
      <c r="L140" s="221"/>
      <c r="M140" s="221"/>
      <c r="N140" s="221"/>
      <c r="O140" s="221"/>
      <c r="P140" s="221"/>
      <c r="Q140" s="221"/>
      <c r="R140" s="221"/>
      <c r="S140" s="221"/>
      <c r="T140" s="221"/>
      <c r="U140" s="221"/>
      <c r="V140" s="221"/>
      <c r="W140" s="221"/>
      <c r="X140" s="221"/>
      <c r="Y140" s="221"/>
      <c r="Z140" s="221"/>
    </row>
    <row r="141">
      <c r="A141" s="225" t="s">
        <v>590</v>
      </c>
      <c r="B141" s="226" t="s">
        <v>147</v>
      </c>
      <c r="C141" s="227">
        <v>0.0</v>
      </c>
      <c r="D141" s="227" t="s">
        <v>332</v>
      </c>
      <c r="E141" s="227">
        <v>0.0</v>
      </c>
      <c r="F141" s="227">
        <v>0.0</v>
      </c>
      <c r="G141" s="221"/>
      <c r="H141" s="221"/>
      <c r="I141" s="221"/>
      <c r="J141" s="221"/>
      <c r="K141" s="221"/>
      <c r="L141" s="221"/>
      <c r="M141" s="221"/>
      <c r="N141" s="221"/>
      <c r="O141" s="221"/>
      <c r="P141" s="221"/>
      <c r="Q141" s="221"/>
      <c r="R141" s="221"/>
      <c r="S141" s="221"/>
      <c r="T141" s="221"/>
      <c r="U141" s="221"/>
      <c r="V141" s="221"/>
      <c r="W141" s="221"/>
      <c r="X141" s="221"/>
      <c r="Y141" s="221"/>
      <c r="Z141" s="221"/>
    </row>
    <row r="142">
      <c r="A142" s="225" t="s">
        <v>591</v>
      </c>
      <c r="B142" s="226" t="s">
        <v>148</v>
      </c>
      <c r="C142" s="227">
        <v>0.0</v>
      </c>
      <c r="D142" s="227" t="s">
        <v>332</v>
      </c>
      <c r="E142" s="227">
        <v>0.0</v>
      </c>
      <c r="F142" s="227" t="s">
        <v>332</v>
      </c>
      <c r="G142" s="221"/>
      <c r="H142" s="221"/>
      <c r="I142" s="221"/>
      <c r="J142" s="221"/>
      <c r="K142" s="221"/>
      <c r="L142" s="221"/>
      <c r="M142" s="221"/>
      <c r="N142" s="221"/>
      <c r="O142" s="221"/>
      <c r="P142" s="221"/>
      <c r="Q142" s="221"/>
      <c r="R142" s="221"/>
      <c r="S142" s="221"/>
      <c r="T142" s="221"/>
      <c r="U142" s="221"/>
      <c r="V142" s="221"/>
      <c r="W142" s="221"/>
      <c r="X142" s="221"/>
      <c r="Y142" s="221"/>
      <c r="Z142" s="221"/>
    </row>
    <row r="143">
      <c r="A143" s="225" t="s">
        <v>592</v>
      </c>
      <c r="B143" s="226" t="s">
        <v>593</v>
      </c>
      <c r="C143" s="227" t="s">
        <v>332</v>
      </c>
      <c r="D143" s="227" t="s">
        <v>332</v>
      </c>
      <c r="E143" s="227">
        <v>0.0</v>
      </c>
      <c r="F143" s="227" t="s">
        <v>332</v>
      </c>
      <c r="G143" s="221"/>
      <c r="H143" s="221"/>
      <c r="I143" s="221"/>
      <c r="J143" s="221"/>
      <c r="K143" s="221"/>
      <c r="L143" s="221"/>
      <c r="M143" s="221"/>
      <c r="N143" s="221"/>
      <c r="O143" s="221"/>
      <c r="P143" s="221"/>
      <c r="Q143" s="221"/>
      <c r="R143" s="221"/>
      <c r="S143" s="221"/>
      <c r="T143" s="221"/>
      <c r="U143" s="221"/>
      <c r="V143" s="221"/>
      <c r="W143" s="221"/>
      <c r="X143" s="221"/>
      <c r="Y143" s="221"/>
      <c r="Z143" s="221"/>
    </row>
    <row r="144">
      <c r="A144" s="225" t="s">
        <v>594</v>
      </c>
      <c r="B144" s="226" t="s">
        <v>149</v>
      </c>
      <c r="C144" s="227">
        <v>0.0</v>
      </c>
      <c r="D144" s="227">
        <v>0.0</v>
      </c>
      <c r="E144" s="227" t="s">
        <v>332</v>
      </c>
      <c r="F144" s="227" t="s">
        <v>332</v>
      </c>
      <c r="G144" s="221"/>
      <c r="H144" s="221"/>
      <c r="I144" s="221"/>
      <c r="J144" s="221"/>
      <c r="K144" s="221"/>
      <c r="L144" s="221"/>
      <c r="M144" s="221"/>
      <c r="N144" s="221"/>
      <c r="O144" s="221"/>
      <c r="P144" s="221"/>
      <c r="Q144" s="221"/>
      <c r="R144" s="221"/>
      <c r="S144" s="221"/>
      <c r="T144" s="221"/>
      <c r="U144" s="221"/>
      <c r="V144" s="221"/>
      <c r="W144" s="221"/>
      <c r="X144" s="221"/>
      <c r="Y144" s="221"/>
      <c r="Z144" s="221"/>
    </row>
    <row r="145">
      <c r="A145" s="225" t="s">
        <v>595</v>
      </c>
      <c r="B145" s="226" t="s">
        <v>149</v>
      </c>
      <c r="C145" s="227" t="s">
        <v>332</v>
      </c>
      <c r="D145" s="227" t="s">
        <v>332</v>
      </c>
      <c r="E145" s="227" t="s">
        <v>332</v>
      </c>
      <c r="F145" s="227" t="s">
        <v>332</v>
      </c>
      <c r="G145" s="221"/>
      <c r="H145" s="221"/>
      <c r="I145" s="221"/>
      <c r="J145" s="221"/>
      <c r="K145" s="221"/>
      <c r="L145" s="221"/>
      <c r="M145" s="221"/>
      <c r="N145" s="221"/>
      <c r="O145" s="221"/>
      <c r="P145" s="221"/>
      <c r="Q145" s="221"/>
      <c r="R145" s="221"/>
      <c r="S145" s="221"/>
      <c r="T145" s="221"/>
      <c r="U145" s="221"/>
      <c r="V145" s="221"/>
      <c r="W145" s="221"/>
      <c r="X145" s="221"/>
      <c r="Y145" s="221"/>
      <c r="Z145" s="221"/>
    </row>
    <row r="146">
      <c r="A146" s="225" t="s">
        <v>596</v>
      </c>
      <c r="B146" s="226" t="s">
        <v>149</v>
      </c>
      <c r="C146" s="227">
        <v>0.0</v>
      </c>
      <c r="D146" s="227" t="s">
        <v>329</v>
      </c>
      <c r="E146" s="227">
        <v>0.0</v>
      </c>
      <c r="F146" s="227">
        <v>0.0</v>
      </c>
      <c r="G146" s="221"/>
      <c r="H146" s="221"/>
      <c r="I146" s="221"/>
      <c r="J146" s="221"/>
      <c r="K146" s="221"/>
      <c r="L146" s="221"/>
      <c r="M146" s="221"/>
      <c r="N146" s="221"/>
      <c r="O146" s="221"/>
      <c r="P146" s="221"/>
      <c r="Q146" s="221"/>
      <c r="R146" s="221"/>
      <c r="S146" s="221"/>
      <c r="T146" s="221"/>
      <c r="U146" s="221"/>
      <c r="V146" s="221"/>
      <c r="W146" s="221"/>
      <c r="X146" s="221"/>
      <c r="Y146" s="221"/>
      <c r="Z146" s="221"/>
    </row>
    <row r="147">
      <c r="A147" s="225" t="s">
        <v>597</v>
      </c>
      <c r="B147" s="226" t="s">
        <v>150</v>
      </c>
      <c r="C147" s="227">
        <v>0.0</v>
      </c>
      <c r="D147" s="227">
        <v>0.0</v>
      </c>
      <c r="E147" s="227">
        <v>0.0</v>
      </c>
      <c r="F147" s="227" t="s">
        <v>332</v>
      </c>
      <c r="G147" s="221"/>
      <c r="H147" s="221"/>
      <c r="I147" s="221"/>
      <c r="J147" s="221"/>
      <c r="K147" s="221"/>
      <c r="L147" s="221"/>
      <c r="M147" s="221"/>
      <c r="N147" s="221"/>
      <c r="O147" s="221"/>
      <c r="P147" s="221"/>
      <c r="Q147" s="221"/>
      <c r="R147" s="221"/>
      <c r="S147" s="221"/>
      <c r="T147" s="221"/>
      <c r="U147" s="221"/>
      <c r="V147" s="221"/>
      <c r="W147" s="221"/>
      <c r="X147" s="221"/>
      <c r="Y147" s="221"/>
      <c r="Z147" s="221"/>
    </row>
    <row r="148">
      <c r="A148" s="225" t="s">
        <v>598</v>
      </c>
      <c r="B148" s="226" t="s">
        <v>150</v>
      </c>
      <c r="C148" s="227">
        <v>0.0</v>
      </c>
      <c r="D148" s="227" t="s">
        <v>332</v>
      </c>
      <c r="E148" s="227">
        <v>0.0</v>
      </c>
      <c r="F148" s="227">
        <v>0.0</v>
      </c>
      <c r="G148" s="221"/>
      <c r="H148" s="221"/>
      <c r="I148" s="221"/>
      <c r="J148" s="221"/>
      <c r="K148" s="221"/>
      <c r="L148" s="221"/>
      <c r="M148" s="221"/>
      <c r="N148" s="221"/>
      <c r="O148" s="221"/>
      <c r="P148" s="221"/>
      <c r="Q148" s="221"/>
      <c r="R148" s="221"/>
      <c r="S148" s="221"/>
      <c r="T148" s="221"/>
      <c r="U148" s="221"/>
      <c r="V148" s="221"/>
      <c r="W148" s="221"/>
      <c r="X148" s="221"/>
      <c r="Y148" s="221"/>
      <c r="Z148" s="221"/>
    </row>
    <row r="149">
      <c r="A149" s="225" t="s">
        <v>599</v>
      </c>
      <c r="B149" s="226" t="s">
        <v>150</v>
      </c>
      <c r="C149" s="227" t="s">
        <v>332</v>
      </c>
      <c r="D149" s="227" t="s">
        <v>332</v>
      </c>
      <c r="E149" s="227">
        <v>0.0</v>
      </c>
      <c r="F149" s="227">
        <v>0.0</v>
      </c>
      <c r="G149" s="221"/>
      <c r="H149" s="221"/>
      <c r="I149" s="221"/>
      <c r="J149" s="221"/>
      <c r="K149" s="221"/>
      <c r="L149" s="221"/>
      <c r="M149" s="221"/>
      <c r="N149" s="221"/>
      <c r="O149" s="221"/>
      <c r="P149" s="221"/>
      <c r="Q149" s="221"/>
      <c r="R149" s="221"/>
      <c r="S149" s="221"/>
      <c r="T149" s="221"/>
      <c r="U149" s="221"/>
      <c r="V149" s="221"/>
      <c r="W149" s="221"/>
      <c r="X149" s="221"/>
      <c r="Y149" s="221"/>
      <c r="Z149" s="221"/>
    </row>
    <row r="150">
      <c r="A150" s="225" t="s">
        <v>600</v>
      </c>
      <c r="B150" s="226" t="s">
        <v>151</v>
      </c>
      <c r="C150" s="227" t="s">
        <v>332</v>
      </c>
      <c r="D150" s="227" t="s">
        <v>332</v>
      </c>
      <c r="E150" s="227">
        <v>0.0</v>
      </c>
      <c r="F150" s="227">
        <v>0.0</v>
      </c>
      <c r="G150" s="221"/>
      <c r="H150" s="221"/>
      <c r="I150" s="221"/>
      <c r="J150" s="221"/>
      <c r="K150" s="221"/>
      <c r="L150" s="221"/>
      <c r="M150" s="221"/>
      <c r="N150" s="221"/>
      <c r="O150" s="221"/>
      <c r="P150" s="221"/>
      <c r="Q150" s="221"/>
      <c r="R150" s="221"/>
      <c r="S150" s="221"/>
      <c r="T150" s="221"/>
      <c r="U150" s="221"/>
      <c r="V150" s="221"/>
      <c r="W150" s="221"/>
      <c r="X150" s="221"/>
      <c r="Y150" s="221"/>
      <c r="Z150" s="221"/>
    </row>
    <row r="151">
      <c r="A151" s="225" t="s">
        <v>601</v>
      </c>
      <c r="B151" s="226" t="s">
        <v>152</v>
      </c>
      <c r="C151" s="227">
        <v>0.0</v>
      </c>
      <c r="D151" s="227" t="s">
        <v>332</v>
      </c>
      <c r="E151" s="227">
        <v>0.0</v>
      </c>
      <c r="F151" s="227">
        <v>0.0</v>
      </c>
      <c r="G151" s="221"/>
      <c r="H151" s="221"/>
      <c r="I151" s="221"/>
      <c r="J151" s="221"/>
      <c r="K151" s="221"/>
      <c r="L151" s="221"/>
      <c r="M151" s="221"/>
      <c r="N151" s="221"/>
      <c r="O151" s="221"/>
      <c r="P151" s="221"/>
      <c r="Q151" s="221"/>
      <c r="R151" s="221"/>
      <c r="S151" s="221"/>
      <c r="T151" s="221"/>
      <c r="U151" s="221"/>
      <c r="V151" s="221"/>
      <c r="W151" s="221"/>
      <c r="X151" s="221"/>
      <c r="Y151" s="221"/>
      <c r="Z151" s="221"/>
    </row>
    <row r="152">
      <c r="A152" s="225" t="s">
        <v>602</v>
      </c>
      <c r="B152" s="226" t="s">
        <v>153</v>
      </c>
      <c r="C152" s="227" t="s">
        <v>332</v>
      </c>
      <c r="D152" s="227" t="s">
        <v>332</v>
      </c>
      <c r="E152" s="227" t="s">
        <v>332</v>
      </c>
      <c r="F152" s="227" t="s">
        <v>332</v>
      </c>
      <c r="G152" s="221"/>
      <c r="H152" s="221"/>
      <c r="I152" s="221"/>
      <c r="J152" s="221"/>
      <c r="K152" s="221"/>
      <c r="L152" s="221"/>
      <c r="M152" s="221"/>
      <c r="N152" s="221"/>
      <c r="O152" s="221"/>
      <c r="P152" s="221"/>
      <c r="Q152" s="221"/>
      <c r="R152" s="221"/>
      <c r="S152" s="221"/>
      <c r="T152" s="221"/>
      <c r="U152" s="221"/>
      <c r="V152" s="221"/>
      <c r="W152" s="221"/>
      <c r="X152" s="221"/>
      <c r="Y152" s="221"/>
      <c r="Z152" s="221"/>
    </row>
    <row r="153">
      <c r="A153" s="225" t="s">
        <v>603</v>
      </c>
      <c r="B153" s="226" t="s">
        <v>153</v>
      </c>
      <c r="C153" s="227">
        <v>0.0</v>
      </c>
      <c r="D153" s="227">
        <v>0.0</v>
      </c>
      <c r="E153" s="227" t="s">
        <v>332</v>
      </c>
      <c r="F153" s="227" t="s">
        <v>332</v>
      </c>
      <c r="G153" s="221"/>
      <c r="H153" s="221"/>
      <c r="I153" s="221"/>
      <c r="J153" s="221"/>
      <c r="K153" s="221"/>
      <c r="L153" s="221"/>
      <c r="M153" s="221"/>
      <c r="N153" s="221"/>
      <c r="O153" s="221"/>
      <c r="P153" s="221"/>
      <c r="Q153" s="221"/>
      <c r="R153" s="221"/>
      <c r="S153" s="221"/>
      <c r="T153" s="221"/>
      <c r="U153" s="221"/>
      <c r="V153" s="221"/>
      <c r="W153" s="221"/>
      <c r="X153" s="221"/>
      <c r="Y153" s="221"/>
      <c r="Z153" s="221"/>
    </row>
    <row r="154">
      <c r="A154" s="225" t="s">
        <v>604</v>
      </c>
      <c r="B154" s="226" t="s">
        <v>153</v>
      </c>
      <c r="C154" s="227">
        <v>0.0</v>
      </c>
      <c r="D154" s="227">
        <v>0.0</v>
      </c>
      <c r="E154" s="227">
        <v>0.0</v>
      </c>
      <c r="F154" s="227" t="s">
        <v>332</v>
      </c>
      <c r="G154" s="221"/>
      <c r="H154" s="221"/>
      <c r="I154" s="221"/>
      <c r="J154" s="221"/>
      <c r="K154" s="221"/>
      <c r="L154" s="221"/>
      <c r="M154" s="221"/>
      <c r="N154" s="221"/>
      <c r="O154" s="221"/>
      <c r="P154" s="221"/>
      <c r="Q154" s="221"/>
      <c r="R154" s="221"/>
      <c r="S154" s="221"/>
      <c r="T154" s="221"/>
      <c r="U154" s="221"/>
      <c r="V154" s="221"/>
      <c r="W154" s="221"/>
      <c r="X154" s="221"/>
      <c r="Y154" s="221"/>
      <c r="Z154" s="221"/>
    </row>
    <row r="155">
      <c r="A155" s="225" t="s">
        <v>605</v>
      </c>
      <c r="B155" s="226" t="s">
        <v>153</v>
      </c>
      <c r="C155" s="227" t="s">
        <v>332</v>
      </c>
      <c r="D155" s="227" t="s">
        <v>329</v>
      </c>
      <c r="E155" s="227">
        <v>0.0</v>
      </c>
      <c r="F155" s="227">
        <v>0.0</v>
      </c>
      <c r="G155" s="221"/>
      <c r="H155" s="221"/>
      <c r="I155" s="221"/>
      <c r="J155" s="221"/>
      <c r="K155" s="221"/>
      <c r="L155" s="221"/>
      <c r="M155" s="221"/>
      <c r="N155" s="221"/>
      <c r="O155" s="221"/>
      <c r="P155" s="221"/>
      <c r="Q155" s="221"/>
      <c r="R155" s="221"/>
      <c r="S155" s="221"/>
      <c r="T155" s="221"/>
      <c r="U155" s="221"/>
      <c r="V155" s="221"/>
      <c r="W155" s="221"/>
      <c r="X155" s="221"/>
      <c r="Y155" s="221"/>
      <c r="Z155" s="221"/>
    </row>
    <row r="156">
      <c r="A156" s="225" t="s">
        <v>606</v>
      </c>
      <c r="B156" s="226" t="s">
        <v>153</v>
      </c>
      <c r="C156" s="227">
        <v>0.0</v>
      </c>
      <c r="D156" s="227" t="s">
        <v>332</v>
      </c>
      <c r="E156" s="227">
        <v>0.0</v>
      </c>
      <c r="F156" s="227">
        <v>0.0</v>
      </c>
      <c r="G156" s="221"/>
      <c r="H156" s="221"/>
      <c r="I156" s="221"/>
      <c r="J156" s="221"/>
      <c r="K156" s="221"/>
      <c r="L156" s="221"/>
      <c r="M156" s="221"/>
      <c r="N156" s="221"/>
      <c r="O156" s="221"/>
      <c r="P156" s="221"/>
      <c r="Q156" s="221"/>
      <c r="R156" s="221"/>
      <c r="S156" s="221"/>
      <c r="T156" s="221"/>
      <c r="U156" s="221"/>
      <c r="V156" s="221"/>
      <c r="W156" s="221"/>
      <c r="X156" s="221"/>
      <c r="Y156" s="221"/>
      <c r="Z156" s="221"/>
    </row>
    <row r="157">
      <c r="A157" s="225" t="s">
        <v>607</v>
      </c>
      <c r="B157" s="226" t="s">
        <v>153</v>
      </c>
      <c r="C157" s="227">
        <v>0.0</v>
      </c>
      <c r="D157" s="227">
        <v>0.0</v>
      </c>
      <c r="E157" s="227" t="s">
        <v>332</v>
      </c>
      <c r="F157" s="227" t="s">
        <v>332</v>
      </c>
      <c r="G157" s="221"/>
      <c r="H157" s="221"/>
      <c r="I157" s="221"/>
      <c r="J157" s="221"/>
      <c r="K157" s="221"/>
      <c r="L157" s="221"/>
      <c r="M157" s="221"/>
      <c r="N157" s="221"/>
      <c r="O157" s="221"/>
      <c r="P157" s="221"/>
      <c r="Q157" s="221"/>
      <c r="R157" s="221"/>
      <c r="S157" s="221"/>
      <c r="T157" s="221"/>
      <c r="U157" s="221"/>
      <c r="V157" s="221"/>
      <c r="W157" s="221"/>
      <c r="X157" s="221"/>
      <c r="Y157" s="221"/>
      <c r="Z157" s="221"/>
    </row>
    <row r="158">
      <c r="A158" s="225" t="s">
        <v>608</v>
      </c>
      <c r="B158" s="226" t="s">
        <v>154</v>
      </c>
      <c r="C158" s="227">
        <v>0.0</v>
      </c>
      <c r="D158" s="227" t="s">
        <v>332</v>
      </c>
      <c r="E158" s="227">
        <v>0.0</v>
      </c>
      <c r="F158" s="227" t="s">
        <v>332</v>
      </c>
      <c r="G158" s="221"/>
      <c r="H158" s="221"/>
      <c r="I158" s="221"/>
      <c r="J158" s="221"/>
      <c r="K158" s="221"/>
      <c r="L158" s="221"/>
      <c r="M158" s="221"/>
      <c r="N158" s="221"/>
      <c r="O158" s="221"/>
      <c r="P158" s="221"/>
      <c r="Q158" s="221"/>
      <c r="R158" s="221"/>
      <c r="S158" s="221"/>
      <c r="T158" s="221"/>
      <c r="U158" s="221"/>
      <c r="V158" s="221"/>
      <c r="W158" s="221"/>
      <c r="X158" s="221"/>
      <c r="Y158" s="221"/>
      <c r="Z158" s="221"/>
    </row>
    <row r="159">
      <c r="A159" s="225" t="s">
        <v>609</v>
      </c>
      <c r="B159" s="226" t="s">
        <v>154</v>
      </c>
      <c r="C159" s="227">
        <v>0.0</v>
      </c>
      <c r="D159" s="227" t="s">
        <v>332</v>
      </c>
      <c r="E159" s="227">
        <v>0.0</v>
      </c>
      <c r="F159" s="227">
        <v>0.0</v>
      </c>
      <c r="G159" s="221"/>
      <c r="H159" s="221"/>
      <c r="I159" s="221"/>
      <c r="J159" s="221"/>
      <c r="K159" s="221"/>
      <c r="L159" s="221"/>
      <c r="M159" s="221"/>
      <c r="N159" s="221"/>
      <c r="O159" s="221"/>
      <c r="P159" s="221"/>
      <c r="Q159" s="221"/>
      <c r="R159" s="221"/>
      <c r="S159" s="221"/>
      <c r="T159" s="221"/>
      <c r="U159" s="221"/>
      <c r="V159" s="221"/>
      <c r="W159" s="221"/>
      <c r="X159" s="221"/>
      <c r="Y159" s="221"/>
      <c r="Z159" s="221"/>
    </row>
    <row r="160">
      <c r="A160" s="225" t="s">
        <v>610</v>
      </c>
      <c r="B160" s="226" t="s">
        <v>154</v>
      </c>
      <c r="C160" s="227">
        <v>0.0</v>
      </c>
      <c r="D160" s="227" t="s">
        <v>332</v>
      </c>
      <c r="E160" s="227">
        <v>0.0</v>
      </c>
      <c r="F160" s="227" t="s">
        <v>332</v>
      </c>
      <c r="G160" s="221"/>
      <c r="H160" s="221"/>
      <c r="I160" s="221"/>
      <c r="J160" s="221"/>
      <c r="K160" s="221"/>
      <c r="L160" s="221"/>
      <c r="M160" s="221"/>
      <c r="N160" s="221"/>
      <c r="O160" s="221"/>
      <c r="P160" s="221"/>
      <c r="Q160" s="221"/>
      <c r="R160" s="221"/>
      <c r="S160" s="221"/>
      <c r="T160" s="221"/>
      <c r="U160" s="221"/>
      <c r="V160" s="221"/>
      <c r="W160" s="221"/>
      <c r="X160" s="221"/>
      <c r="Y160" s="221"/>
      <c r="Z160" s="221"/>
    </row>
    <row r="161">
      <c r="A161" s="225" t="s">
        <v>611</v>
      </c>
      <c r="B161" s="226" t="s">
        <v>154</v>
      </c>
      <c r="C161" s="227">
        <v>0.0</v>
      </c>
      <c r="D161" s="227" t="s">
        <v>332</v>
      </c>
      <c r="E161" s="227">
        <v>0.0</v>
      </c>
      <c r="F161" s="227">
        <v>0.0</v>
      </c>
      <c r="G161" s="221"/>
      <c r="H161" s="221"/>
      <c r="I161" s="221"/>
      <c r="J161" s="221"/>
      <c r="K161" s="221"/>
      <c r="L161" s="221"/>
      <c r="M161" s="221"/>
      <c r="N161" s="221"/>
      <c r="O161" s="221"/>
      <c r="P161" s="221"/>
      <c r="Q161" s="221"/>
      <c r="R161" s="221"/>
      <c r="S161" s="221"/>
      <c r="T161" s="221"/>
      <c r="U161" s="221"/>
      <c r="V161" s="221"/>
      <c r="W161" s="221"/>
      <c r="X161" s="221"/>
      <c r="Y161" s="221"/>
      <c r="Z161" s="221"/>
    </row>
    <row r="162">
      <c r="A162" s="225" t="s">
        <v>612</v>
      </c>
      <c r="B162" s="226" t="s">
        <v>154</v>
      </c>
      <c r="C162" s="227" t="s">
        <v>319</v>
      </c>
      <c r="D162" s="227" t="s">
        <v>329</v>
      </c>
      <c r="E162" s="227">
        <v>0.0</v>
      </c>
      <c r="F162" s="227" t="s">
        <v>332</v>
      </c>
      <c r="G162" s="221"/>
      <c r="H162" s="221"/>
      <c r="I162" s="221"/>
      <c r="J162" s="221"/>
      <c r="K162" s="221"/>
      <c r="L162" s="221"/>
      <c r="M162" s="221"/>
      <c r="N162" s="221"/>
      <c r="O162" s="221"/>
      <c r="P162" s="221"/>
      <c r="Q162" s="221"/>
      <c r="R162" s="221"/>
      <c r="S162" s="221"/>
      <c r="T162" s="221"/>
      <c r="U162" s="221"/>
      <c r="V162" s="221"/>
      <c r="W162" s="221"/>
      <c r="X162" s="221"/>
      <c r="Y162" s="221"/>
      <c r="Z162" s="221"/>
    </row>
    <row r="163">
      <c r="A163" s="225" t="s">
        <v>613</v>
      </c>
      <c r="B163" s="226" t="s">
        <v>154</v>
      </c>
      <c r="C163" s="227">
        <v>0.0</v>
      </c>
      <c r="D163" s="227" t="s">
        <v>332</v>
      </c>
      <c r="E163" s="227" t="s">
        <v>332</v>
      </c>
      <c r="F163" s="227" t="s">
        <v>332</v>
      </c>
      <c r="G163" s="221"/>
      <c r="H163" s="221"/>
      <c r="I163" s="221"/>
      <c r="J163" s="221"/>
      <c r="K163" s="221"/>
      <c r="L163" s="221"/>
      <c r="M163" s="221"/>
      <c r="N163" s="221"/>
      <c r="O163" s="221"/>
      <c r="P163" s="221"/>
      <c r="Q163" s="221"/>
      <c r="R163" s="221"/>
      <c r="S163" s="221"/>
      <c r="T163" s="221"/>
      <c r="U163" s="221"/>
      <c r="V163" s="221"/>
      <c r="W163" s="221"/>
      <c r="X163" s="221"/>
      <c r="Y163" s="221"/>
      <c r="Z163" s="221"/>
    </row>
    <row r="164">
      <c r="A164" s="225" t="s">
        <v>614</v>
      </c>
      <c r="B164" s="226" t="s">
        <v>155</v>
      </c>
      <c r="C164" s="227">
        <v>0.0</v>
      </c>
      <c r="D164" s="227">
        <v>0.0</v>
      </c>
      <c r="E164" s="227">
        <v>0.0</v>
      </c>
      <c r="F164" s="227" t="s">
        <v>332</v>
      </c>
      <c r="G164" s="221"/>
      <c r="H164" s="221"/>
      <c r="I164" s="221"/>
      <c r="J164" s="221"/>
      <c r="K164" s="221"/>
      <c r="L164" s="221"/>
      <c r="M164" s="221"/>
      <c r="N164" s="221"/>
      <c r="O164" s="221"/>
      <c r="P164" s="221"/>
      <c r="Q164" s="221"/>
      <c r="R164" s="221"/>
      <c r="S164" s="221"/>
      <c r="T164" s="221"/>
      <c r="U164" s="221"/>
      <c r="V164" s="221"/>
      <c r="W164" s="221"/>
      <c r="X164" s="221"/>
      <c r="Y164" s="221"/>
      <c r="Z164" s="221"/>
    </row>
    <row r="165">
      <c r="A165" s="225" t="s">
        <v>615</v>
      </c>
      <c r="B165" s="226" t="s">
        <v>155</v>
      </c>
      <c r="C165" s="227">
        <v>0.0</v>
      </c>
      <c r="D165" s="227" t="s">
        <v>332</v>
      </c>
      <c r="E165" s="227">
        <v>0.0</v>
      </c>
      <c r="F165" s="227">
        <v>0.0</v>
      </c>
      <c r="G165" s="221"/>
      <c r="H165" s="221"/>
      <c r="I165" s="221"/>
      <c r="J165" s="221"/>
      <c r="K165" s="221"/>
      <c r="L165" s="221"/>
      <c r="M165" s="221"/>
      <c r="N165" s="221"/>
      <c r="O165" s="221"/>
      <c r="P165" s="221"/>
      <c r="Q165" s="221"/>
      <c r="R165" s="221"/>
      <c r="S165" s="221"/>
      <c r="T165" s="221"/>
      <c r="U165" s="221"/>
      <c r="V165" s="221"/>
      <c r="W165" s="221"/>
      <c r="X165" s="221"/>
      <c r="Y165" s="221"/>
      <c r="Z165" s="221"/>
    </row>
    <row r="166">
      <c r="A166" s="225" t="s">
        <v>616</v>
      </c>
      <c r="B166" s="226" t="s">
        <v>155</v>
      </c>
      <c r="C166" s="227">
        <v>0.0</v>
      </c>
      <c r="D166" s="227">
        <v>0.0</v>
      </c>
      <c r="E166" s="227">
        <v>0.0</v>
      </c>
      <c r="F166" s="227" t="s">
        <v>332</v>
      </c>
      <c r="G166" s="221"/>
      <c r="H166" s="221"/>
      <c r="I166" s="221"/>
      <c r="J166" s="221"/>
      <c r="K166" s="221"/>
      <c r="L166" s="221"/>
      <c r="M166" s="221"/>
      <c r="N166" s="221"/>
      <c r="O166" s="221"/>
      <c r="P166" s="221"/>
      <c r="Q166" s="221"/>
      <c r="R166" s="221"/>
      <c r="S166" s="221"/>
      <c r="T166" s="221"/>
      <c r="U166" s="221"/>
      <c r="V166" s="221"/>
      <c r="W166" s="221"/>
      <c r="X166" s="221"/>
      <c r="Y166" s="221"/>
      <c r="Z166" s="221"/>
    </row>
    <row r="167">
      <c r="A167" s="225" t="s">
        <v>617</v>
      </c>
      <c r="B167" s="226" t="s">
        <v>618</v>
      </c>
      <c r="C167" s="227">
        <v>0.0</v>
      </c>
      <c r="D167" s="227" t="s">
        <v>332</v>
      </c>
      <c r="E167" s="227">
        <v>0.0</v>
      </c>
      <c r="F167" s="227">
        <v>0.0</v>
      </c>
      <c r="G167" s="221"/>
      <c r="H167" s="221"/>
      <c r="I167" s="221"/>
      <c r="J167" s="221"/>
      <c r="K167" s="221"/>
      <c r="L167" s="221"/>
      <c r="M167" s="221"/>
      <c r="N167" s="221"/>
      <c r="O167" s="221"/>
      <c r="P167" s="221"/>
      <c r="Q167" s="221"/>
      <c r="R167" s="221"/>
      <c r="S167" s="221"/>
      <c r="T167" s="221"/>
      <c r="U167" s="221"/>
      <c r="V167" s="221"/>
      <c r="W167" s="221"/>
      <c r="X167" s="221"/>
      <c r="Y167" s="221"/>
      <c r="Z167" s="221"/>
    </row>
    <row r="168">
      <c r="A168" s="225" t="s">
        <v>619</v>
      </c>
      <c r="B168" s="226" t="s">
        <v>618</v>
      </c>
      <c r="C168" s="227">
        <v>0.0</v>
      </c>
      <c r="D168" s="227" t="s">
        <v>332</v>
      </c>
      <c r="E168" s="227">
        <v>0.0</v>
      </c>
      <c r="F168" s="227">
        <v>0.0</v>
      </c>
      <c r="G168" s="221"/>
      <c r="H168" s="221"/>
      <c r="I168" s="221"/>
      <c r="J168" s="221"/>
      <c r="K168" s="221"/>
      <c r="L168" s="221"/>
      <c r="M168" s="221"/>
      <c r="N168" s="221"/>
      <c r="O168" s="221"/>
      <c r="P168" s="221"/>
      <c r="Q168" s="221"/>
      <c r="R168" s="221"/>
      <c r="S168" s="221"/>
      <c r="T168" s="221"/>
      <c r="U168" s="221"/>
      <c r="V168" s="221"/>
      <c r="W168" s="221"/>
      <c r="X168" s="221"/>
      <c r="Y168" s="221"/>
      <c r="Z168" s="221"/>
    </row>
    <row r="169">
      <c r="A169" s="225" t="s">
        <v>620</v>
      </c>
      <c r="B169" s="226" t="s">
        <v>618</v>
      </c>
      <c r="C169" s="227" t="s">
        <v>332</v>
      </c>
      <c r="D169" s="227" t="s">
        <v>332</v>
      </c>
      <c r="E169" s="227">
        <v>0.0</v>
      </c>
      <c r="F169" s="227" t="s">
        <v>332</v>
      </c>
      <c r="G169" s="221"/>
      <c r="H169" s="221"/>
      <c r="I169" s="221"/>
      <c r="J169" s="221"/>
      <c r="K169" s="221"/>
      <c r="L169" s="221"/>
      <c r="M169" s="221"/>
      <c r="N169" s="221"/>
      <c r="O169" s="221"/>
      <c r="P169" s="221"/>
      <c r="Q169" s="221"/>
      <c r="R169" s="221"/>
      <c r="S169" s="221"/>
      <c r="T169" s="221"/>
      <c r="U169" s="221"/>
      <c r="V169" s="221"/>
      <c r="W169" s="221"/>
      <c r="X169" s="221"/>
      <c r="Y169" s="221"/>
      <c r="Z169" s="221"/>
    </row>
    <row r="170">
      <c r="A170" s="225" t="s">
        <v>621</v>
      </c>
      <c r="B170" s="226" t="s">
        <v>156</v>
      </c>
      <c r="C170" s="227">
        <v>0.0</v>
      </c>
      <c r="D170" s="227">
        <v>0.0</v>
      </c>
      <c r="E170" s="227">
        <v>0.0</v>
      </c>
      <c r="F170" s="227" t="s">
        <v>332</v>
      </c>
      <c r="G170" s="221"/>
      <c r="H170" s="221"/>
      <c r="I170" s="221"/>
      <c r="J170" s="221"/>
      <c r="K170" s="221"/>
      <c r="L170" s="221"/>
      <c r="M170" s="221"/>
      <c r="N170" s="221"/>
      <c r="O170" s="221"/>
      <c r="P170" s="221"/>
      <c r="Q170" s="221"/>
      <c r="R170" s="221"/>
      <c r="S170" s="221"/>
      <c r="T170" s="221"/>
      <c r="U170" s="221"/>
      <c r="V170" s="221"/>
      <c r="W170" s="221"/>
      <c r="X170" s="221"/>
      <c r="Y170" s="221"/>
      <c r="Z170" s="221"/>
    </row>
    <row r="171">
      <c r="A171" s="225" t="s">
        <v>622</v>
      </c>
      <c r="B171" s="226" t="s">
        <v>156</v>
      </c>
      <c r="C171" s="227">
        <v>0.0</v>
      </c>
      <c r="D171" s="227">
        <v>0.0</v>
      </c>
      <c r="E171" s="227">
        <v>0.0</v>
      </c>
      <c r="F171" s="227" t="s">
        <v>332</v>
      </c>
      <c r="G171" s="221"/>
      <c r="H171" s="221"/>
      <c r="I171" s="221"/>
      <c r="J171" s="221"/>
      <c r="K171" s="221"/>
      <c r="L171" s="221"/>
      <c r="M171" s="221"/>
      <c r="N171" s="221"/>
      <c r="O171" s="221"/>
      <c r="P171" s="221"/>
      <c r="Q171" s="221"/>
      <c r="R171" s="221"/>
      <c r="S171" s="221"/>
      <c r="T171" s="221"/>
      <c r="U171" s="221"/>
      <c r="V171" s="221"/>
      <c r="W171" s="221"/>
      <c r="X171" s="221"/>
      <c r="Y171" s="221"/>
      <c r="Z171" s="221"/>
    </row>
    <row r="172">
      <c r="A172" s="225" t="s">
        <v>623</v>
      </c>
      <c r="B172" s="226" t="s">
        <v>156</v>
      </c>
      <c r="C172" s="227">
        <v>0.0</v>
      </c>
      <c r="D172" s="227" t="s">
        <v>332</v>
      </c>
      <c r="E172" s="227" t="s">
        <v>332</v>
      </c>
      <c r="F172" s="227" t="s">
        <v>319</v>
      </c>
      <c r="G172" s="221"/>
      <c r="H172" s="221"/>
      <c r="I172" s="221"/>
      <c r="J172" s="221"/>
      <c r="K172" s="221"/>
      <c r="L172" s="221"/>
      <c r="M172" s="221"/>
      <c r="N172" s="221"/>
      <c r="O172" s="221"/>
      <c r="P172" s="221"/>
      <c r="Q172" s="221"/>
      <c r="R172" s="221"/>
      <c r="S172" s="221"/>
      <c r="T172" s="221"/>
      <c r="U172" s="221"/>
      <c r="V172" s="221"/>
      <c r="W172" s="221"/>
      <c r="X172" s="221"/>
      <c r="Y172" s="221"/>
      <c r="Z172" s="221"/>
    </row>
    <row r="173">
      <c r="A173" s="225" t="s">
        <v>624</v>
      </c>
      <c r="B173" s="226" t="s">
        <v>156</v>
      </c>
      <c r="C173" s="227">
        <v>0.0</v>
      </c>
      <c r="D173" s="227">
        <v>0.0</v>
      </c>
      <c r="E173" s="227">
        <v>0.0</v>
      </c>
      <c r="F173" s="227" t="s">
        <v>332</v>
      </c>
      <c r="G173" s="221"/>
      <c r="H173" s="221"/>
      <c r="I173" s="221"/>
      <c r="J173" s="221"/>
      <c r="K173" s="221"/>
      <c r="L173" s="221"/>
      <c r="M173" s="221"/>
      <c r="N173" s="221"/>
      <c r="O173" s="221"/>
      <c r="P173" s="221"/>
      <c r="Q173" s="221"/>
      <c r="R173" s="221"/>
      <c r="S173" s="221"/>
      <c r="T173" s="221"/>
      <c r="U173" s="221"/>
      <c r="V173" s="221"/>
      <c r="W173" s="221"/>
      <c r="X173" s="221"/>
      <c r="Y173" s="221"/>
      <c r="Z173" s="221"/>
    </row>
    <row r="174">
      <c r="A174" s="225" t="s">
        <v>625</v>
      </c>
      <c r="B174" s="226" t="s">
        <v>156</v>
      </c>
      <c r="C174" s="227" t="s">
        <v>332</v>
      </c>
      <c r="D174" s="227" t="s">
        <v>332</v>
      </c>
      <c r="E174" s="227">
        <v>0.0</v>
      </c>
      <c r="F174" s="227" t="s">
        <v>332</v>
      </c>
      <c r="G174" s="221"/>
      <c r="H174" s="221"/>
      <c r="I174" s="221"/>
      <c r="J174" s="221"/>
      <c r="K174" s="221"/>
      <c r="L174" s="221"/>
      <c r="M174" s="221"/>
      <c r="N174" s="221"/>
      <c r="O174" s="221"/>
      <c r="P174" s="221"/>
      <c r="Q174" s="221"/>
      <c r="R174" s="221"/>
      <c r="S174" s="221"/>
      <c r="T174" s="221"/>
      <c r="U174" s="221"/>
      <c r="V174" s="221"/>
      <c r="W174" s="221"/>
      <c r="X174" s="221"/>
      <c r="Y174" s="221"/>
      <c r="Z174" s="221"/>
    </row>
    <row r="175">
      <c r="A175" s="225" t="s">
        <v>626</v>
      </c>
      <c r="B175" s="226" t="s">
        <v>156</v>
      </c>
      <c r="C175" s="227">
        <v>0.0</v>
      </c>
      <c r="D175" s="227">
        <v>0.0</v>
      </c>
      <c r="E175" s="227" t="s">
        <v>332</v>
      </c>
      <c r="F175" s="227" t="s">
        <v>332</v>
      </c>
      <c r="G175" s="221"/>
      <c r="H175" s="221"/>
      <c r="I175" s="221"/>
      <c r="J175" s="221"/>
      <c r="K175" s="221"/>
      <c r="L175" s="221"/>
      <c r="M175" s="221"/>
      <c r="N175" s="221"/>
      <c r="O175" s="221"/>
      <c r="P175" s="221"/>
      <c r="Q175" s="221"/>
      <c r="R175" s="221"/>
      <c r="S175" s="221"/>
      <c r="T175" s="221"/>
      <c r="U175" s="221"/>
      <c r="V175" s="221"/>
      <c r="W175" s="221"/>
      <c r="X175" s="221"/>
      <c r="Y175" s="221"/>
      <c r="Z175" s="221"/>
    </row>
    <row r="176">
      <c r="A176" s="225" t="s">
        <v>627</v>
      </c>
      <c r="B176" s="226" t="s">
        <v>156</v>
      </c>
      <c r="C176" s="227" t="s">
        <v>332</v>
      </c>
      <c r="D176" s="227" t="s">
        <v>332</v>
      </c>
      <c r="E176" s="227" t="s">
        <v>332</v>
      </c>
      <c r="F176" s="227" t="s">
        <v>332</v>
      </c>
      <c r="G176" s="221"/>
      <c r="H176" s="221"/>
      <c r="I176" s="221"/>
      <c r="J176" s="221"/>
      <c r="K176" s="221"/>
      <c r="L176" s="221"/>
      <c r="M176" s="221"/>
      <c r="N176" s="221"/>
      <c r="O176" s="221"/>
      <c r="P176" s="221"/>
      <c r="Q176" s="221"/>
      <c r="R176" s="221"/>
      <c r="S176" s="221"/>
      <c r="T176" s="221"/>
      <c r="U176" s="221"/>
      <c r="V176" s="221"/>
      <c r="W176" s="221"/>
      <c r="X176" s="221"/>
      <c r="Y176" s="221"/>
      <c r="Z176" s="221"/>
    </row>
    <row r="177">
      <c r="A177" s="225" t="s">
        <v>628</v>
      </c>
      <c r="B177" s="226" t="s">
        <v>156</v>
      </c>
      <c r="C177" s="227">
        <v>0.0</v>
      </c>
      <c r="D177" s="227" t="s">
        <v>332</v>
      </c>
      <c r="E177" s="227" t="s">
        <v>332</v>
      </c>
      <c r="F177" s="227" t="s">
        <v>332</v>
      </c>
      <c r="G177" s="221"/>
      <c r="H177" s="221"/>
      <c r="I177" s="221"/>
      <c r="J177" s="221"/>
      <c r="K177" s="221"/>
      <c r="L177" s="221"/>
      <c r="M177" s="221"/>
      <c r="N177" s="221"/>
      <c r="O177" s="221"/>
      <c r="P177" s="221"/>
      <c r="Q177" s="221"/>
      <c r="R177" s="221"/>
      <c r="S177" s="221"/>
      <c r="T177" s="221"/>
      <c r="U177" s="221"/>
      <c r="V177" s="221"/>
      <c r="W177" s="221"/>
      <c r="X177" s="221"/>
      <c r="Y177" s="221"/>
      <c r="Z177" s="221"/>
    </row>
    <row r="178">
      <c r="A178" s="225" t="s">
        <v>629</v>
      </c>
      <c r="B178" s="226" t="s">
        <v>156</v>
      </c>
      <c r="C178" s="227">
        <v>0.0</v>
      </c>
      <c r="D178" s="227" t="s">
        <v>332</v>
      </c>
      <c r="E178" s="227">
        <v>0.0</v>
      </c>
      <c r="F178" s="227">
        <v>0.0</v>
      </c>
      <c r="G178" s="221"/>
      <c r="H178" s="221"/>
      <c r="I178" s="221"/>
      <c r="J178" s="221"/>
      <c r="K178" s="221"/>
      <c r="L178" s="221"/>
      <c r="M178" s="221"/>
      <c r="N178" s="221"/>
      <c r="O178" s="221"/>
      <c r="P178" s="221"/>
      <c r="Q178" s="221"/>
      <c r="R178" s="221"/>
      <c r="S178" s="221"/>
      <c r="T178" s="221"/>
      <c r="U178" s="221"/>
      <c r="V178" s="221"/>
      <c r="W178" s="221"/>
      <c r="X178" s="221"/>
      <c r="Y178" s="221"/>
      <c r="Z178" s="221"/>
    </row>
    <row r="179">
      <c r="A179" s="225" t="s">
        <v>630</v>
      </c>
      <c r="B179" s="226" t="s">
        <v>157</v>
      </c>
      <c r="C179" s="227" t="s">
        <v>332</v>
      </c>
      <c r="D179" s="227" t="s">
        <v>332</v>
      </c>
      <c r="E179" s="227" t="s">
        <v>332</v>
      </c>
      <c r="F179" s="227" t="s">
        <v>332</v>
      </c>
      <c r="G179" s="221"/>
      <c r="H179" s="221"/>
      <c r="I179" s="221"/>
      <c r="J179" s="221"/>
      <c r="K179" s="221"/>
      <c r="L179" s="221"/>
      <c r="M179" s="221"/>
      <c r="N179" s="221"/>
      <c r="O179" s="221"/>
      <c r="P179" s="221"/>
      <c r="Q179" s="221"/>
      <c r="R179" s="221"/>
      <c r="S179" s="221"/>
      <c r="T179" s="221"/>
      <c r="U179" s="221"/>
      <c r="V179" s="221"/>
      <c r="W179" s="221"/>
      <c r="X179" s="221"/>
      <c r="Y179" s="221"/>
      <c r="Z179" s="221"/>
    </row>
    <row r="180">
      <c r="A180" s="225" t="s">
        <v>631</v>
      </c>
      <c r="B180" s="226" t="s">
        <v>157</v>
      </c>
      <c r="C180" s="227" t="s">
        <v>332</v>
      </c>
      <c r="D180" s="227" t="s">
        <v>319</v>
      </c>
      <c r="E180" s="227">
        <v>0.0</v>
      </c>
      <c r="F180" s="227">
        <v>0.0</v>
      </c>
      <c r="G180" s="221"/>
      <c r="H180" s="221"/>
      <c r="I180" s="221"/>
      <c r="J180" s="221"/>
      <c r="K180" s="221"/>
      <c r="L180" s="221"/>
      <c r="M180" s="221"/>
      <c r="N180" s="221"/>
      <c r="O180" s="221"/>
      <c r="P180" s="221"/>
      <c r="Q180" s="221"/>
      <c r="R180" s="221"/>
      <c r="S180" s="221"/>
      <c r="T180" s="221"/>
      <c r="U180" s="221"/>
      <c r="V180" s="221"/>
      <c r="W180" s="221"/>
      <c r="X180" s="221"/>
      <c r="Y180" s="221"/>
      <c r="Z180" s="221"/>
    </row>
    <row r="181">
      <c r="A181" s="225" t="s">
        <v>632</v>
      </c>
      <c r="B181" s="226" t="s">
        <v>633</v>
      </c>
      <c r="C181" s="227">
        <v>0.0</v>
      </c>
      <c r="D181" s="227" t="s">
        <v>332</v>
      </c>
      <c r="E181" s="227">
        <v>0.0</v>
      </c>
      <c r="F181" s="227">
        <v>0.0</v>
      </c>
      <c r="G181" s="221"/>
      <c r="H181" s="221"/>
      <c r="I181" s="221"/>
      <c r="J181" s="221"/>
      <c r="K181" s="221"/>
      <c r="L181" s="221"/>
      <c r="M181" s="221"/>
      <c r="N181" s="221"/>
      <c r="O181" s="221"/>
      <c r="P181" s="221"/>
      <c r="Q181" s="221"/>
      <c r="R181" s="221"/>
      <c r="S181" s="221"/>
      <c r="T181" s="221"/>
      <c r="U181" s="221"/>
      <c r="V181" s="221"/>
      <c r="W181" s="221"/>
      <c r="X181" s="221"/>
      <c r="Y181" s="221"/>
      <c r="Z181" s="221"/>
    </row>
    <row r="182">
      <c r="A182" s="225" t="s">
        <v>634</v>
      </c>
      <c r="B182" s="226" t="s">
        <v>633</v>
      </c>
      <c r="C182" s="227" t="s">
        <v>332</v>
      </c>
      <c r="D182" s="227" t="s">
        <v>332</v>
      </c>
      <c r="E182" s="227" t="s">
        <v>332</v>
      </c>
      <c r="F182" s="227" t="s">
        <v>332</v>
      </c>
      <c r="G182" s="221"/>
      <c r="H182" s="221"/>
      <c r="I182" s="221"/>
      <c r="J182" s="221"/>
      <c r="K182" s="221"/>
      <c r="L182" s="221"/>
      <c r="M182" s="221"/>
      <c r="N182" s="221"/>
      <c r="O182" s="221"/>
      <c r="P182" s="221"/>
      <c r="Q182" s="221"/>
      <c r="R182" s="221"/>
      <c r="S182" s="221"/>
      <c r="T182" s="221"/>
      <c r="U182" s="221"/>
      <c r="V182" s="221"/>
      <c r="W182" s="221"/>
      <c r="X182" s="221"/>
      <c r="Y182" s="221"/>
      <c r="Z182" s="221"/>
    </row>
    <row r="183">
      <c r="A183" s="225" t="s">
        <v>635</v>
      </c>
      <c r="B183" s="226" t="s">
        <v>633</v>
      </c>
      <c r="C183" s="227" t="s">
        <v>332</v>
      </c>
      <c r="D183" s="227" t="s">
        <v>332</v>
      </c>
      <c r="E183" s="227">
        <v>0.0</v>
      </c>
      <c r="F183" s="227">
        <v>0.0</v>
      </c>
      <c r="G183" s="221"/>
      <c r="H183" s="221"/>
      <c r="I183" s="221"/>
      <c r="J183" s="221"/>
      <c r="K183" s="221"/>
      <c r="L183" s="221"/>
      <c r="M183" s="221"/>
      <c r="N183" s="221"/>
      <c r="O183" s="221"/>
      <c r="P183" s="221"/>
      <c r="Q183" s="221"/>
      <c r="R183" s="221"/>
      <c r="S183" s="221"/>
      <c r="T183" s="221"/>
      <c r="U183" s="221"/>
      <c r="V183" s="221"/>
      <c r="W183" s="221"/>
      <c r="X183" s="221"/>
      <c r="Y183" s="221"/>
      <c r="Z183" s="221"/>
    </row>
    <row r="184">
      <c r="A184" s="225" t="s">
        <v>636</v>
      </c>
      <c r="B184" s="226" t="s">
        <v>633</v>
      </c>
      <c r="C184" s="227">
        <v>0.0</v>
      </c>
      <c r="D184" s="227">
        <v>0.0</v>
      </c>
      <c r="E184" s="227">
        <v>0.0</v>
      </c>
      <c r="F184" s="227" t="s">
        <v>332</v>
      </c>
      <c r="G184" s="221"/>
      <c r="H184" s="221"/>
      <c r="I184" s="221"/>
      <c r="J184" s="221"/>
      <c r="K184" s="221"/>
      <c r="L184" s="221"/>
      <c r="M184" s="221"/>
      <c r="N184" s="221"/>
      <c r="O184" s="221"/>
      <c r="P184" s="221"/>
      <c r="Q184" s="221"/>
      <c r="R184" s="221"/>
      <c r="S184" s="221"/>
      <c r="T184" s="221"/>
      <c r="U184" s="221"/>
      <c r="V184" s="221"/>
      <c r="W184" s="221"/>
      <c r="X184" s="221"/>
      <c r="Y184" s="221"/>
      <c r="Z184" s="221"/>
    </row>
    <row r="185">
      <c r="A185" s="225" t="s">
        <v>637</v>
      </c>
      <c r="B185" s="226" t="s">
        <v>633</v>
      </c>
      <c r="C185" s="227" t="s">
        <v>332</v>
      </c>
      <c r="D185" s="227" t="s">
        <v>332</v>
      </c>
      <c r="E185" s="227">
        <v>0.0</v>
      </c>
      <c r="F185" s="227" t="s">
        <v>332</v>
      </c>
      <c r="G185" s="221"/>
      <c r="H185" s="221"/>
      <c r="I185" s="221"/>
      <c r="J185" s="221"/>
      <c r="K185" s="221"/>
      <c r="L185" s="221"/>
      <c r="M185" s="221"/>
      <c r="N185" s="221"/>
      <c r="O185" s="221"/>
      <c r="P185" s="221"/>
      <c r="Q185" s="221"/>
      <c r="R185" s="221"/>
      <c r="S185" s="221"/>
      <c r="T185" s="221"/>
      <c r="U185" s="221"/>
      <c r="V185" s="221"/>
      <c r="W185" s="221"/>
      <c r="X185" s="221"/>
      <c r="Y185" s="221"/>
      <c r="Z185" s="221"/>
    </row>
    <row r="186">
      <c r="A186" s="225" t="s">
        <v>638</v>
      </c>
      <c r="B186" s="226" t="s">
        <v>633</v>
      </c>
      <c r="C186" s="227">
        <v>0.0</v>
      </c>
      <c r="D186" s="227" t="s">
        <v>332</v>
      </c>
      <c r="E186" s="227">
        <v>0.0</v>
      </c>
      <c r="F186" s="227" t="s">
        <v>332</v>
      </c>
      <c r="G186" s="221"/>
      <c r="H186" s="221"/>
      <c r="I186" s="221"/>
      <c r="J186" s="221"/>
      <c r="K186" s="221"/>
      <c r="L186" s="221"/>
      <c r="M186" s="221"/>
      <c r="N186" s="221"/>
      <c r="O186" s="221"/>
      <c r="P186" s="221"/>
      <c r="Q186" s="221"/>
      <c r="R186" s="221"/>
      <c r="S186" s="221"/>
      <c r="T186" s="221"/>
      <c r="U186" s="221"/>
      <c r="V186" s="221"/>
      <c r="W186" s="221"/>
      <c r="X186" s="221"/>
      <c r="Y186" s="221"/>
      <c r="Z186" s="221"/>
    </row>
    <row r="187">
      <c r="A187" s="225" t="s">
        <v>639</v>
      </c>
      <c r="B187" s="226" t="s">
        <v>633</v>
      </c>
      <c r="C187" s="227">
        <v>0.0</v>
      </c>
      <c r="D187" s="227">
        <v>0.0</v>
      </c>
      <c r="E187" s="227" t="s">
        <v>332</v>
      </c>
      <c r="F187" s="227" t="s">
        <v>332</v>
      </c>
      <c r="G187" s="221"/>
      <c r="H187" s="221"/>
      <c r="I187" s="221"/>
      <c r="J187" s="221"/>
      <c r="K187" s="221"/>
      <c r="L187" s="221"/>
      <c r="M187" s="221"/>
      <c r="N187" s="221"/>
      <c r="O187" s="221"/>
      <c r="P187" s="221"/>
      <c r="Q187" s="221"/>
      <c r="R187" s="221"/>
      <c r="S187" s="221"/>
      <c r="T187" s="221"/>
      <c r="U187" s="221"/>
      <c r="V187" s="221"/>
      <c r="W187" s="221"/>
      <c r="X187" s="221"/>
      <c r="Y187" s="221"/>
      <c r="Z187" s="221"/>
    </row>
    <row r="188">
      <c r="A188" s="225" t="s">
        <v>640</v>
      </c>
      <c r="B188" s="226" t="s">
        <v>633</v>
      </c>
      <c r="C188" s="227">
        <v>0.0</v>
      </c>
      <c r="D188" s="227">
        <v>0.0</v>
      </c>
      <c r="E188" s="227">
        <v>0.0</v>
      </c>
      <c r="F188" s="227" t="s">
        <v>332</v>
      </c>
      <c r="G188" s="221"/>
      <c r="H188" s="221"/>
      <c r="I188" s="221"/>
      <c r="J188" s="221"/>
      <c r="K188" s="221"/>
      <c r="L188" s="221"/>
      <c r="M188" s="221"/>
      <c r="N188" s="221"/>
      <c r="O188" s="221"/>
      <c r="P188" s="221"/>
      <c r="Q188" s="221"/>
      <c r="R188" s="221"/>
      <c r="S188" s="221"/>
      <c r="T188" s="221"/>
      <c r="U188" s="221"/>
      <c r="V188" s="221"/>
      <c r="W188" s="221"/>
      <c r="X188" s="221"/>
      <c r="Y188" s="221"/>
      <c r="Z188" s="221"/>
    </row>
    <row r="189">
      <c r="A189" s="225" t="s">
        <v>641</v>
      </c>
      <c r="B189" s="226" t="s">
        <v>633</v>
      </c>
      <c r="C189" s="227">
        <v>0.0</v>
      </c>
      <c r="D189" s="227" t="s">
        <v>319</v>
      </c>
      <c r="E189" s="227">
        <v>0.0</v>
      </c>
      <c r="F189" s="227" t="s">
        <v>332</v>
      </c>
      <c r="G189" s="221"/>
      <c r="H189" s="221"/>
      <c r="I189" s="221"/>
      <c r="J189" s="221"/>
      <c r="K189" s="221"/>
      <c r="L189" s="221"/>
      <c r="M189" s="221"/>
      <c r="N189" s="221"/>
      <c r="O189" s="221"/>
      <c r="P189" s="221"/>
      <c r="Q189" s="221"/>
      <c r="R189" s="221"/>
      <c r="S189" s="221"/>
      <c r="T189" s="221"/>
      <c r="U189" s="221"/>
      <c r="V189" s="221"/>
      <c r="W189" s="221"/>
      <c r="X189" s="221"/>
      <c r="Y189" s="221"/>
      <c r="Z189" s="221"/>
    </row>
    <row r="190">
      <c r="A190" s="225" t="s">
        <v>642</v>
      </c>
      <c r="B190" s="226" t="s">
        <v>633</v>
      </c>
      <c r="C190" s="227">
        <v>0.0</v>
      </c>
      <c r="D190" s="227">
        <v>0.0</v>
      </c>
      <c r="E190" s="227">
        <v>0.0</v>
      </c>
      <c r="F190" s="227" t="s">
        <v>332</v>
      </c>
      <c r="G190" s="221"/>
      <c r="H190" s="221"/>
      <c r="I190" s="221"/>
      <c r="J190" s="221"/>
      <c r="K190" s="221"/>
      <c r="L190" s="221"/>
      <c r="M190" s="221"/>
      <c r="N190" s="221"/>
      <c r="O190" s="221"/>
      <c r="P190" s="221"/>
      <c r="Q190" s="221"/>
      <c r="R190" s="221"/>
      <c r="S190" s="221"/>
      <c r="T190" s="221"/>
      <c r="U190" s="221"/>
      <c r="V190" s="221"/>
      <c r="W190" s="221"/>
      <c r="X190" s="221"/>
      <c r="Y190" s="221"/>
      <c r="Z190" s="221"/>
    </row>
    <row r="191">
      <c r="A191" s="225" t="s">
        <v>643</v>
      </c>
      <c r="B191" s="226" t="s">
        <v>633</v>
      </c>
      <c r="C191" s="227">
        <v>0.0</v>
      </c>
      <c r="D191" s="227" t="s">
        <v>332</v>
      </c>
      <c r="E191" s="227">
        <v>0.0</v>
      </c>
      <c r="F191" s="227">
        <v>0.0</v>
      </c>
      <c r="G191" s="221"/>
      <c r="H191" s="221"/>
      <c r="I191" s="221"/>
      <c r="J191" s="221"/>
      <c r="K191" s="221"/>
      <c r="L191" s="221"/>
      <c r="M191" s="221"/>
      <c r="N191" s="221"/>
      <c r="O191" s="221"/>
      <c r="P191" s="221"/>
      <c r="Q191" s="221"/>
      <c r="R191" s="221"/>
      <c r="S191" s="221"/>
      <c r="T191" s="221"/>
      <c r="U191" s="221"/>
      <c r="V191" s="221"/>
      <c r="W191" s="221"/>
      <c r="X191" s="221"/>
      <c r="Y191" s="221"/>
      <c r="Z191" s="221"/>
    </row>
    <row r="192">
      <c r="A192" s="225" t="s">
        <v>644</v>
      </c>
      <c r="B192" s="226" t="s">
        <v>633</v>
      </c>
      <c r="C192" s="227">
        <v>0.0</v>
      </c>
      <c r="D192" s="227" t="s">
        <v>332</v>
      </c>
      <c r="E192" s="227" t="s">
        <v>332</v>
      </c>
      <c r="F192" s="227" t="s">
        <v>332</v>
      </c>
      <c r="G192" s="221"/>
      <c r="H192" s="221"/>
      <c r="I192" s="221"/>
      <c r="J192" s="221"/>
      <c r="K192" s="221"/>
      <c r="L192" s="221"/>
      <c r="M192" s="221"/>
      <c r="N192" s="221"/>
      <c r="O192" s="221"/>
      <c r="P192" s="221"/>
      <c r="Q192" s="221"/>
      <c r="R192" s="221"/>
      <c r="S192" s="221"/>
      <c r="T192" s="221"/>
      <c r="U192" s="221"/>
      <c r="V192" s="221"/>
      <c r="W192" s="221"/>
      <c r="X192" s="221"/>
      <c r="Y192" s="221"/>
      <c r="Z192" s="221"/>
    </row>
    <row r="193">
      <c r="A193" s="225" t="s">
        <v>645</v>
      </c>
      <c r="B193" s="226" t="s">
        <v>633</v>
      </c>
      <c r="C193" s="227">
        <v>0.0</v>
      </c>
      <c r="D193" s="227">
        <v>0.0</v>
      </c>
      <c r="E193" s="227">
        <v>0.0</v>
      </c>
      <c r="F193" s="227" t="s">
        <v>332</v>
      </c>
      <c r="G193" s="221"/>
      <c r="H193" s="221"/>
      <c r="I193" s="221"/>
      <c r="J193" s="221"/>
      <c r="K193" s="221"/>
      <c r="L193" s="221"/>
      <c r="M193" s="221"/>
      <c r="N193" s="221"/>
      <c r="O193" s="221"/>
      <c r="P193" s="221"/>
      <c r="Q193" s="221"/>
      <c r="R193" s="221"/>
      <c r="S193" s="221"/>
      <c r="T193" s="221"/>
      <c r="U193" s="221"/>
      <c r="V193" s="221"/>
      <c r="W193" s="221"/>
      <c r="X193" s="221"/>
      <c r="Y193" s="221"/>
      <c r="Z193" s="221"/>
    </row>
    <row r="194">
      <c r="A194" s="225" t="s">
        <v>646</v>
      </c>
      <c r="B194" s="226" t="s">
        <v>633</v>
      </c>
      <c r="C194" s="227" t="s">
        <v>332</v>
      </c>
      <c r="D194" s="227" t="s">
        <v>332</v>
      </c>
      <c r="E194" s="227">
        <v>0.0</v>
      </c>
      <c r="F194" s="227" t="s">
        <v>332</v>
      </c>
      <c r="G194" s="221"/>
      <c r="H194" s="221"/>
      <c r="I194" s="221"/>
      <c r="J194" s="221"/>
      <c r="K194" s="221"/>
      <c r="L194" s="221"/>
      <c r="M194" s="221"/>
      <c r="N194" s="221"/>
      <c r="O194" s="221"/>
      <c r="P194" s="221"/>
      <c r="Q194" s="221"/>
      <c r="R194" s="221"/>
      <c r="S194" s="221"/>
      <c r="T194" s="221"/>
      <c r="U194" s="221"/>
      <c r="V194" s="221"/>
      <c r="W194" s="221"/>
      <c r="X194" s="221"/>
      <c r="Y194" s="221"/>
      <c r="Z194" s="221"/>
    </row>
    <row r="195">
      <c r="A195" s="225" t="s">
        <v>647</v>
      </c>
      <c r="B195" s="226" t="s">
        <v>633</v>
      </c>
      <c r="C195" s="227">
        <v>0.0</v>
      </c>
      <c r="D195" s="227">
        <v>0.0</v>
      </c>
      <c r="E195" s="227">
        <v>0.0</v>
      </c>
      <c r="F195" s="227" t="s">
        <v>332</v>
      </c>
      <c r="G195" s="221"/>
      <c r="H195" s="221"/>
      <c r="I195" s="221"/>
      <c r="J195" s="221"/>
      <c r="K195" s="221"/>
      <c r="L195" s="221"/>
      <c r="M195" s="221"/>
      <c r="N195" s="221"/>
      <c r="O195" s="221"/>
      <c r="P195" s="221"/>
      <c r="Q195" s="221"/>
      <c r="R195" s="221"/>
      <c r="S195" s="221"/>
      <c r="T195" s="221"/>
      <c r="U195" s="221"/>
      <c r="V195" s="221"/>
      <c r="W195" s="221"/>
      <c r="X195" s="221"/>
      <c r="Y195" s="221"/>
      <c r="Z195" s="221"/>
    </row>
    <row r="196">
      <c r="A196" s="225" t="s">
        <v>648</v>
      </c>
      <c r="B196" s="226" t="s">
        <v>633</v>
      </c>
      <c r="C196" s="227">
        <v>0.0</v>
      </c>
      <c r="D196" s="227">
        <v>0.0</v>
      </c>
      <c r="E196" s="227">
        <v>0.0</v>
      </c>
      <c r="F196" s="227" t="s">
        <v>332</v>
      </c>
      <c r="G196" s="221"/>
      <c r="H196" s="221"/>
      <c r="I196" s="221"/>
      <c r="J196" s="221"/>
      <c r="K196" s="221"/>
      <c r="L196" s="221"/>
      <c r="M196" s="221"/>
      <c r="N196" s="221"/>
      <c r="O196" s="221"/>
      <c r="P196" s="221"/>
      <c r="Q196" s="221"/>
      <c r="R196" s="221"/>
      <c r="S196" s="221"/>
      <c r="T196" s="221"/>
      <c r="U196" s="221"/>
      <c r="V196" s="221"/>
      <c r="W196" s="221"/>
      <c r="X196" s="221"/>
      <c r="Y196" s="221"/>
      <c r="Z196" s="221"/>
    </row>
    <row r="197">
      <c r="A197" s="225" t="s">
        <v>649</v>
      </c>
      <c r="B197" s="226" t="s">
        <v>633</v>
      </c>
      <c r="C197" s="227">
        <v>0.0</v>
      </c>
      <c r="D197" s="227" t="s">
        <v>332</v>
      </c>
      <c r="E197" s="227">
        <v>0.0</v>
      </c>
      <c r="F197" s="227" t="s">
        <v>332</v>
      </c>
      <c r="G197" s="221"/>
      <c r="H197" s="221"/>
      <c r="I197" s="221"/>
      <c r="J197" s="221"/>
      <c r="K197" s="221"/>
      <c r="L197" s="221"/>
      <c r="M197" s="221"/>
      <c r="N197" s="221"/>
      <c r="O197" s="221"/>
      <c r="P197" s="221"/>
      <c r="Q197" s="221"/>
      <c r="R197" s="221"/>
      <c r="S197" s="221"/>
      <c r="T197" s="221"/>
      <c r="U197" s="221"/>
      <c r="V197" s="221"/>
      <c r="W197" s="221"/>
      <c r="X197" s="221"/>
      <c r="Y197" s="221"/>
      <c r="Z197" s="221"/>
    </row>
    <row r="198">
      <c r="A198" s="225" t="s">
        <v>650</v>
      </c>
      <c r="B198" s="226" t="s">
        <v>633</v>
      </c>
      <c r="C198" s="227">
        <v>0.0</v>
      </c>
      <c r="D198" s="227" t="s">
        <v>332</v>
      </c>
      <c r="E198" s="227">
        <v>0.0</v>
      </c>
      <c r="F198" s="227">
        <v>0.0</v>
      </c>
      <c r="G198" s="221"/>
      <c r="H198" s="221"/>
      <c r="I198" s="221"/>
      <c r="J198" s="221"/>
      <c r="K198" s="221"/>
      <c r="L198" s="221"/>
      <c r="M198" s="221"/>
      <c r="N198" s="221"/>
      <c r="O198" s="221"/>
      <c r="P198" s="221"/>
      <c r="Q198" s="221"/>
      <c r="R198" s="221"/>
      <c r="S198" s="221"/>
      <c r="T198" s="221"/>
      <c r="U198" s="221"/>
      <c r="V198" s="221"/>
      <c r="W198" s="221"/>
      <c r="X198" s="221"/>
      <c r="Y198" s="221"/>
      <c r="Z198" s="221"/>
    </row>
    <row r="199">
      <c r="A199" s="225" t="s">
        <v>651</v>
      </c>
      <c r="B199" s="226" t="s">
        <v>633</v>
      </c>
      <c r="C199" s="227">
        <v>0.0</v>
      </c>
      <c r="D199" s="227" t="s">
        <v>332</v>
      </c>
      <c r="E199" s="227">
        <v>0.0</v>
      </c>
      <c r="F199" s="227">
        <v>0.0</v>
      </c>
      <c r="G199" s="221"/>
      <c r="H199" s="221"/>
      <c r="I199" s="221"/>
      <c r="J199" s="221"/>
      <c r="K199" s="221"/>
      <c r="L199" s="221"/>
      <c r="M199" s="221"/>
      <c r="N199" s="221"/>
      <c r="O199" s="221"/>
      <c r="P199" s="221"/>
      <c r="Q199" s="221"/>
      <c r="R199" s="221"/>
      <c r="S199" s="221"/>
      <c r="T199" s="221"/>
      <c r="U199" s="221"/>
      <c r="V199" s="221"/>
      <c r="W199" s="221"/>
      <c r="X199" s="221"/>
      <c r="Y199" s="221"/>
      <c r="Z199" s="221"/>
    </row>
    <row r="200">
      <c r="A200" s="225" t="s">
        <v>652</v>
      </c>
      <c r="B200" s="226" t="s">
        <v>633</v>
      </c>
      <c r="C200" s="227">
        <v>0.0</v>
      </c>
      <c r="D200" s="227" t="s">
        <v>332</v>
      </c>
      <c r="E200" s="227">
        <v>0.0</v>
      </c>
      <c r="F200" s="227" t="s">
        <v>332</v>
      </c>
      <c r="G200" s="221"/>
      <c r="H200" s="221"/>
      <c r="I200" s="221"/>
      <c r="J200" s="221"/>
      <c r="K200" s="221"/>
      <c r="L200" s="221"/>
      <c r="M200" s="221"/>
      <c r="N200" s="221"/>
      <c r="O200" s="221"/>
      <c r="P200" s="221"/>
      <c r="Q200" s="221"/>
      <c r="R200" s="221"/>
      <c r="S200" s="221"/>
      <c r="T200" s="221"/>
      <c r="U200" s="221"/>
      <c r="V200" s="221"/>
      <c r="W200" s="221"/>
      <c r="X200" s="221"/>
      <c r="Y200" s="221"/>
      <c r="Z200" s="221"/>
    </row>
    <row r="201">
      <c r="A201" s="225" t="s">
        <v>653</v>
      </c>
      <c r="B201" s="226" t="s">
        <v>633</v>
      </c>
      <c r="C201" s="227">
        <v>0.0</v>
      </c>
      <c r="D201" s="227" t="s">
        <v>332</v>
      </c>
      <c r="E201" s="227">
        <v>0.0</v>
      </c>
      <c r="F201" s="227" t="s">
        <v>332</v>
      </c>
      <c r="G201" s="221"/>
      <c r="H201" s="221"/>
      <c r="I201" s="221"/>
      <c r="J201" s="221"/>
      <c r="K201" s="221"/>
      <c r="L201" s="221"/>
      <c r="M201" s="221"/>
      <c r="N201" s="221"/>
      <c r="O201" s="221"/>
      <c r="P201" s="221"/>
      <c r="Q201" s="221"/>
      <c r="R201" s="221"/>
      <c r="S201" s="221"/>
      <c r="T201" s="221"/>
      <c r="U201" s="221"/>
      <c r="V201" s="221"/>
      <c r="W201" s="221"/>
      <c r="X201" s="221"/>
      <c r="Y201" s="221"/>
      <c r="Z201" s="221"/>
    </row>
    <row r="202">
      <c r="A202" s="225" t="s">
        <v>654</v>
      </c>
      <c r="B202" s="226" t="s">
        <v>633</v>
      </c>
      <c r="C202" s="227">
        <v>0.0</v>
      </c>
      <c r="D202" s="227" t="s">
        <v>332</v>
      </c>
      <c r="E202" s="227">
        <v>0.0</v>
      </c>
      <c r="F202" s="227">
        <v>0.0</v>
      </c>
      <c r="G202" s="221"/>
      <c r="H202" s="221"/>
      <c r="I202" s="221"/>
      <c r="J202" s="221"/>
      <c r="K202" s="221"/>
      <c r="L202" s="221"/>
      <c r="M202" s="221"/>
      <c r="N202" s="221"/>
      <c r="O202" s="221"/>
      <c r="P202" s="221"/>
      <c r="Q202" s="221"/>
      <c r="R202" s="221"/>
      <c r="S202" s="221"/>
      <c r="T202" s="221"/>
      <c r="U202" s="221"/>
      <c r="V202" s="221"/>
      <c r="W202" s="221"/>
      <c r="X202" s="221"/>
      <c r="Y202" s="221"/>
      <c r="Z202" s="221"/>
    </row>
    <row r="203">
      <c r="A203" s="225" t="s">
        <v>655</v>
      </c>
      <c r="B203" s="226" t="s">
        <v>633</v>
      </c>
      <c r="C203" s="227">
        <v>0.0</v>
      </c>
      <c r="D203" s="227">
        <v>0.0</v>
      </c>
      <c r="E203" s="227">
        <v>0.0</v>
      </c>
      <c r="F203" s="227" t="s">
        <v>332</v>
      </c>
      <c r="G203" s="221"/>
      <c r="H203" s="221"/>
      <c r="I203" s="221"/>
      <c r="J203" s="221"/>
      <c r="K203" s="221"/>
      <c r="L203" s="221"/>
      <c r="M203" s="221"/>
      <c r="N203" s="221"/>
      <c r="O203" s="221"/>
      <c r="P203" s="221"/>
      <c r="Q203" s="221"/>
      <c r="R203" s="221"/>
      <c r="S203" s="221"/>
      <c r="T203" s="221"/>
      <c r="U203" s="221"/>
      <c r="V203" s="221"/>
      <c r="W203" s="221"/>
      <c r="X203" s="221"/>
      <c r="Y203" s="221"/>
      <c r="Z203" s="221"/>
    </row>
    <row r="204">
      <c r="A204" s="225" t="s">
        <v>656</v>
      </c>
      <c r="B204" s="226" t="s">
        <v>633</v>
      </c>
      <c r="C204" s="227" t="s">
        <v>332</v>
      </c>
      <c r="D204" s="227" t="s">
        <v>332</v>
      </c>
      <c r="E204" s="227">
        <v>0.0</v>
      </c>
      <c r="F204" s="227" t="s">
        <v>332</v>
      </c>
      <c r="G204" s="221"/>
      <c r="H204" s="221"/>
      <c r="I204" s="221"/>
      <c r="J204" s="221"/>
      <c r="K204" s="221"/>
      <c r="L204" s="221"/>
      <c r="M204" s="221"/>
      <c r="N204" s="221"/>
      <c r="O204" s="221"/>
      <c r="P204" s="221"/>
      <c r="Q204" s="221"/>
      <c r="R204" s="221"/>
      <c r="S204" s="221"/>
      <c r="T204" s="221"/>
      <c r="U204" s="221"/>
      <c r="V204" s="221"/>
      <c r="W204" s="221"/>
      <c r="X204" s="221"/>
      <c r="Y204" s="221"/>
      <c r="Z204" s="221"/>
    </row>
    <row r="205">
      <c r="A205" s="225" t="s">
        <v>657</v>
      </c>
      <c r="B205" s="226" t="s">
        <v>633</v>
      </c>
      <c r="C205" s="227">
        <v>0.0</v>
      </c>
      <c r="D205" s="227">
        <v>0.0</v>
      </c>
      <c r="E205" s="227" t="s">
        <v>332</v>
      </c>
      <c r="F205" s="227" t="s">
        <v>332</v>
      </c>
      <c r="G205" s="221"/>
      <c r="H205" s="221"/>
      <c r="I205" s="221"/>
      <c r="J205" s="221"/>
      <c r="K205" s="221"/>
      <c r="L205" s="221"/>
      <c r="M205" s="221"/>
      <c r="N205" s="221"/>
      <c r="O205" s="221"/>
      <c r="P205" s="221"/>
      <c r="Q205" s="221"/>
      <c r="R205" s="221"/>
      <c r="S205" s="221"/>
      <c r="T205" s="221"/>
      <c r="U205" s="221"/>
      <c r="V205" s="221"/>
      <c r="W205" s="221"/>
      <c r="X205" s="221"/>
      <c r="Y205" s="221"/>
      <c r="Z205" s="221"/>
    </row>
    <row r="206">
      <c r="A206" s="225" t="s">
        <v>658</v>
      </c>
      <c r="B206" s="226" t="s">
        <v>633</v>
      </c>
      <c r="C206" s="227" t="s">
        <v>319</v>
      </c>
      <c r="D206" s="227" t="s">
        <v>319</v>
      </c>
      <c r="E206" s="227" t="s">
        <v>332</v>
      </c>
      <c r="F206" s="227" t="s">
        <v>332</v>
      </c>
      <c r="G206" s="221"/>
      <c r="H206" s="221"/>
      <c r="I206" s="221"/>
      <c r="J206" s="221"/>
      <c r="K206" s="221"/>
      <c r="L206" s="221"/>
      <c r="M206" s="221"/>
      <c r="N206" s="221"/>
      <c r="O206" s="221"/>
      <c r="P206" s="221"/>
      <c r="Q206" s="221"/>
      <c r="R206" s="221"/>
      <c r="S206" s="221"/>
      <c r="T206" s="221"/>
      <c r="U206" s="221"/>
      <c r="V206" s="221"/>
      <c r="W206" s="221"/>
      <c r="X206" s="221"/>
      <c r="Y206" s="221"/>
      <c r="Z206" s="221"/>
    </row>
    <row r="207">
      <c r="A207" s="225" t="s">
        <v>659</v>
      </c>
      <c r="B207" s="226" t="s">
        <v>633</v>
      </c>
      <c r="C207" s="227">
        <v>0.0</v>
      </c>
      <c r="D207" s="227">
        <v>0.0</v>
      </c>
      <c r="E207" s="227">
        <v>0.0</v>
      </c>
      <c r="F207" s="227" t="s">
        <v>332</v>
      </c>
      <c r="G207" s="221"/>
      <c r="H207" s="221"/>
      <c r="I207" s="221"/>
      <c r="J207" s="221"/>
      <c r="K207" s="221"/>
      <c r="L207" s="221"/>
      <c r="M207" s="221"/>
      <c r="N207" s="221"/>
      <c r="O207" s="221"/>
      <c r="P207" s="221"/>
      <c r="Q207" s="221"/>
      <c r="R207" s="221"/>
      <c r="S207" s="221"/>
      <c r="T207" s="221"/>
      <c r="U207" s="221"/>
      <c r="V207" s="221"/>
      <c r="W207" s="221"/>
      <c r="X207" s="221"/>
      <c r="Y207" s="221"/>
      <c r="Z207" s="221"/>
    </row>
    <row r="208">
      <c r="A208" s="225" t="s">
        <v>660</v>
      </c>
      <c r="B208" s="226" t="s">
        <v>633</v>
      </c>
      <c r="C208" s="227">
        <v>0.0</v>
      </c>
      <c r="D208" s="227">
        <v>0.0</v>
      </c>
      <c r="E208" s="227" t="s">
        <v>332</v>
      </c>
      <c r="F208" s="227" t="s">
        <v>332</v>
      </c>
      <c r="G208" s="221"/>
      <c r="H208" s="221"/>
      <c r="I208" s="221"/>
      <c r="J208" s="221"/>
      <c r="K208" s="221"/>
      <c r="L208" s="221"/>
      <c r="M208" s="221"/>
      <c r="N208" s="221"/>
      <c r="O208" s="221"/>
      <c r="P208" s="221"/>
      <c r="Q208" s="221"/>
      <c r="R208" s="221"/>
      <c r="S208" s="221"/>
      <c r="T208" s="221"/>
      <c r="U208" s="221"/>
      <c r="V208" s="221"/>
      <c r="W208" s="221"/>
      <c r="X208" s="221"/>
      <c r="Y208" s="221"/>
      <c r="Z208" s="221"/>
    </row>
    <row r="209">
      <c r="A209" s="225" t="s">
        <v>661</v>
      </c>
      <c r="B209" s="226" t="s">
        <v>633</v>
      </c>
      <c r="C209" s="227" t="s">
        <v>332</v>
      </c>
      <c r="D209" s="227" t="s">
        <v>332</v>
      </c>
      <c r="E209" s="227">
        <v>0.0</v>
      </c>
      <c r="F209" s="227">
        <v>0.0</v>
      </c>
      <c r="G209" s="221"/>
      <c r="H209" s="221"/>
      <c r="I209" s="221"/>
      <c r="J209" s="221"/>
      <c r="K209" s="221"/>
      <c r="L209" s="221"/>
      <c r="M209" s="221"/>
      <c r="N209" s="221"/>
      <c r="O209" s="221"/>
      <c r="P209" s="221"/>
      <c r="Q209" s="221"/>
      <c r="R209" s="221"/>
      <c r="S209" s="221"/>
      <c r="T209" s="221"/>
      <c r="U209" s="221"/>
      <c r="V209" s="221"/>
      <c r="W209" s="221"/>
      <c r="X209" s="221"/>
      <c r="Y209" s="221"/>
      <c r="Z209" s="221"/>
    </row>
    <row r="210">
      <c r="A210" s="225" t="s">
        <v>662</v>
      </c>
      <c r="B210" s="226" t="s">
        <v>633</v>
      </c>
      <c r="C210" s="227">
        <v>0.0</v>
      </c>
      <c r="D210" s="227">
        <v>0.0</v>
      </c>
      <c r="E210" s="227">
        <v>0.0</v>
      </c>
      <c r="F210" s="227" t="s">
        <v>332</v>
      </c>
      <c r="G210" s="221"/>
      <c r="H210" s="221"/>
      <c r="I210" s="221"/>
      <c r="J210" s="221"/>
      <c r="K210" s="221"/>
      <c r="L210" s="221"/>
      <c r="M210" s="221"/>
      <c r="N210" s="221"/>
      <c r="O210" s="221"/>
      <c r="P210" s="221"/>
      <c r="Q210" s="221"/>
      <c r="R210" s="221"/>
      <c r="S210" s="221"/>
      <c r="T210" s="221"/>
      <c r="U210" s="221"/>
      <c r="V210" s="221"/>
      <c r="W210" s="221"/>
      <c r="X210" s="221"/>
      <c r="Y210" s="221"/>
      <c r="Z210" s="221"/>
    </row>
    <row r="211">
      <c r="A211" s="225" t="s">
        <v>663</v>
      </c>
      <c r="B211" s="226" t="s">
        <v>633</v>
      </c>
      <c r="C211" s="227">
        <v>0.0</v>
      </c>
      <c r="D211" s="227" t="s">
        <v>332</v>
      </c>
      <c r="E211" s="227">
        <v>0.0</v>
      </c>
      <c r="F211" s="227" t="s">
        <v>332</v>
      </c>
      <c r="G211" s="221"/>
      <c r="H211" s="221"/>
      <c r="I211" s="221"/>
      <c r="J211" s="221"/>
      <c r="K211" s="221"/>
      <c r="L211" s="221"/>
      <c r="M211" s="221"/>
      <c r="N211" s="221"/>
      <c r="O211" s="221"/>
      <c r="P211" s="221"/>
      <c r="Q211" s="221"/>
      <c r="R211" s="221"/>
      <c r="S211" s="221"/>
      <c r="T211" s="221"/>
      <c r="U211" s="221"/>
      <c r="V211" s="221"/>
      <c r="W211" s="221"/>
      <c r="X211" s="221"/>
      <c r="Y211" s="221"/>
      <c r="Z211" s="221"/>
    </row>
    <row r="212">
      <c r="A212" s="225" t="s">
        <v>664</v>
      </c>
      <c r="B212" s="226" t="s">
        <v>633</v>
      </c>
      <c r="C212" s="227">
        <v>0.0</v>
      </c>
      <c r="D212" s="227">
        <v>0.0</v>
      </c>
      <c r="E212" s="227" t="s">
        <v>332</v>
      </c>
      <c r="F212" s="227" t="s">
        <v>332</v>
      </c>
      <c r="G212" s="221"/>
      <c r="H212" s="221"/>
      <c r="I212" s="221"/>
      <c r="J212" s="221"/>
      <c r="K212" s="221"/>
      <c r="L212" s="221"/>
      <c r="M212" s="221"/>
      <c r="N212" s="221"/>
      <c r="O212" s="221"/>
      <c r="P212" s="221"/>
      <c r="Q212" s="221"/>
      <c r="R212" s="221"/>
      <c r="S212" s="221"/>
      <c r="T212" s="221"/>
      <c r="U212" s="221"/>
      <c r="V212" s="221"/>
      <c r="W212" s="221"/>
      <c r="X212" s="221"/>
      <c r="Y212" s="221"/>
      <c r="Z212" s="221"/>
    </row>
    <row r="213">
      <c r="A213" s="225" t="s">
        <v>665</v>
      </c>
      <c r="B213" s="226" t="s">
        <v>158</v>
      </c>
      <c r="C213" s="227">
        <v>0.0</v>
      </c>
      <c r="D213" s="227">
        <v>0.0</v>
      </c>
      <c r="E213" s="227">
        <v>0.0</v>
      </c>
      <c r="F213" s="227" t="s">
        <v>332</v>
      </c>
      <c r="G213" s="221"/>
      <c r="H213" s="221"/>
      <c r="I213" s="221"/>
      <c r="J213" s="221"/>
      <c r="K213" s="221"/>
      <c r="L213" s="221"/>
      <c r="M213" s="221"/>
      <c r="N213" s="221"/>
      <c r="O213" s="221"/>
      <c r="P213" s="221"/>
      <c r="Q213" s="221"/>
      <c r="R213" s="221"/>
      <c r="S213" s="221"/>
      <c r="T213" s="221"/>
      <c r="U213" s="221"/>
      <c r="V213" s="221"/>
      <c r="W213" s="221"/>
      <c r="X213" s="221"/>
      <c r="Y213" s="221"/>
      <c r="Z213" s="221"/>
    </row>
    <row r="214">
      <c r="A214" s="225" t="s">
        <v>666</v>
      </c>
      <c r="B214" s="226" t="s">
        <v>158</v>
      </c>
      <c r="C214" s="227" t="s">
        <v>332</v>
      </c>
      <c r="D214" s="227" t="s">
        <v>332</v>
      </c>
      <c r="E214" s="227">
        <v>0.0</v>
      </c>
      <c r="F214" s="227" t="s">
        <v>332</v>
      </c>
      <c r="G214" s="221"/>
      <c r="H214" s="221"/>
      <c r="I214" s="221"/>
      <c r="J214" s="221"/>
      <c r="K214" s="221"/>
      <c r="L214" s="221"/>
      <c r="M214" s="221"/>
      <c r="N214" s="221"/>
      <c r="O214" s="221"/>
      <c r="P214" s="221"/>
      <c r="Q214" s="221"/>
      <c r="R214" s="221"/>
      <c r="S214" s="221"/>
      <c r="T214" s="221"/>
      <c r="U214" s="221"/>
      <c r="V214" s="221"/>
      <c r="W214" s="221"/>
      <c r="X214" s="221"/>
      <c r="Y214" s="221"/>
      <c r="Z214" s="221"/>
    </row>
    <row r="215">
      <c r="A215" s="225" t="s">
        <v>667</v>
      </c>
      <c r="B215" s="226" t="s">
        <v>158</v>
      </c>
      <c r="C215" s="227" t="s">
        <v>332</v>
      </c>
      <c r="D215" s="227" t="s">
        <v>332</v>
      </c>
      <c r="E215" s="227">
        <v>0.0</v>
      </c>
      <c r="F215" s="227">
        <v>0.0</v>
      </c>
      <c r="G215" s="221"/>
      <c r="H215" s="221"/>
      <c r="I215" s="221"/>
      <c r="J215" s="221"/>
      <c r="K215" s="221"/>
      <c r="L215" s="221"/>
      <c r="M215" s="221"/>
      <c r="N215" s="221"/>
      <c r="O215" s="221"/>
      <c r="P215" s="221"/>
      <c r="Q215" s="221"/>
      <c r="R215" s="221"/>
      <c r="S215" s="221"/>
      <c r="T215" s="221"/>
      <c r="U215" s="221"/>
      <c r="V215" s="221"/>
      <c r="W215" s="221"/>
      <c r="X215" s="221"/>
      <c r="Y215" s="221"/>
      <c r="Z215" s="221"/>
    </row>
    <row r="216">
      <c r="A216" s="225" t="s">
        <v>668</v>
      </c>
      <c r="B216" s="226" t="s">
        <v>158</v>
      </c>
      <c r="C216" s="227" t="s">
        <v>332</v>
      </c>
      <c r="D216" s="227" t="s">
        <v>332</v>
      </c>
      <c r="E216" s="227">
        <v>0.0</v>
      </c>
      <c r="F216" s="227" t="s">
        <v>332</v>
      </c>
      <c r="G216" s="221"/>
      <c r="H216" s="221"/>
      <c r="I216" s="221"/>
      <c r="J216" s="221"/>
      <c r="K216" s="221"/>
      <c r="L216" s="221"/>
      <c r="M216" s="221"/>
      <c r="N216" s="221"/>
      <c r="O216" s="221"/>
      <c r="P216" s="221"/>
      <c r="Q216" s="221"/>
      <c r="R216" s="221"/>
      <c r="S216" s="221"/>
      <c r="T216" s="221"/>
      <c r="U216" s="221"/>
      <c r="V216" s="221"/>
      <c r="W216" s="221"/>
      <c r="X216" s="221"/>
      <c r="Y216" s="221"/>
      <c r="Z216" s="221"/>
    </row>
    <row r="217">
      <c r="A217" s="225" t="s">
        <v>669</v>
      </c>
      <c r="B217" s="226" t="s">
        <v>158</v>
      </c>
      <c r="C217" s="227">
        <v>0.0</v>
      </c>
      <c r="D217" s="227" t="s">
        <v>332</v>
      </c>
      <c r="E217" s="227">
        <v>0.0</v>
      </c>
      <c r="F217" s="227">
        <v>0.0</v>
      </c>
      <c r="G217" s="221"/>
      <c r="H217" s="221"/>
      <c r="I217" s="221"/>
      <c r="J217" s="221"/>
      <c r="K217" s="221"/>
      <c r="L217" s="221"/>
      <c r="M217" s="221"/>
      <c r="N217" s="221"/>
      <c r="O217" s="221"/>
      <c r="P217" s="221"/>
      <c r="Q217" s="221"/>
      <c r="R217" s="221"/>
      <c r="S217" s="221"/>
      <c r="T217" s="221"/>
      <c r="U217" s="221"/>
      <c r="V217" s="221"/>
      <c r="W217" s="221"/>
      <c r="X217" s="221"/>
      <c r="Y217" s="221"/>
      <c r="Z217" s="221"/>
    </row>
    <row r="218">
      <c r="A218" s="225" t="s">
        <v>670</v>
      </c>
      <c r="B218" s="226" t="s">
        <v>158</v>
      </c>
      <c r="C218" s="227" t="s">
        <v>332</v>
      </c>
      <c r="D218" s="227" t="s">
        <v>332</v>
      </c>
      <c r="E218" s="227" t="s">
        <v>332</v>
      </c>
      <c r="F218" s="227" t="s">
        <v>332</v>
      </c>
      <c r="G218" s="221"/>
      <c r="H218" s="221"/>
      <c r="I218" s="221"/>
      <c r="J218" s="221"/>
      <c r="K218" s="221"/>
      <c r="L218" s="221"/>
      <c r="M218" s="221"/>
      <c r="N218" s="221"/>
      <c r="O218" s="221"/>
      <c r="P218" s="221"/>
      <c r="Q218" s="221"/>
      <c r="R218" s="221"/>
      <c r="S218" s="221"/>
      <c r="T218" s="221"/>
      <c r="U218" s="221"/>
      <c r="V218" s="221"/>
      <c r="W218" s="221"/>
      <c r="X218" s="221"/>
      <c r="Y218" s="221"/>
      <c r="Z218" s="221"/>
    </row>
    <row r="219">
      <c r="A219" s="225" t="s">
        <v>671</v>
      </c>
      <c r="B219" s="226" t="s">
        <v>158</v>
      </c>
      <c r="C219" s="227">
        <v>0.0</v>
      </c>
      <c r="D219" s="227" t="s">
        <v>319</v>
      </c>
      <c r="E219" s="227" t="s">
        <v>332</v>
      </c>
      <c r="F219" s="227" t="s">
        <v>332</v>
      </c>
      <c r="G219" s="221"/>
      <c r="H219" s="221"/>
      <c r="I219" s="221"/>
      <c r="J219" s="221"/>
      <c r="K219" s="221"/>
      <c r="L219" s="221"/>
      <c r="M219" s="221"/>
      <c r="N219" s="221"/>
      <c r="O219" s="221"/>
      <c r="P219" s="221"/>
      <c r="Q219" s="221"/>
      <c r="R219" s="221"/>
      <c r="S219" s="221"/>
      <c r="T219" s="221"/>
      <c r="U219" s="221"/>
      <c r="V219" s="221"/>
      <c r="W219" s="221"/>
      <c r="X219" s="221"/>
      <c r="Y219" s="221"/>
      <c r="Z219" s="221"/>
    </row>
    <row r="220">
      <c r="A220" s="225" t="s">
        <v>672</v>
      </c>
      <c r="B220" s="226" t="s">
        <v>158</v>
      </c>
      <c r="C220" s="227">
        <v>0.0</v>
      </c>
      <c r="D220" s="227" t="s">
        <v>332</v>
      </c>
      <c r="E220" s="227">
        <v>0.0</v>
      </c>
      <c r="F220" s="227" t="s">
        <v>332</v>
      </c>
      <c r="G220" s="221"/>
      <c r="H220" s="221"/>
      <c r="I220" s="221"/>
      <c r="J220" s="221"/>
      <c r="K220" s="221"/>
      <c r="L220" s="221"/>
      <c r="M220" s="221"/>
      <c r="N220" s="221"/>
      <c r="O220" s="221"/>
      <c r="P220" s="221"/>
      <c r="Q220" s="221"/>
      <c r="R220" s="221"/>
      <c r="S220" s="221"/>
      <c r="T220" s="221"/>
      <c r="U220" s="221"/>
      <c r="V220" s="221"/>
      <c r="W220" s="221"/>
      <c r="X220" s="221"/>
      <c r="Y220" s="221"/>
      <c r="Z220" s="221"/>
    </row>
    <row r="221">
      <c r="A221" s="225" t="s">
        <v>673</v>
      </c>
      <c r="B221" s="226" t="s">
        <v>158</v>
      </c>
      <c r="C221" s="227" t="s">
        <v>319</v>
      </c>
      <c r="D221" s="227" t="s">
        <v>329</v>
      </c>
      <c r="E221" s="227" t="s">
        <v>332</v>
      </c>
      <c r="F221" s="227" t="s">
        <v>332</v>
      </c>
      <c r="G221" s="221"/>
      <c r="H221" s="221"/>
      <c r="I221" s="221"/>
      <c r="J221" s="221"/>
      <c r="K221" s="221"/>
      <c r="L221" s="221"/>
      <c r="M221" s="221"/>
      <c r="N221" s="221"/>
      <c r="O221" s="221"/>
      <c r="P221" s="221"/>
      <c r="Q221" s="221"/>
      <c r="R221" s="221"/>
      <c r="S221" s="221"/>
      <c r="T221" s="221"/>
      <c r="U221" s="221"/>
      <c r="V221" s="221"/>
      <c r="W221" s="221"/>
      <c r="X221" s="221"/>
      <c r="Y221" s="221"/>
      <c r="Z221" s="221"/>
    </row>
    <row r="222">
      <c r="A222" s="225" t="s">
        <v>674</v>
      </c>
      <c r="B222" s="226" t="s">
        <v>158</v>
      </c>
      <c r="C222" s="227">
        <v>0.0</v>
      </c>
      <c r="D222" s="227" t="s">
        <v>332</v>
      </c>
      <c r="E222" s="227" t="s">
        <v>332</v>
      </c>
      <c r="F222" s="227" t="s">
        <v>332</v>
      </c>
      <c r="G222" s="221"/>
      <c r="H222" s="221"/>
      <c r="I222" s="221"/>
      <c r="J222" s="221"/>
      <c r="K222" s="221"/>
      <c r="L222" s="221"/>
      <c r="M222" s="221"/>
      <c r="N222" s="221"/>
      <c r="O222" s="221"/>
      <c r="P222" s="221"/>
      <c r="Q222" s="221"/>
      <c r="R222" s="221"/>
      <c r="S222" s="221"/>
      <c r="T222" s="221"/>
      <c r="U222" s="221"/>
      <c r="V222" s="221"/>
      <c r="W222" s="221"/>
      <c r="X222" s="221"/>
      <c r="Y222" s="221"/>
      <c r="Z222" s="221"/>
    </row>
    <row r="223">
      <c r="A223" s="225" t="s">
        <v>675</v>
      </c>
      <c r="B223" s="226" t="s">
        <v>158</v>
      </c>
      <c r="C223" s="227">
        <v>0.0</v>
      </c>
      <c r="D223" s="227" t="s">
        <v>332</v>
      </c>
      <c r="E223" s="227" t="s">
        <v>332</v>
      </c>
      <c r="F223" s="227" t="s">
        <v>332</v>
      </c>
      <c r="G223" s="221"/>
      <c r="H223" s="221"/>
      <c r="I223" s="221"/>
      <c r="J223" s="221"/>
      <c r="K223" s="221"/>
      <c r="L223" s="221"/>
      <c r="M223" s="221"/>
      <c r="N223" s="221"/>
      <c r="O223" s="221"/>
      <c r="P223" s="221"/>
      <c r="Q223" s="221"/>
      <c r="R223" s="221"/>
      <c r="S223" s="221"/>
      <c r="T223" s="221"/>
      <c r="U223" s="221"/>
      <c r="V223" s="221"/>
      <c r="W223" s="221"/>
      <c r="X223" s="221"/>
      <c r="Y223" s="221"/>
      <c r="Z223" s="221"/>
    </row>
    <row r="224">
      <c r="A224" s="225" t="s">
        <v>676</v>
      </c>
      <c r="B224" s="226" t="s">
        <v>158</v>
      </c>
      <c r="C224" s="227">
        <v>0.0</v>
      </c>
      <c r="D224" s="227" t="s">
        <v>319</v>
      </c>
      <c r="E224" s="227" t="s">
        <v>332</v>
      </c>
      <c r="F224" s="227" t="s">
        <v>332</v>
      </c>
      <c r="G224" s="221"/>
      <c r="H224" s="221"/>
      <c r="I224" s="221"/>
      <c r="J224" s="221"/>
      <c r="K224" s="221"/>
      <c r="L224" s="221"/>
      <c r="M224" s="221"/>
      <c r="N224" s="221"/>
      <c r="O224" s="221"/>
      <c r="P224" s="221"/>
      <c r="Q224" s="221"/>
      <c r="R224" s="221"/>
      <c r="S224" s="221"/>
      <c r="T224" s="221"/>
      <c r="U224" s="221"/>
      <c r="V224" s="221"/>
      <c r="W224" s="221"/>
      <c r="X224" s="221"/>
      <c r="Y224" s="221"/>
      <c r="Z224" s="221"/>
    </row>
    <row r="225">
      <c r="A225" s="225" t="s">
        <v>677</v>
      </c>
      <c r="B225" s="226" t="s">
        <v>158</v>
      </c>
      <c r="C225" s="227" t="s">
        <v>332</v>
      </c>
      <c r="D225" s="227" t="s">
        <v>319</v>
      </c>
      <c r="E225" s="227">
        <v>0.0</v>
      </c>
      <c r="F225" s="227">
        <v>0.0</v>
      </c>
      <c r="G225" s="221"/>
      <c r="H225" s="221"/>
      <c r="I225" s="221"/>
      <c r="J225" s="221"/>
      <c r="K225" s="221"/>
      <c r="L225" s="221"/>
      <c r="M225" s="221"/>
      <c r="N225" s="221"/>
      <c r="O225" s="221"/>
      <c r="P225" s="221"/>
      <c r="Q225" s="221"/>
      <c r="R225" s="221"/>
      <c r="S225" s="221"/>
      <c r="T225" s="221"/>
      <c r="U225" s="221"/>
      <c r="V225" s="221"/>
      <c r="W225" s="221"/>
      <c r="X225" s="221"/>
      <c r="Y225" s="221"/>
      <c r="Z225" s="221"/>
    </row>
    <row r="226">
      <c r="A226" s="225" t="s">
        <v>678</v>
      </c>
      <c r="B226" s="226" t="s">
        <v>158</v>
      </c>
      <c r="C226" s="227" t="s">
        <v>332</v>
      </c>
      <c r="D226" s="227" t="s">
        <v>319</v>
      </c>
      <c r="E226" s="227">
        <v>0.0</v>
      </c>
      <c r="F226" s="227">
        <v>0.0</v>
      </c>
      <c r="G226" s="221"/>
      <c r="H226" s="221"/>
      <c r="I226" s="221"/>
      <c r="J226" s="221"/>
      <c r="K226" s="221"/>
      <c r="L226" s="221"/>
      <c r="M226" s="221"/>
      <c r="N226" s="221"/>
      <c r="O226" s="221"/>
      <c r="P226" s="221"/>
      <c r="Q226" s="221"/>
      <c r="R226" s="221"/>
      <c r="S226" s="221"/>
      <c r="T226" s="221"/>
      <c r="U226" s="221"/>
      <c r="V226" s="221"/>
      <c r="W226" s="221"/>
      <c r="X226" s="221"/>
      <c r="Y226" s="221"/>
      <c r="Z226" s="221"/>
    </row>
    <row r="227">
      <c r="A227" s="225" t="s">
        <v>679</v>
      </c>
      <c r="B227" s="226" t="s">
        <v>158</v>
      </c>
      <c r="C227" s="227">
        <v>0.0</v>
      </c>
      <c r="D227" s="227" t="s">
        <v>332</v>
      </c>
      <c r="E227" s="227" t="s">
        <v>332</v>
      </c>
      <c r="F227" s="227" t="s">
        <v>332</v>
      </c>
      <c r="G227" s="221"/>
      <c r="H227" s="221"/>
      <c r="I227" s="221"/>
      <c r="J227" s="221"/>
      <c r="K227" s="221"/>
      <c r="L227" s="221"/>
      <c r="M227" s="221"/>
      <c r="N227" s="221"/>
      <c r="O227" s="221"/>
      <c r="P227" s="221"/>
      <c r="Q227" s="221"/>
      <c r="R227" s="221"/>
      <c r="S227" s="221"/>
      <c r="T227" s="221"/>
      <c r="U227" s="221"/>
      <c r="V227" s="221"/>
      <c r="W227" s="221"/>
      <c r="X227" s="221"/>
      <c r="Y227" s="221"/>
      <c r="Z227" s="221"/>
    </row>
    <row r="228">
      <c r="A228" s="225" t="s">
        <v>680</v>
      </c>
      <c r="B228" s="226" t="s">
        <v>158</v>
      </c>
      <c r="C228" s="227">
        <v>0.0</v>
      </c>
      <c r="D228" s="227" t="s">
        <v>332</v>
      </c>
      <c r="E228" s="227" t="s">
        <v>332</v>
      </c>
      <c r="F228" s="227" t="s">
        <v>332</v>
      </c>
      <c r="G228" s="221"/>
      <c r="H228" s="221"/>
      <c r="I228" s="221"/>
      <c r="J228" s="221"/>
      <c r="K228" s="221"/>
      <c r="L228" s="221"/>
      <c r="M228" s="221"/>
      <c r="N228" s="221"/>
      <c r="O228" s="221"/>
      <c r="P228" s="221"/>
      <c r="Q228" s="221"/>
      <c r="R228" s="221"/>
      <c r="S228" s="221"/>
      <c r="T228" s="221"/>
      <c r="U228" s="221"/>
      <c r="V228" s="221"/>
      <c r="W228" s="221"/>
      <c r="X228" s="221"/>
      <c r="Y228" s="221"/>
      <c r="Z228" s="221"/>
    </row>
    <row r="229">
      <c r="A229" s="225" t="s">
        <v>681</v>
      </c>
      <c r="B229" s="226" t="s">
        <v>158</v>
      </c>
      <c r="C229" s="227" t="s">
        <v>332</v>
      </c>
      <c r="D229" s="227" t="s">
        <v>332</v>
      </c>
      <c r="E229" s="227" t="s">
        <v>332</v>
      </c>
      <c r="F229" s="227" t="s">
        <v>332</v>
      </c>
      <c r="G229" s="221"/>
      <c r="H229" s="221"/>
      <c r="I229" s="221"/>
      <c r="J229" s="221"/>
      <c r="K229" s="221"/>
      <c r="L229" s="221"/>
      <c r="M229" s="221"/>
      <c r="N229" s="221"/>
      <c r="O229" s="221"/>
      <c r="P229" s="221"/>
      <c r="Q229" s="221"/>
      <c r="R229" s="221"/>
      <c r="S229" s="221"/>
      <c r="T229" s="221"/>
      <c r="U229" s="221"/>
      <c r="V229" s="221"/>
      <c r="W229" s="221"/>
      <c r="X229" s="221"/>
      <c r="Y229" s="221"/>
      <c r="Z229" s="221"/>
    </row>
    <row r="230">
      <c r="A230" s="225" t="s">
        <v>682</v>
      </c>
      <c r="B230" s="226" t="s">
        <v>158</v>
      </c>
      <c r="C230" s="227">
        <v>0.0</v>
      </c>
      <c r="D230" s="227" t="s">
        <v>332</v>
      </c>
      <c r="E230" s="227">
        <v>0.0</v>
      </c>
      <c r="F230" s="227" t="s">
        <v>332</v>
      </c>
      <c r="G230" s="221"/>
      <c r="H230" s="221"/>
      <c r="I230" s="221"/>
      <c r="J230" s="221"/>
      <c r="K230" s="221"/>
      <c r="L230" s="221"/>
      <c r="M230" s="221"/>
      <c r="N230" s="221"/>
      <c r="O230" s="221"/>
      <c r="P230" s="221"/>
      <c r="Q230" s="221"/>
      <c r="R230" s="221"/>
      <c r="S230" s="221"/>
      <c r="T230" s="221"/>
      <c r="U230" s="221"/>
      <c r="V230" s="221"/>
      <c r="W230" s="221"/>
      <c r="X230" s="221"/>
      <c r="Y230" s="221"/>
      <c r="Z230" s="221"/>
    </row>
    <row r="231">
      <c r="A231" s="225" t="s">
        <v>683</v>
      </c>
      <c r="B231" s="226" t="s">
        <v>158</v>
      </c>
      <c r="C231" s="227">
        <v>0.0</v>
      </c>
      <c r="D231" s="227">
        <v>0.0</v>
      </c>
      <c r="E231" s="227">
        <v>0.0</v>
      </c>
      <c r="F231" s="227" t="s">
        <v>332</v>
      </c>
      <c r="G231" s="221"/>
      <c r="H231" s="221"/>
      <c r="I231" s="221"/>
      <c r="J231" s="221"/>
      <c r="K231" s="221"/>
      <c r="L231" s="221"/>
      <c r="M231" s="221"/>
      <c r="N231" s="221"/>
      <c r="O231" s="221"/>
      <c r="P231" s="221"/>
      <c r="Q231" s="221"/>
      <c r="R231" s="221"/>
      <c r="S231" s="221"/>
      <c r="T231" s="221"/>
      <c r="U231" s="221"/>
      <c r="V231" s="221"/>
      <c r="W231" s="221"/>
      <c r="X231" s="221"/>
      <c r="Y231" s="221"/>
      <c r="Z231" s="221"/>
    </row>
    <row r="232">
      <c r="A232" s="225" t="s">
        <v>684</v>
      </c>
      <c r="B232" s="226" t="s">
        <v>158</v>
      </c>
      <c r="C232" s="227" t="s">
        <v>332</v>
      </c>
      <c r="D232" s="227" t="s">
        <v>319</v>
      </c>
      <c r="E232" s="227" t="s">
        <v>332</v>
      </c>
      <c r="F232" s="227" t="s">
        <v>319</v>
      </c>
      <c r="G232" s="221"/>
      <c r="H232" s="221"/>
      <c r="I232" s="221"/>
      <c r="J232" s="221"/>
      <c r="K232" s="221"/>
      <c r="L232" s="221"/>
      <c r="M232" s="221"/>
      <c r="N232" s="221"/>
      <c r="O232" s="221"/>
      <c r="P232" s="221"/>
      <c r="Q232" s="221"/>
      <c r="R232" s="221"/>
      <c r="S232" s="221"/>
      <c r="T232" s="221"/>
      <c r="U232" s="221"/>
      <c r="V232" s="221"/>
      <c r="W232" s="221"/>
      <c r="X232" s="221"/>
      <c r="Y232" s="221"/>
      <c r="Z232" s="221"/>
    </row>
    <row r="233">
      <c r="A233" s="225" t="s">
        <v>685</v>
      </c>
      <c r="B233" s="226" t="s">
        <v>158</v>
      </c>
      <c r="C233" s="227" t="s">
        <v>332</v>
      </c>
      <c r="D233" s="227" t="s">
        <v>332</v>
      </c>
      <c r="E233" s="227" t="s">
        <v>332</v>
      </c>
      <c r="F233" s="227" t="s">
        <v>332</v>
      </c>
      <c r="G233" s="221"/>
      <c r="H233" s="221"/>
      <c r="I233" s="221"/>
      <c r="J233" s="221"/>
      <c r="K233" s="221"/>
      <c r="L233" s="221"/>
      <c r="M233" s="221"/>
      <c r="N233" s="221"/>
      <c r="O233" s="221"/>
      <c r="P233" s="221"/>
      <c r="Q233" s="221"/>
      <c r="R233" s="221"/>
      <c r="S233" s="221"/>
      <c r="T233" s="221"/>
      <c r="U233" s="221"/>
      <c r="V233" s="221"/>
      <c r="W233" s="221"/>
      <c r="X233" s="221"/>
      <c r="Y233" s="221"/>
      <c r="Z233" s="221"/>
    </row>
    <row r="234">
      <c r="A234" s="225" t="s">
        <v>686</v>
      </c>
      <c r="B234" s="226" t="s">
        <v>158</v>
      </c>
      <c r="C234" s="227" t="s">
        <v>332</v>
      </c>
      <c r="D234" s="227" t="s">
        <v>332</v>
      </c>
      <c r="E234" s="227" t="s">
        <v>332</v>
      </c>
      <c r="F234" s="227" t="s">
        <v>332</v>
      </c>
      <c r="G234" s="221"/>
      <c r="H234" s="221"/>
      <c r="I234" s="221"/>
      <c r="J234" s="221"/>
      <c r="K234" s="221"/>
      <c r="L234" s="221"/>
      <c r="M234" s="221"/>
      <c r="N234" s="221"/>
      <c r="O234" s="221"/>
      <c r="P234" s="221"/>
      <c r="Q234" s="221"/>
      <c r="R234" s="221"/>
      <c r="S234" s="221"/>
      <c r="T234" s="221"/>
      <c r="U234" s="221"/>
      <c r="V234" s="221"/>
      <c r="W234" s="221"/>
      <c r="X234" s="221"/>
      <c r="Y234" s="221"/>
      <c r="Z234" s="221"/>
    </row>
    <row r="235">
      <c r="A235" s="225" t="s">
        <v>687</v>
      </c>
      <c r="B235" s="226" t="s">
        <v>158</v>
      </c>
      <c r="C235" s="227" t="s">
        <v>332</v>
      </c>
      <c r="D235" s="227" t="s">
        <v>319</v>
      </c>
      <c r="E235" s="227" t="s">
        <v>332</v>
      </c>
      <c r="F235" s="227" t="s">
        <v>332</v>
      </c>
      <c r="G235" s="221"/>
      <c r="H235" s="221"/>
      <c r="I235" s="221"/>
      <c r="J235" s="221"/>
      <c r="K235" s="221"/>
      <c r="L235" s="221"/>
      <c r="M235" s="221"/>
      <c r="N235" s="221"/>
      <c r="O235" s="221"/>
      <c r="P235" s="221"/>
      <c r="Q235" s="221"/>
      <c r="R235" s="221"/>
      <c r="S235" s="221"/>
      <c r="T235" s="221"/>
      <c r="U235" s="221"/>
      <c r="V235" s="221"/>
      <c r="W235" s="221"/>
      <c r="X235" s="221"/>
      <c r="Y235" s="221"/>
      <c r="Z235" s="221"/>
    </row>
    <row r="236">
      <c r="A236" s="225" t="s">
        <v>688</v>
      </c>
      <c r="B236" s="226" t="s">
        <v>158</v>
      </c>
      <c r="C236" s="227" t="s">
        <v>332</v>
      </c>
      <c r="D236" s="227" t="s">
        <v>329</v>
      </c>
      <c r="E236" s="227" t="s">
        <v>332</v>
      </c>
      <c r="F236" s="227" t="s">
        <v>319</v>
      </c>
      <c r="G236" s="221"/>
      <c r="H236" s="221"/>
      <c r="I236" s="221"/>
      <c r="J236" s="221"/>
      <c r="K236" s="221"/>
      <c r="L236" s="221"/>
      <c r="M236" s="221"/>
      <c r="N236" s="221"/>
      <c r="O236" s="221"/>
      <c r="P236" s="221"/>
      <c r="Q236" s="221"/>
      <c r="R236" s="221"/>
      <c r="S236" s="221"/>
      <c r="T236" s="221"/>
      <c r="U236" s="221"/>
      <c r="V236" s="221"/>
      <c r="W236" s="221"/>
      <c r="X236" s="221"/>
      <c r="Y236" s="221"/>
      <c r="Z236" s="221"/>
    </row>
    <row r="237">
      <c r="A237" s="225" t="s">
        <v>689</v>
      </c>
      <c r="B237" s="226" t="s">
        <v>158</v>
      </c>
      <c r="C237" s="227" t="s">
        <v>332</v>
      </c>
      <c r="D237" s="227" t="s">
        <v>332</v>
      </c>
      <c r="E237" s="227" t="s">
        <v>332</v>
      </c>
      <c r="F237" s="227" t="s">
        <v>332</v>
      </c>
      <c r="G237" s="221"/>
      <c r="H237" s="221"/>
      <c r="I237" s="221"/>
      <c r="J237" s="221"/>
      <c r="K237" s="221"/>
      <c r="L237" s="221"/>
      <c r="M237" s="221"/>
      <c r="N237" s="221"/>
      <c r="O237" s="221"/>
      <c r="P237" s="221"/>
      <c r="Q237" s="221"/>
      <c r="R237" s="221"/>
      <c r="S237" s="221"/>
      <c r="T237" s="221"/>
      <c r="U237" s="221"/>
      <c r="V237" s="221"/>
      <c r="W237" s="221"/>
      <c r="X237" s="221"/>
      <c r="Y237" s="221"/>
      <c r="Z237" s="221"/>
    </row>
    <row r="238">
      <c r="A238" s="225" t="s">
        <v>690</v>
      </c>
      <c r="B238" s="226" t="s">
        <v>158</v>
      </c>
      <c r="C238" s="227" t="s">
        <v>332</v>
      </c>
      <c r="D238" s="227" t="s">
        <v>332</v>
      </c>
      <c r="E238" s="227">
        <v>0.0</v>
      </c>
      <c r="F238" s="227" t="s">
        <v>332</v>
      </c>
      <c r="G238" s="221"/>
      <c r="H238" s="221"/>
      <c r="I238" s="221"/>
      <c r="J238" s="221"/>
      <c r="K238" s="221"/>
      <c r="L238" s="221"/>
      <c r="M238" s="221"/>
      <c r="N238" s="221"/>
      <c r="O238" s="221"/>
      <c r="P238" s="221"/>
      <c r="Q238" s="221"/>
      <c r="R238" s="221"/>
      <c r="S238" s="221"/>
      <c r="T238" s="221"/>
      <c r="U238" s="221"/>
      <c r="V238" s="221"/>
      <c r="W238" s="221"/>
      <c r="X238" s="221"/>
      <c r="Y238" s="221"/>
      <c r="Z238" s="221"/>
    </row>
    <row r="239">
      <c r="A239" s="225" t="s">
        <v>691</v>
      </c>
      <c r="B239" s="226" t="s">
        <v>158</v>
      </c>
      <c r="C239" s="227">
        <v>0.0</v>
      </c>
      <c r="D239" s="227" t="s">
        <v>332</v>
      </c>
      <c r="E239" s="227">
        <v>0.0</v>
      </c>
      <c r="F239" s="227" t="s">
        <v>332</v>
      </c>
      <c r="G239" s="221"/>
      <c r="H239" s="221"/>
      <c r="I239" s="221"/>
      <c r="J239" s="221"/>
      <c r="K239" s="221"/>
      <c r="L239" s="221"/>
      <c r="M239" s="221"/>
      <c r="N239" s="221"/>
      <c r="O239" s="221"/>
      <c r="P239" s="221"/>
      <c r="Q239" s="221"/>
      <c r="R239" s="221"/>
      <c r="S239" s="221"/>
      <c r="T239" s="221"/>
      <c r="U239" s="221"/>
      <c r="V239" s="221"/>
      <c r="W239" s="221"/>
      <c r="X239" s="221"/>
      <c r="Y239" s="221"/>
      <c r="Z239" s="221"/>
    </row>
    <row r="240">
      <c r="A240" s="225" t="s">
        <v>692</v>
      </c>
      <c r="B240" s="226" t="s">
        <v>158</v>
      </c>
      <c r="C240" s="227" t="s">
        <v>332</v>
      </c>
      <c r="D240" s="227" t="s">
        <v>329</v>
      </c>
      <c r="E240" s="227">
        <v>0.0</v>
      </c>
      <c r="F240" s="227" t="s">
        <v>332</v>
      </c>
      <c r="G240" s="221"/>
      <c r="H240" s="221"/>
      <c r="I240" s="221"/>
      <c r="J240" s="221"/>
      <c r="K240" s="221"/>
      <c r="L240" s="221"/>
      <c r="M240" s="221"/>
      <c r="N240" s="221"/>
      <c r="O240" s="221"/>
      <c r="P240" s="221"/>
      <c r="Q240" s="221"/>
      <c r="R240" s="221"/>
      <c r="S240" s="221"/>
      <c r="T240" s="221"/>
      <c r="U240" s="221"/>
      <c r="V240" s="221"/>
      <c r="W240" s="221"/>
      <c r="X240" s="221"/>
      <c r="Y240" s="221"/>
      <c r="Z240" s="221"/>
    </row>
    <row r="241">
      <c r="A241" s="228" t="s">
        <v>693</v>
      </c>
      <c r="B241" s="226" t="s">
        <v>158</v>
      </c>
      <c r="C241" s="227" t="s">
        <v>332</v>
      </c>
      <c r="D241" s="227" t="s">
        <v>332</v>
      </c>
      <c r="E241" s="227">
        <v>0.0</v>
      </c>
      <c r="F241" s="227">
        <v>0.0</v>
      </c>
      <c r="G241" s="221"/>
      <c r="H241" s="221"/>
      <c r="I241" s="221"/>
      <c r="J241" s="221"/>
      <c r="K241" s="221"/>
      <c r="L241" s="221"/>
      <c r="M241" s="221"/>
      <c r="N241" s="221"/>
      <c r="O241" s="221"/>
      <c r="P241" s="221"/>
      <c r="Q241" s="221"/>
      <c r="R241" s="221"/>
      <c r="S241" s="221"/>
      <c r="T241" s="221"/>
      <c r="U241" s="221"/>
      <c r="V241" s="221"/>
      <c r="W241" s="221"/>
      <c r="X241" s="221"/>
      <c r="Y241" s="221"/>
      <c r="Z241" s="221"/>
    </row>
    <row r="242">
      <c r="A242" s="225" t="s">
        <v>694</v>
      </c>
      <c r="B242" s="226" t="s">
        <v>158</v>
      </c>
      <c r="C242" s="227" t="s">
        <v>332</v>
      </c>
      <c r="D242" s="227" t="s">
        <v>332</v>
      </c>
      <c r="E242" s="227">
        <v>0.0</v>
      </c>
      <c r="F242" s="227">
        <v>0.0</v>
      </c>
      <c r="G242" s="221"/>
      <c r="H242" s="221"/>
      <c r="I242" s="221"/>
      <c r="J242" s="221"/>
      <c r="K242" s="221"/>
      <c r="L242" s="221"/>
      <c r="M242" s="221"/>
      <c r="N242" s="221"/>
      <c r="O242" s="221"/>
      <c r="P242" s="221"/>
      <c r="Q242" s="221"/>
      <c r="R242" s="221"/>
      <c r="S242" s="221"/>
      <c r="T242" s="221"/>
      <c r="U242" s="221"/>
      <c r="V242" s="221"/>
      <c r="W242" s="221"/>
      <c r="X242" s="221"/>
      <c r="Y242" s="221"/>
      <c r="Z242" s="221"/>
    </row>
    <row r="243">
      <c r="A243" s="225" t="s">
        <v>695</v>
      </c>
      <c r="B243" s="226" t="s">
        <v>158</v>
      </c>
      <c r="C243" s="227" t="s">
        <v>332</v>
      </c>
      <c r="D243" s="227" t="s">
        <v>319</v>
      </c>
      <c r="E243" s="227">
        <v>0.0</v>
      </c>
      <c r="F243" s="227">
        <v>0.0</v>
      </c>
      <c r="G243" s="221"/>
      <c r="H243" s="221"/>
      <c r="I243" s="221"/>
      <c r="J243" s="221"/>
      <c r="K243" s="221"/>
      <c r="L243" s="221"/>
      <c r="M243" s="221"/>
      <c r="N243" s="221"/>
      <c r="O243" s="221"/>
      <c r="P243" s="221"/>
      <c r="Q243" s="221"/>
      <c r="R243" s="221"/>
      <c r="S243" s="221"/>
      <c r="T243" s="221"/>
      <c r="U243" s="221"/>
      <c r="V243" s="221"/>
      <c r="W243" s="221"/>
      <c r="X243" s="221"/>
      <c r="Y243" s="221"/>
      <c r="Z243" s="221"/>
    </row>
    <row r="244">
      <c r="A244" s="225" t="s">
        <v>696</v>
      </c>
      <c r="B244" s="226" t="s">
        <v>158</v>
      </c>
      <c r="C244" s="227">
        <v>0.0</v>
      </c>
      <c r="D244" s="227" t="s">
        <v>332</v>
      </c>
      <c r="E244" s="227">
        <v>0.0</v>
      </c>
      <c r="F244" s="227" t="s">
        <v>332</v>
      </c>
      <c r="G244" s="221"/>
      <c r="H244" s="221"/>
      <c r="I244" s="221"/>
      <c r="J244" s="221"/>
      <c r="K244" s="221"/>
      <c r="L244" s="221"/>
      <c r="M244" s="221"/>
      <c r="N244" s="221"/>
      <c r="O244" s="221"/>
      <c r="P244" s="221"/>
      <c r="Q244" s="221"/>
      <c r="R244" s="221"/>
      <c r="S244" s="221"/>
      <c r="T244" s="221"/>
      <c r="U244" s="221"/>
      <c r="V244" s="221"/>
      <c r="W244" s="221"/>
      <c r="X244" s="221"/>
      <c r="Y244" s="221"/>
      <c r="Z244" s="221"/>
    </row>
    <row r="245">
      <c r="A245" s="225" t="s">
        <v>697</v>
      </c>
      <c r="B245" s="226" t="s">
        <v>158</v>
      </c>
      <c r="C245" s="227">
        <v>0.0</v>
      </c>
      <c r="D245" s="227" t="s">
        <v>332</v>
      </c>
      <c r="E245" s="227">
        <v>0.0</v>
      </c>
      <c r="F245" s="227" t="s">
        <v>332</v>
      </c>
      <c r="G245" s="221"/>
      <c r="H245" s="221"/>
      <c r="I245" s="221"/>
      <c r="J245" s="221"/>
      <c r="K245" s="221"/>
      <c r="L245" s="221"/>
      <c r="M245" s="221"/>
      <c r="N245" s="221"/>
      <c r="O245" s="221"/>
      <c r="P245" s="221"/>
      <c r="Q245" s="221"/>
      <c r="R245" s="221"/>
      <c r="S245" s="221"/>
      <c r="T245" s="221"/>
      <c r="U245" s="221"/>
      <c r="V245" s="221"/>
      <c r="W245" s="221"/>
      <c r="X245" s="221"/>
      <c r="Y245" s="221"/>
      <c r="Z245" s="221"/>
    </row>
    <row r="246">
      <c r="A246" s="228" t="s">
        <v>698</v>
      </c>
      <c r="B246" s="226" t="s">
        <v>158</v>
      </c>
      <c r="C246" s="227">
        <v>0.0</v>
      </c>
      <c r="D246" s="227" t="s">
        <v>332</v>
      </c>
      <c r="E246" s="227">
        <v>0.0</v>
      </c>
      <c r="F246" s="227">
        <v>0.0</v>
      </c>
      <c r="G246" s="221"/>
      <c r="H246" s="221"/>
      <c r="I246" s="221"/>
      <c r="J246" s="221"/>
      <c r="K246" s="221"/>
      <c r="L246" s="221"/>
      <c r="M246" s="221"/>
      <c r="N246" s="221"/>
      <c r="O246" s="221"/>
      <c r="P246" s="221"/>
      <c r="Q246" s="221"/>
      <c r="R246" s="221"/>
      <c r="S246" s="221"/>
      <c r="T246" s="221"/>
      <c r="U246" s="221"/>
      <c r="V246" s="221"/>
      <c r="W246" s="221"/>
      <c r="X246" s="221"/>
      <c r="Y246" s="221"/>
      <c r="Z246" s="221"/>
    </row>
    <row r="247">
      <c r="A247" s="225" t="s">
        <v>699</v>
      </c>
      <c r="B247" s="226" t="s">
        <v>158</v>
      </c>
      <c r="C247" s="227">
        <v>0.0</v>
      </c>
      <c r="D247" s="227" t="s">
        <v>319</v>
      </c>
      <c r="E247" s="227">
        <v>0.0</v>
      </c>
      <c r="F247" s="227" t="s">
        <v>332</v>
      </c>
      <c r="G247" s="221"/>
      <c r="H247" s="221"/>
      <c r="I247" s="221"/>
      <c r="J247" s="221"/>
      <c r="K247" s="221"/>
      <c r="L247" s="221"/>
      <c r="M247" s="221"/>
      <c r="N247" s="221"/>
      <c r="O247" s="221"/>
      <c r="P247" s="221"/>
      <c r="Q247" s="221"/>
      <c r="R247" s="221"/>
      <c r="S247" s="221"/>
      <c r="T247" s="221"/>
      <c r="U247" s="221"/>
      <c r="V247" s="221"/>
      <c r="W247" s="221"/>
      <c r="X247" s="221"/>
      <c r="Y247" s="221"/>
      <c r="Z247" s="221"/>
    </row>
    <row r="248">
      <c r="A248" s="225" t="s">
        <v>700</v>
      </c>
      <c r="B248" s="226" t="s">
        <v>158</v>
      </c>
      <c r="C248" s="227">
        <v>0.0</v>
      </c>
      <c r="D248" s="227" t="s">
        <v>332</v>
      </c>
      <c r="E248" s="227">
        <v>0.0</v>
      </c>
      <c r="F248" s="227" t="s">
        <v>332</v>
      </c>
      <c r="G248" s="221"/>
      <c r="H248" s="221"/>
      <c r="I248" s="221"/>
      <c r="J248" s="221"/>
      <c r="K248" s="221"/>
      <c r="L248" s="221"/>
      <c r="M248" s="221"/>
      <c r="N248" s="221"/>
      <c r="O248" s="221"/>
      <c r="P248" s="221"/>
      <c r="Q248" s="221"/>
      <c r="R248" s="221"/>
      <c r="S248" s="221"/>
      <c r="T248" s="221"/>
      <c r="U248" s="221"/>
      <c r="V248" s="221"/>
      <c r="W248" s="221"/>
      <c r="X248" s="221"/>
      <c r="Y248" s="221"/>
      <c r="Z248" s="221"/>
    </row>
    <row r="249">
      <c r="A249" s="225" t="s">
        <v>701</v>
      </c>
      <c r="B249" s="226" t="s">
        <v>158</v>
      </c>
      <c r="C249" s="227" t="s">
        <v>332</v>
      </c>
      <c r="D249" s="227" t="s">
        <v>332</v>
      </c>
      <c r="E249" s="227">
        <v>0.0</v>
      </c>
      <c r="F249" s="227">
        <v>0.0</v>
      </c>
      <c r="G249" s="221"/>
      <c r="H249" s="221"/>
      <c r="I249" s="221"/>
      <c r="J249" s="221"/>
      <c r="K249" s="221"/>
      <c r="L249" s="221"/>
      <c r="M249" s="221"/>
      <c r="N249" s="221"/>
      <c r="O249" s="221"/>
      <c r="P249" s="221"/>
      <c r="Q249" s="221"/>
      <c r="R249" s="221"/>
      <c r="S249" s="221"/>
      <c r="T249" s="221"/>
      <c r="U249" s="221"/>
      <c r="V249" s="221"/>
      <c r="W249" s="221"/>
      <c r="X249" s="221"/>
      <c r="Y249" s="221"/>
      <c r="Z249" s="221"/>
    </row>
    <row r="250">
      <c r="A250" s="225" t="s">
        <v>702</v>
      </c>
      <c r="B250" s="226" t="s">
        <v>158</v>
      </c>
      <c r="C250" s="227">
        <v>0.0</v>
      </c>
      <c r="D250" s="227" t="s">
        <v>332</v>
      </c>
      <c r="E250" s="227">
        <v>0.0</v>
      </c>
      <c r="F250" s="227" t="s">
        <v>332</v>
      </c>
      <c r="G250" s="221"/>
      <c r="H250" s="221"/>
      <c r="I250" s="221"/>
      <c r="J250" s="221"/>
      <c r="K250" s="221"/>
      <c r="L250" s="221"/>
      <c r="M250" s="221"/>
      <c r="N250" s="221"/>
      <c r="O250" s="221"/>
      <c r="P250" s="221"/>
      <c r="Q250" s="221"/>
      <c r="R250" s="221"/>
      <c r="S250" s="221"/>
      <c r="T250" s="221"/>
      <c r="U250" s="221"/>
      <c r="V250" s="221"/>
      <c r="W250" s="221"/>
      <c r="X250" s="221"/>
      <c r="Y250" s="221"/>
      <c r="Z250" s="221"/>
    </row>
    <row r="251">
      <c r="A251" s="225" t="s">
        <v>703</v>
      </c>
      <c r="B251" s="226" t="s">
        <v>158</v>
      </c>
      <c r="C251" s="227" t="s">
        <v>332</v>
      </c>
      <c r="D251" s="227" t="s">
        <v>332</v>
      </c>
      <c r="E251" s="227" t="s">
        <v>332</v>
      </c>
      <c r="F251" s="227" t="s">
        <v>332</v>
      </c>
      <c r="G251" s="221"/>
      <c r="H251" s="221"/>
      <c r="I251" s="221"/>
      <c r="J251" s="221"/>
      <c r="K251" s="221"/>
      <c r="L251" s="221"/>
      <c r="M251" s="221"/>
      <c r="N251" s="221"/>
      <c r="O251" s="221"/>
      <c r="P251" s="221"/>
      <c r="Q251" s="221"/>
      <c r="R251" s="221"/>
      <c r="S251" s="221"/>
      <c r="T251" s="221"/>
      <c r="U251" s="221"/>
      <c r="V251" s="221"/>
      <c r="W251" s="221"/>
      <c r="X251" s="221"/>
      <c r="Y251" s="221"/>
      <c r="Z251" s="221"/>
    </row>
    <row r="252">
      <c r="A252" s="225" t="s">
        <v>704</v>
      </c>
      <c r="B252" s="226" t="s">
        <v>158</v>
      </c>
      <c r="C252" s="227" t="s">
        <v>332</v>
      </c>
      <c r="D252" s="227" t="s">
        <v>319</v>
      </c>
      <c r="E252" s="227">
        <v>0.0</v>
      </c>
      <c r="F252" s="227" t="s">
        <v>332</v>
      </c>
      <c r="G252" s="221"/>
      <c r="H252" s="221"/>
      <c r="I252" s="221"/>
      <c r="J252" s="221"/>
      <c r="K252" s="221"/>
      <c r="L252" s="221"/>
      <c r="M252" s="221"/>
      <c r="N252" s="221"/>
      <c r="O252" s="221"/>
      <c r="P252" s="221"/>
      <c r="Q252" s="221"/>
      <c r="R252" s="221"/>
      <c r="S252" s="221"/>
      <c r="T252" s="221"/>
      <c r="U252" s="221"/>
      <c r="V252" s="221"/>
      <c r="W252" s="221"/>
      <c r="X252" s="221"/>
      <c r="Y252" s="221"/>
      <c r="Z252" s="221"/>
    </row>
    <row r="253">
      <c r="A253" s="228" t="s">
        <v>705</v>
      </c>
      <c r="B253" s="226" t="s">
        <v>158</v>
      </c>
      <c r="C253" s="227">
        <v>0.0</v>
      </c>
      <c r="D253" s="227" t="s">
        <v>332</v>
      </c>
      <c r="E253" s="227">
        <v>0.0</v>
      </c>
      <c r="F253" s="227" t="s">
        <v>319</v>
      </c>
      <c r="G253" s="221"/>
      <c r="H253" s="221"/>
      <c r="I253" s="221"/>
      <c r="J253" s="221"/>
      <c r="K253" s="221"/>
      <c r="L253" s="221"/>
      <c r="M253" s="221"/>
      <c r="N253" s="221"/>
      <c r="O253" s="221"/>
      <c r="P253" s="221"/>
      <c r="Q253" s="221"/>
      <c r="R253" s="221"/>
      <c r="S253" s="221"/>
      <c r="T253" s="221"/>
      <c r="U253" s="221"/>
      <c r="V253" s="221"/>
      <c r="W253" s="221"/>
      <c r="X253" s="221"/>
      <c r="Y253" s="221"/>
      <c r="Z253" s="221"/>
    </row>
    <row r="254">
      <c r="A254" s="225" t="s">
        <v>706</v>
      </c>
      <c r="B254" s="226" t="s">
        <v>158</v>
      </c>
      <c r="C254" s="227" t="s">
        <v>332</v>
      </c>
      <c r="D254" s="227" t="s">
        <v>332</v>
      </c>
      <c r="E254" s="227">
        <v>0.0</v>
      </c>
      <c r="F254" s="227" t="s">
        <v>332</v>
      </c>
      <c r="G254" s="221"/>
      <c r="H254" s="221"/>
      <c r="I254" s="221"/>
      <c r="J254" s="221"/>
      <c r="K254" s="221"/>
      <c r="L254" s="221"/>
      <c r="M254" s="221"/>
      <c r="N254" s="221"/>
      <c r="O254" s="221"/>
      <c r="P254" s="221"/>
      <c r="Q254" s="221"/>
      <c r="R254" s="221"/>
      <c r="S254" s="221"/>
      <c r="T254" s="221"/>
      <c r="U254" s="221"/>
      <c r="V254" s="221"/>
      <c r="W254" s="221"/>
      <c r="X254" s="221"/>
      <c r="Y254" s="221"/>
      <c r="Z254" s="221"/>
    </row>
    <row r="255">
      <c r="A255" s="225" t="s">
        <v>707</v>
      </c>
      <c r="B255" s="226" t="s">
        <v>708</v>
      </c>
      <c r="C255" s="227">
        <v>0.0</v>
      </c>
      <c r="D255" s="227" t="s">
        <v>332</v>
      </c>
      <c r="E255" s="227">
        <v>0.0</v>
      </c>
      <c r="F255" s="227">
        <v>0.0</v>
      </c>
      <c r="G255" s="221"/>
      <c r="H255" s="221"/>
      <c r="I255" s="221"/>
      <c r="J255" s="221"/>
      <c r="K255" s="221"/>
      <c r="L255" s="221"/>
      <c r="M255" s="221"/>
      <c r="N255" s="221"/>
      <c r="O255" s="221"/>
      <c r="P255" s="221"/>
      <c r="Q255" s="221"/>
      <c r="R255" s="221"/>
      <c r="S255" s="221"/>
      <c r="T255" s="221"/>
      <c r="U255" s="221"/>
      <c r="V255" s="221"/>
      <c r="W255" s="221"/>
      <c r="X255" s="221"/>
      <c r="Y255" s="221"/>
      <c r="Z255" s="221"/>
    </row>
    <row r="256">
      <c r="A256" s="225" t="s">
        <v>709</v>
      </c>
      <c r="B256" s="226" t="s">
        <v>710</v>
      </c>
      <c r="C256" s="227" t="s">
        <v>332</v>
      </c>
      <c r="D256" s="227" t="s">
        <v>332</v>
      </c>
      <c r="E256" s="227">
        <v>0.0</v>
      </c>
      <c r="F256" s="227" t="s">
        <v>332</v>
      </c>
      <c r="G256" s="221"/>
      <c r="H256" s="221"/>
      <c r="I256" s="221"/>
      <c r="J256" s="221"/>
      <c r="K256" s="221"/>
      <c r="L256" s="221"/>
      <c r="M256" s="221"/>
      <c r="N256" s="221"/>
      <c r="O256" s="221"/>
      <c r="P256" s="221"/>
      <c r="Q256" s="221"/>
      <c r="R256" s="221"/>
      <c r="S256" s="221"/>
      <c r="T256" s="221"/>
      <c r="U256" s="221"/>
      <c r="V256" s="221"/>
      <c r="W256" s="221"/>
      <c r="X256" s="221"/>
      <c r="Y256" s="221"/>
      <c r="Z256" s="221"/>
    </row>
    <row r="257">
      <c r="A257" s="225" t="s">
        <v>711</v>
      </c>
      <c r="B257" s="226" t="s">
        <v>712</v>
      </c>
      <c r="C257" s="227" t="s">
        <v>332</v>
      </c>
      <c r="D257" s="227" t="s">
        <v>332</v>
      </c>
      <c r="E257" s="227">
        <v>0.0</v>
      </c>
      <c r="F257" s="227">
        <v>0.0</v>
      </c>
      <c r="G257" s="221"/>
      <c r="H257" s="221"/>
      <c r="I257" s="221"/>
      <c r="J257" s="221"/>
      <c r="K257" s="221"/>
      <c r="L257" s="221"/>
      <c r="M257" s="221"/>
      <c r="N257" s="221"/>
      <c r="O257" s="221"/>
      <c r="P257" s="221"/>
      <c r="Q257" s="221"/>
      <c r="R257" s="221"/>
      <c r="S257" s="221"/>
      <c r="T257" s="221"/>
      <c r="U257" s="221"/>
      <c r="V257" s="221"/>
      <c r="W257" s="221"/>
      <c r="X257" s="221"/>
      <c r="Y257" s="221"/>
      <c r="Z257" s="221"/>
    </row>
    <row r="258">
      <c r="A258" s="225" t="s">
        <v>713</v>
      </c>
      <c r="B258" s="226" t="s">
        <v>160</v>
      </c>
      <c r="C258" s="227" t="s">
        <v>332</v>
      </c>
      <c r="D258" s="227" t="s">
        <v>332</v>
      </c>
      <c r="E258" s="227">
        <v>0.0</v>
      </c>
      <c r="F258" s="227">
        <v>0.0</v>
      </c>
      <c r="G258" s="221"/>
      <c r="H258" s="221"/>
      <c r="I258" s="221"/>
      <c r="J258" s="221"/>
      <c r="K258" s="221"/>
      <c r="L258" s="221"/>
      <c r="M258" s="221"/>
      <c r="N258" s="221"/>
      <c r="O258" s="221"/>
      <c r="P258" s="221"/>
      <c r="Q258" s="221"/>
      <c r="R258" s="221"/>
      <c r="S258" s="221"/>
      <c r="T258" s="221"/>
      <c r="U258" s="221"/>
      <c r="V258" s="221"/>
      <c r="W258" s="221"/>
      <c r="X258" s="221"/>
      <c r="Y258" s="221"/>
      <c r="Z258" s="221"/>
    </row>
    <row r="259">
      <c r="A259" s="225" t="s">
        <v>714</v>
      </c>
      <c r="B259" s="226" t="s">
        <v>160</v>
      </c>
      <c r="C259" s="227">
        <v>0.0</v>
      </c>
      <c r="D259" s="227" t="s">
        <v>332</v>
      </c>
      <c r="E259" s="227">
        <v>0.0</v>
      </c>
      <c r="F259" s="227">
        <v>0.0</v>
      </c>
      <c r="G259" s="221"/>
      <c r="H259" s="221"/>
      <c r="I259" s="221"/>
      <c r="J259" s="221"/>
      <c r="K259" s="221"/>
      <c r="L259" s="221"/>
      <c r="M259" s="221"/>
      <c r="N259" s="221"/>
      <c r="O259" s="221"/>
      <c r="P259" s="221"/>
      <c r="Q259" s="221"/>
      <c r="R259" s="221"/>
      <c r="S259" s="221"/>
      <c r="T259" s="221"/>
      <c r="U259" s="221"/>
      <c r="V259" s="221"/>
      <c r="W259" s="221"/>
      <c r="X259" s="221"/>
      <c r="Y259" s="221"/>
      <c r="Z259" s="221"/>
    </row>
    <row r="260">
      <c r="A260" s="225" t="s">
        <v>715</v>
      </c>
      <c r="B260" s="226" t="s">
        <v>160</v>
      </c>
      <c r="C260" s="227" t="s">
        <v>332</v>
      </c>
      <c r="D260" s="227" t="s">
        <v>332</v>
      </c>
      <c r="E260" s="227">
        <v>0.0</v>
      </c>
      <c r="F260" s="227">
        <v>0.0</v>
      </c>
      <c r="G260" s="221"/>
      <c r="H260" s="221"/>
      <c r="I260" s="221"/>
      <c r="J260" s="221"/>
      <c r="K260" s="221"/>
      <c r="L260" s="221"/>
      <c r="M260" s="221"/>
      <c r="N260" s="221"/>
      <c r="O260" s="221"/>
      <c r="P260" s="221"/>
      <c r="Q260" s="221"/>
      <c r="R260" s="221"/>
      <c r="S260" s="221"/>
      <c r="T260" s="221"/>
      <c r="U260" s="221"/>
      <c r="V260" s="221"/>
      <c r="W260" s="221"/>
      <c r="X260" s="221"/>
      <c r="Y260" s="221"/>
      <c r="Z260" s="221"/>
    </row>
    <row r="261">
      <c r="A261" s="225" t="s">
        <v>716</v>
      </c>
      <c r="B261" s="226" t="s">
        <v>160</v>
      </c>
      <c r="C261" s="227">
        <v>0.0</v>
      </c>
      <c r="D261" s="227" t="s">
        <v>332</v>
      </c>
      <c r="E261" s="227">
        <v>0.0</v>
      </c>
      <c r="F261" s="227" t="s">
        <v>332</v>
      </c>
      <c r="G261" s="221"/>
      <c r="H261" s="221"/>
      <c r="I261" s="221"/>
      <c r="J261" s="221"/>
      <c r="K261" s="221"/>
      <c r="L261" s="221"/>
      <c r="M261" s="221"/>
      <c r="N261" s="221"/>
      <c r="O261" s="221"/>
      <c r="P261" s="221"/>
      <c r="Q261" s="221"/>
      <c r="R261" s="221"/>
      <c r="S261" s="221"/>
      <c r="T261" s="221"/>
      <c r="U261" s="221"/>
      <c r="V261" s="221"/>
      <c r="W261" s="221"/>
      <c r="X261" s="221"/>
      <c r="Y261" s="221"/>
      <c r="Z261" s="221"/>
    </row>
    <row r="262">
      <c r="A262" s="225" t="s">
        <v>717</v>
      </c>
      <c r="B262" s="226" t="s">
        <v>717</v>
      </c>
      <c r="C262" s="227" t="s">
        <v>332</v>
      </c>
      <c r="D262" s="227" t="s">
        <v>332</v>
      </c>
      <c r="E262" s="227">
        <v>0.0</v>
      </c>
      <c r="F262" s="227">
        <v>0.0</v>
      </c>
      <c r="G262" s="221"/>
      <c r="H262" s="221"/>
      <c r="I262" s="221"/>
      <c r="J262" s="221"/>
      <c r="K262" s="221"/>
      <c r="L262" s="221"/>
      <c r="M262" s="221"/>
      <c r="N262" s="221"/>
      <c r="O262" s="221"/>
      <c r="P262" s="221"/>
      <c r="Q262" s="221"/>
      <c r="R262" s="221"/>
      <c r="S262" s="221"/>
      <c r="T262" s="221"/>
      <c r="U262" s="221"/>
      <c r="V262" s="221"/>
      <c r="W262" s="221"/>
      <c r="X262" s="221"/>
      <c r="Y262" s="221"/>
      <c r="Z262" s="221"/>
    </row>
    <row r="263">
      <c r="A263" s="225" t="s">
        <v>718</v>
      </c>
      <c r="B263" s="226" t="s">
        <v>719</v>
      </c>
      <c r="C263" s="227">
        <v>0.0</v>
      </c>
      <c r="D263" s="227" t="s">
        <v>332</v>
      </c>
      <c r="E263" s="227">
        <v>0.0</v>
      </c>
      <c r="F263" s="227">
        <v>0.0</v>
      </c>
      <c r="G263" s="221"/>
      <c r="H263" s="221"/>
      <c r="I263" s="221"/>
      <c r="J263" s="221"/>
      <c r="K263" s="221"/>
      <c r="L263" s="221"/>
      <c r="M263" s="221"/>
      <c r="N263" s="221"/>
      <c r="O263" s="221"/>
      <c r="P263" s="221"/>
      <c r="Q263" s="221"/>
      <c r="R263" s="221"/>
      <c r="S263" s="221"/>
      <c r="T263" s="221"/>
      <c r="U263" s="221"/>
      <c r="V263" s="221"/>
      <c r="W263" s="221"/>
      <c r="X263" s="221"/>
      <c r="Y263" s="221"/>
      <c r="Z263" s="221"/>
    </row>
    <row r="264">
      <c r="A264" s="225" t="s">
        <v>720</v>
      </c>
      <c r="B264" s="226" t="s">
        <v>161</v>
      </c>
      <c r="C264" s="227">
        <v>0.0</v>
      </c>
      <c r="D264" s="227" t="s">
        <v>332</v>
      </c>
      <c r="E264" s="227">
        <v>0.0</v>
      </c>
      <c r="F264" s="227" t="s">
        <v>332</v>
      </c>
      <c r="G264" s="221"/>
      <c r="H264" s="221"/>
      <c r="I264" s="221"/>
      <c r="J264" s="221"/>
      <c r="K264" s="221"/>
      <c r="L264" s="221"/>
      <c r="M264" s="221"/>
      <c r="N264" s="221"/>
      <c r="O264" s="221"/>
      <c r="P264" s="221"/>
      <c r="Q264" s="221"/>
      <c r="R264" s="221"/>
      <c r="S264" s="221"/>
      <c r="T264" s="221"/>
      <c r="U264" s="221"/>
      <c r="V264" s="221"/>
      <c r="W264" s="221"/>
      <c r="X264" s="221"/>
      <c r="Y264" s="221"/>
      <c r="Z264" s="221"/>
    </row>
    <row r="265">
      <c r="A265" s="225" t="s">
        <v>721</v>
      </c>
      <c r="B265" s="226" t="s">
        <v>161</v>
      </c>
      <c r="C265" s="227">
        <v>0.0</v>
      </c>
      <c r="D265" s="227" t="s">
        <v>332</v>
      </c>
      <c r="E265" s="227">
        <v>0.0</v>
      </c>
      <c r="F265" s="227">
        <v>0.0</v>
      </c>
      <c r="G265" s="221"/>
      <c r="H265" s="221"/>
      <c r="I265" s="221"/>
      <c r="J265" s="221"/>
      <c r="K265" s="221"/>
      <c r="L265" s="221"/>
      <c r="M265" s="221"/>
      <c r="N265" s="221"/>
      <c r="O265" s="221"/>
      <c r="P265" s="221"/>
      <c r="Q265" s="221"/>
      <c r="R265" s="221"/>
      <c r="S265" s="221"/>
      <c r="T265" s="221"/>
      <c r="U265" s="221"/>
      <c r="V265" s="221"/>
      <c r="W265" s="221"/>
      <c r="X265" s="221"/>
      <c r="Y265" s="221"/>
      <c r="Z265" s="221"/>
    </row>
    <row r="266">
      <c r="A266" s="225" t="s">
        <v>722</v>
      </c>
      <c r="B266" s="226" t="s">
        <v>161</v>
      </c>
      <c r="C266" s="227" t="s">
        <v>332</v>
      </c>
      <c r="D266" s="227" t="s">
        <v>332</v>
      </c>
      <c r="E266" s="227">
        <v>0.0</v>
      </c>
      <c r="F266" s="227">
        <v>0.0</v>
      </c>
      <c r="G266" s="221"/>
      <c r="H266" s="221"/>
      <c r="I266" s="221"/>
      <c r="J266" s="221"/>
      <c r="K266" s="221"/>
      <c r="L266" s="221"/>
      <c r="M266" s="221"/>
      <c r="N266" s="221"/>
      <c r="O266" s="221"/>
      <c r="P266" s="221"/>
      <c r="Q266" s="221"/>
      <c r="R266" s="221"/>
      <c r="S266" s="221"/>
      <c r="T266" s="221"/>
      <c r="U266" s="221"/>
      <c r="V266" s="221"/>
      <c r="W266" s="221"/>
      <c r="X266" s="221"/>
      <c r="Y266" s="221"/>
      <c r="Z266" s="221"/>
    </row>
    <row r="267">
      <c r="A267" s="225" t="s">
        <v>723</v>
      </c>
      <c r="B267" s="226" t="s">
        <v>161</v>
      </c>
      <c r="C267" s="227">
        <v>0.0</v>
      </c>
      <c r="D267" s="227">
        <v>0.0</v>
      </c>
      <c r="E267" s="227">
        <v>0.0</v>
      </c>
      <c r="F267" s="227" t="s">
        <v>332</v>
      </c>
      <c r="G267" s="221"/>
      <c r="H267" s="221"/>
      <c r="I267" s="221"/>
      <c r="J267" s="221"/>
      <c r="K267" s="221"/>
      <c r="L267" s="221"/>
      <c r="M267" s="221"/>
      <c r="N267" s="221"/>
      <c r="O267" s="221"/>
      <c r="P267" s="221"/>
      <c r="Q267" s="221"/>
      <c r="R267" s="221"/>
      <c r="S267" s="221"/>
      <c r="T267" s="221"/>
      <c r="U267" s="221"/>
      <c r="V267" s="221"/>
      <c r="W267" s="221"/>
      <c r="X267" s="221"/>
      <c r="Y267" s="221"/>
      <c r="Z267" s="221"/>
    </row>
    <row r="268">
      <c r="A268" s="225" t="s">
        <v>724</v>
      </c>
      <c r="B268" s="226" t="s">
        <v>161</v>
      </c>
      <c r="C268" s="227" t="s">
        <v>332</v>
      </c>
      <c r="D268" s="227" t="s">
        <v>329</v>
      </c>
      <c r="E268" s="227">
        <v>0.0</v>
      </c>
      <c r="F268" s="227" t="s">
        <v>332</v>
      </c>
      <c r="G268" s="221"/>
      <c r="H268" s="221"/>
      <c r="I268" s="221"/>
      <c r="J268" s="221"/>
      <c r="K268" s="221"/>
      <c r="L268" s="221"/>
      <c r="M268" s="221"/>
      <c r="N268" s="221"/>
      <c r="O268" s="221"/>
      <c r="P268" s="221"/>
      <c r="Q268" s="221"/>
      <c r="R268" s="221"/>
      <c r="S268" s="221"/>
      <c r="T268" s="221"/>
      <c r="U268" s="221"/>
      <c r="V268" s="221"/>
      <c r="W268" s="221"/>
      <c r="X268" s="221"/>
      <c r="Y268" s="221"/>
      <c r="Z268" s="221"/>
    </row>
    <row r="269">
      <c r="A269" s="225" t="s">
        <v>725</v>
      </c>
      <c r="B269" s="226" t="s">
        <v>161</v>
      </c>
      <c r="C269" s="227">
        <v>0.0</v>
      </c>
      <c r="D269" s="227" t="s">
        <v>332</v>
      </c>
      <c r="E269" s="227">
        <v>0.0</v>
      </c>
      <c r="F269" s="227">
        <v>0.0</v>
      </c>
      <c r="G269" s="221"/>
      <c r="H269" s="221"/>
      <c r="I269" s="221"/>
      <c r="J269" s="221"/>
      <c r="K269" s="221"/>
      <c r="L269" s="221"/>
      <c r="M269" s="221"/>
      <c r="N269" s="221"/>
      <c r="O269" s="221"/>
      <c r="P269" s="221"/>
      <c r="Q269" s="221"/>
      <c r="R269" s="221"/>
      <c r="S269" s="221"/>
      <c r="T269" s="221"/>
      <c r="U269" s="221"/>
      <c r="V269" s="221"/>
      <c r="W269" s="221"/>
      <c r="X269" s="221"/>
      <c r="Y269" s="221"/>
      <c r="Z269" s="221"/>
    </row>
    <row r="270">
      <c r="A270" s="225" t="s">
        <v>726</v>
      </c>
      <c r="B270" s="226" t="s">
        <v>161</v>
      </c>
      <c r="C270" s="227">
        <v>0.0</v>
      </c>
      <c r="D270" s="227" t="s">
        <v>332</v>
      </c>
      <c r="E270" s="227">
        <v>0.0</v>
      </c>
      <c r="F270" s="227">
        <v>0.0</v>
      </c>
      <c r="G270" s="221"/>
      <c r="H270" s="221"/>
      <c r="I270" s="221"/>
      <c r="J270" s="221"/>
      <c r="K270" s="221"/>
      <c r="L270" s="221"/>
      <c r="M270" s="221"/>
      <c r="N270" s="221"/>
      <c r="O270" s="221"/>
      <c r="P270" s="221"/>
      <c r="Q270" s="221"/>
      <c r="R270" s="221"/>
      <c r="S270" s="221"/>
      <c r="T270" s="221"/>
      <c r="U270" s="221"/>
      <c r="V270" s="221"/>
      <c r="W270" s="221"/>
      <c r="X270" s="221"/>
      <c r="Y270" s="221"/>
      <c r="Z270" s="221"/>
    </row>
    <row r="271">
      <c r="A271" s="225" t="s">
        <v>727</v>
      </c>
      <c r="B271" s="226" t="s">
        <v>162</v>
      </c>
      <c r="C271" s="227">
        <v>0.0</v>
      </c>
      <c r="D271" s="227" t="s">
        <v>332</v>
      </c>
      <c r="E271" s="227" t="s">
        <v>332</v>
      </c>
      <c r="F271" s="227" t="s">
        <v>332</v>
      </c>
      <c r="G271" s="221"/>
      <c r="H271" s="221"/>
      <c r="I271" s="221"/>
      <c r="J271" s="221"/>
      <c r="K271" s="221"/>
      <c r="L271" s="221"/>
      <c r="M271" s="221"/>
      <c r="N271" s="221"/>
      <c r="O271" s="221"/>
      <c r="P271" s="221"/>
      <c r="Q271" s="221"/>
      <c r="R271" s="221"/>
      <c r="S271" s="221"/>
      <c r="T271" s="221"/>
      <c r="U271" s="221"/>
      <c r="V271" s="221"/>
      <c r="W271" s="221"/>
      <c r="X271" s="221"/>
      <c r="Y271" s="221"/>
      <c r="Z271" s="221"/>
    </row>
    <row r="272">
      <c r="A272" s="225" t="s">
        <v>728</v>
      </c>
      <c r="B272" s="226" t="s">
        <v>162</v>
      </c>
      <c r="C272" s="227" t="s">
        <v>332</v>
      </c>
      <c r="D272" s="227" t="s">
        <v>332</v>
      </c>
      <c r="E272" s="227">
        <v>0.0</v>
      </c>
      <c r="F272" s="227">
        <v>0.0</v>
      </c>
      <c r="G272" s="221"/>
      <c r="H272" s="221"/>
      <c r="I272" s="221"/>
      <c r="J272" s="221"/>
      <c r="K272" s="221"/>
      <c r="L272" s="221"/>
      <c r="M272" s="221"/>
      <c r="N272" s="221"/>
      <c r="O272" s="221"/>
      <c r="P272" s="221"/>
      <c r="Q272" s="221"/>
      <c r="R272" s="221"/>
      <c r="S272" s="221"/>
      <c r="T272" s="221"/>
      <c r="U272" s="221"/>
      <c r="V272" s="221"/>
      <c r="W272" s="221"/>
      <c r="X272" s="221"/>
      <c r="Y272" s="221"/>
      <c r="Z272" s="221"/>
    </row>
    <row r="273">
      <c r="A273" s="225" t="s">
        <v>729</v>
      </c>
      <c r="B273" s="226" t="s">
        <v>162</v>
      </c>
      <c r="C273" s="227" t="s">
        <v>332</v>
      </c>
      <c r="D273" s="227" t="s">
        <v>332</v>
      </c>
      <c r="E273" s="227">
        <v>0.0</v>
      </c>
      <c r="F273" s="227">
        <v>0.0</v>
      </c>
      <c r="G273" s="221"/>
      <c r="H273" s="221"/>
      <c r="I273" s="221"/>
      <c r="J273" s="221"/>
      <c r="K273" s="221"/>
      <c r="L273" s="221"/>
      <c r="M273" s="221"/>
      <c r="N273" s="221"/>
      <c r="O273" s="221"/>
      <c r="P273" s="221"/>
      <c r="Q273" s="221"/>
      <c r="R273" s="221"/>
      <c r="S273" s="221"/>
      <c r="T273" s="221"/>
      <c r="U273" s="221"/>
      <c r="V273" s="221"/>
      <c r="W273" s="221"/>
      <c r="X273" s="221"/>
      <c r="Y273" s="221"/>
      <c r="Z273" s="221"/>
    </row>
    <row r="274">
      <c r="A274" s="225" t="s">
        <v>730</v>
      </c>
      <c r="B274" s="226" t="s">
        <v>162</v>
      </c>
      <c r="C274" s="227">
        <v>0.0</v>
      </c>
      <c r="D274" s="227">
        <v>0.0</v>
      </c>
      <c r="E274" s="227" t="s">
        <v>332</v>
      </c>
      <c r="F274" s="227" t="s">
        <v>332</v>
      </c>
      <c r="G274" s="221"/>
      <c r="H274" s="221"/>
      <c r="I274" s="221"/>
      <c r="J274" s="221"/>
      <c r="K274" s="221"/>
      <c r="L274" s="221"/>
      <c r="M274" s="221"/>
      <c r="N274" s="221"/>
      <c r="O274" s="221"/>
      <c r="P274" s="221"/>
      <c r="Q274" s="221"/>
      <c r="R274" s="221"/>
      <c r="S274" s="221"/>
      <c r="T274" s="221"/>
      <c r="U274" s="221"/>
      <c r="V274" s="221"/>
      <c r="W274" s="221"/>
      <c r="X274" s="221"/>
      <c r="Y274" s="221"/>
      <c r="Z274" s="221"/>
    </row>
    <row r="275">
      <c r="A275" s="225" t="s">
        <v>731</v>
      </c>
      <c r="B275" s="226" t="s">
        <v>162</v>
      </c>
      <c r="C275" s="227" t="s">
        <v>332</v>
      </c>
      <c r="D275" s="227" t="s">
        <v>332</v>
      </c>
      <c r="E275" s="227">
        <v>0.0</v>
      </c>
      <c r="F275" s="227" t="s">
        <v>332</v>
      </c>
      <c r="G275" s="221"/>
      <c r="H275" s="221"/>
      <c r="I275" s="221"/>
      <c r="J275" s="221"/>
      <c r="K275" s="221"/>
      <c r="L275" s="221"/>
      <c r="M275" s="221"/>
      <c r="N275" s="221"/>
      <c r="O275" s="221"/>
      <c r="P275" s="221"/>
      <c r="Q275" s="221"/>
      <c r="R275" s="221"/>
      <c r="S275" s="221"/>
      <c r="T275" s="221"/>
      <c r="U275" s="221"/>
      <c r="V275" s="221"/>
      <c r="W275" s="221"/>
      <c r="X275" s="221"/>
      <c r="Y275" s="221"/>
      <c r="Z275" s="221"/>
    </row>
    <row r="276">
      <c r="A276" s="225" t="s">
        <v>732</v>
      </c>
      <c r="B276" s="226" t="s">
        <v>732</v>
      </c>
      <c r="C276" s="227">
        <v>0.0</v>
      </c>
      <c r="D276" s="227" t="s">
        <v>332</v>
      </c>
      <c r="E276" s="227">
        <v>0.0</v>
      </c>
      <c r="F276" s="227">
        <v>0.0</v>
      </c>
      <c r="G276" s="221"/>
      <c r="H276" s="221"/>
      <c r="I276" s="221"/>
      <c r="J276" s="221"/>
      <c r="K276" s="221"/>
      <c r="L276" s="221"/>
      <c r="M276" s="221"/>
      <c r="N276" s="221"/>
      <c r="O276" s="221"/>
      <c r="P276" s="221"/>
      <c r="Q276" s="221"/>
      <c r="R276" s="221"/>
      <c r="S276" s="221"/>
      <c r="T276" s="221"/>
      <c r="U276" s="221"/>
      <c r="V276" s="221"/>
      <c r="W276" s="221"/>
      <c r="X276" s="221"/>
      <c r="Y276" s="221"/>
      <c r="Z276" s="221"/>
    </row>
    <row r="277">
      <c r="A277" s="225" t="s">
        <v>733</v>
      </c>
      <c r="B277" s="226" t="s">
        <v>733</v>
      </c>
      <c r="C277" s="227">
        <v>0.0</v>
      </c>
      <c r="D277" s="227" t="s">
        <v>332</v>
      </c>
      <c r="E277" s="227">
        <v>0.0</v>
      </c>
      <c r="F277" s="227" t="s">
        <v>332</v>
      </c>
      <c r="G277" s="221"/>
      <c r="H277" s="221"/>
      <c r="I277" s="221"/>
      <c r="J277" s="221"/>
      <c r="K277" s="221"/>
      <c r="L277" s="221"/>
      <c r="M277" s="221"/>
      <c r="N277" s="221"/>
      <c r="O277" s="221"/>
      <c r="P277" s="221"/>
      <c r="Q277" s="221"/>
      <c r="R277" s="221"/>
      <c r="S277" s="221"/>
      <c r="T277" s="221"/>
      <c r="U277" s="221"/>
      <c r="V277" s="221"/>
      <c r="W277" s="221"/>
      <c r="X277" s="221"/>
      <c r="Y277" s="221"/>
      <c r="Z277" s="221"/>
    </row>
    <row r="278">
      <c r="A278" s="225" t="s">
        <v>734</v>
      </c>
      <c r="B278" s="226" t="s">
        <v>163</v>
      </c>
      <c r="C278" s="227">
        <v>0.0</v>
      </c>
      <c r="D278" s="227" t="s">
        <v>332</v>
      </c>
      <c r="E278" s="227">
        <v>0.0</v>
      </c>
      <c r="F278" s="227">
        <v>0.0</v>
      </c>
      <c r="G278" s="221"/>
      <c r="H278" s="221"/>
      <c r="I278" s="221"/>
      <c r="J278" s="221"/>
      <c r="K278" s="221"/>
      <c r="L278" s="221"/>
      <c r="M278" s="221"/>
      <c r="N278" s="221"/>
      <c r="O278" s="221"/>
      <c r="P278" s="221"/>
      <c r="Q278" s="221"/>
      <c r="R278" s="221"/>
      <c r="S278" s="221"/>
      <c r="T278" s="221"/>
      <c r="U278" s="221"/>
      <c r="V278" s="221"/>
      <c r="W278" s="221"/>
      <c r="X278" s="221"/>
      <c r="Y278" s="221"/>
      <c r="Z278" s="221"/>
    </row>
    <row r="279">
      <c r="A279" s="225" t="s">
        <v>735</v>
      </c>
      <c r="B279" s="226" t="s">
        <v>163</v>
      </c>
      <c r="C279" s="227">
        <v>0.0</v>
      </c>
      <c r="D279" s="227" t="s">
        <v>332</v>
      </c>
      <c r="E279" s="227">
        <v>0.0</v>
      </c>
      <c r="F279" s="227">
        <v>0.0</v>
      </c>
      <c r="G279" s="221"/>
      <c r="H279" s="221"/>
      <c r="I279" s="221"/>
      <c r="J279" s="221"/>
      <c r="K279" s="221"/>
      <c r="L279" s="221"/>
      <c r="M279" s="221"/>
      <c r="N279" s="221"/>
      <c r="O279" s="221"/>
      <c r="P279" s="221"/>
      <c r="Q279" s="221"/>
      <c r="R279" s="221"/>
      <c r="S279" s="221"/>
      <c r="T279" s="221"/>
      <c r="U279" s="221"/>
      <c r="V279" s="221"/>
      <c r="W279" s="221"/>
      <c r="X279" s="221"/>
      <c r="Y279" s="221"/>
      <c r="Z279" s="221"/>
    </row>
    <row r="280">
      <c r="A280" s="225" t="s">
        <v>736</v>
      </c>
      <c r="B280" s="226" t="s">
        <v>163</v>
      </c>
      <c r="C280" s="227">
        <v>0.0</v>
      </c>
      <c r="D280" s="227" t="s">
        <v>332</v>
      </c>
      <c r="E280" s="227">
        <v>0.0</v>
      </c>
      <c r="F280" s="227">
        <v>0.0</v>
      </c>
      <c r="G280" s="221"/>
      <c r="H280" s="221"/>
      <c r="I280" s="221"/>
      <c r="J280" s="221"/>
      <c r="K280" s="221"/>
      <c r="L280" s="221"/>
      <c r="M280" s="221"/>
      <c r="N280" s="221"/>
      <c r="O280" s="221"/>
      <c r="P280" s="221"/>
      <c r="Q280" s="221"/>
      <c r="R280" s="221"/>
      <c r="S280" s="221"/>
      <c r="T280" s="221"/>
      <c r="U280" s="221"/>
      <c r="V280" s="221"/>
      <c r="W280" s="221"/>
      <c r="X280" s="221"/>
      <c r="Y280" s="221"/>
      <c r="Z280" s="221"/>
    </row>
    <row r="281">
      <c r="A281" s="225" t="s">
        <v>737</v>
      </c>
      <c r="B281" s="226" t="s">
        <v>738</v>
      </c>
      <c r="C281" s="227">
        <v>0.0</v>
      </c>
      <c r="D281" s="227" t="s">
        <v>332</v>
      </c>
      <c r="E281" s="227">
        <v>0.0</v>
      </c>
      <c r="F281" s="227">
        <v>0.0</v>
      </c>
      <c r="G281" s="221"/>
      <c r="H281" s="221"/>
      <c r="I281" s="221"/>
      <c r="J281" s="221"/>
      <c r="K281" s="221"/>
      <c r="L281" s="221"/>
      <c r="M281" s="221"/>
      <c r="N281" s="221"/>
      <c r="O281" s="221"/>
      <c r="P281" s="221"/>
      <c r="Q281" s="221"/>
      <c r="R281" s="221"/>
      <c r="S281" s="221"/>
      <c r="T281" s="221"/>
      <c r="U281" s="221"/>
      <c r="V281" s="221"/>
      <c r="W281" s="221"/>
      <c r="X281" s="221"/>
      <c r="Y281" s="221"/>
      <c r="Z281" s="221"/>
    </row>
    <row r="282">
      <c r="A282" s="225" t="s">
        <v>739</v>
      </c>
      <c r="B282" s="226" t="s">
        <v>740</v>
      </c>
      <c r="C282" s="227">
        <v>0.0</v>
      </c>
      <c r="D282" s="227" t="s">
        <v>332</v>
      </c>
      <c r="E282" s="227">
        <v>0.0</v>
      </c>
      <c r="F282" s="227" t="s">
        <v>332</v>
      </c>
      <c r="G282" s="221"/>
      <c r="H282" s="221"/>
      <c r="I282" s="221"/>
      <c r="J282" s="221"/>
      <c r="K282" s="221"/>
      <c r="L282" s="221"/>
      <c r="M282" s="221"/>
      <c r="N282" s="221"/>
      <c r="O282" s="221"/>
      <c r="P282" s="221"/>
      <c r="Q282" s="221"/>
      <c r="R282" s="221"/>
      <c r="S282" s="221"/>
      <c r="T282" s="221"/>
      <c r="U282" s="221"/>
      <c r="V282" s="221"/>
      <c r="W282" s="221"/>
      <c r="X282" s="221"/>
      <c r="Y282" s="221"/>
      <c r="Z282" s="221"/>
    </row>
    <row r="283">
      <c r="A283" s="225" t="s">
        <v>741</v>
      </c>
      <c r="B283" s="226" t="s">
        <v>165</v>
      </c>
      <c r="C283" s="227">
        <v>0.0</v>
      </c>
      <c r="D283" s="227" t="s">
        <v>332</v>
      </c>
      <c r="E283" s="227">
        <v>0.0</v>
      </c>
      <c r="F283" s="227">
        <v>0.0</v>
      </c>
      <c r="G283" s="221"/>
      <c r="H283" s="221"/>
      <c r="I283" s="221"/>
      <c r="J283" s="221"/>
      <c r="K283" s="221"/>
      <c r="L283" s="221"/>
      <c r="M283" s="221"/>
      <c r="N283" s="221"/>
      <c r="O283" s="221"/>
      <c r="P283" s="221"/>
      <c r="Q283" s="221"/>
      <c r="R283" s="221"/>
      <c r="S283" s="221"/>
      <c r="T283" s="221"/>
      <c r="U283" s="221"/>
      <c r="V283" s="221"/>
      <c r="W283" s="221"/>
      <c r="X283" s="221"/>
      <c r="Y283" s="221"/>
      <c r="Z283" s="221"/>
    </row>
    <row r="284">
      <c r="A284" s="225" t="s">
        <v>742</v>
      </c>
      <c r="B284" s="226" t="s">
        <v>165</v>
      </c>
      <c r="C284" s="227">
        <v>0.0</v>
      </c>
      <c r="D284" s="227" t="s">
        <v>332</v>
      </c>
      <c r="E284" s="227" t="s">
        <v>332</v>
      </c>
      <c r="F284" s="227" t="s">
        <v>332</v>
      </c>
      <c r="G284" s="221"/>
      <c r="H284" s="221"/>
      <c r="I284" s="221"/>
      <c r="J284" s="221"/>
      <c r="K284" s="221"/>
      <c r="L284" s="221"/>
      <c r="M284" s="221"/>
      <c r="N284" s="221"/>
      <c r="O284" s="221"/>
      <c r="P284" s="221"/>
      <c r="Q284" s="221"/>
      <c r="R284" s="221"/>
      <c r="S284" s="221"/>
      <c r="T284" s="221"/>
      <c r="U284" s="221"/>
      <c r="V284" s="221"/>
      <c r="W284" s="221"/>
      <c r="X284" s="221"/>
      <c r="Y284" s="221"/>
      <c r="Z284" s="221"/>
    </row>
    <row r="285">
      <c r="A285" s="225" t="s">
        <v>743</v>
      </c>
      <c r="B285" s="226" t="s">
        <v>165</v>
      </c>
      <c r="C285" s="227">
        <v>0.0</v>
      </c>
      <c r="D285" s="227">
        <v>0.0</v>
      </c>
      <c r="E285" s="227">
        <v>0.0</v>
      </c>
      <c r="F285" s="227" t="s">
        <v>332</v>
      </c>
      <c r="G285" s="221"/>
      <c r="H285" s="221"/>
      <c r="I285" s="221"/>
      <c r="J285" s="221"/>
      <c r="K285" s="221"/>
      <c r="L285" s="221"/>
      <c r="M285" s="221"/>
      <c r="N285" s="221"/>
      <c r="O285" s="221"/>
      <c r="P285" s="221"/>
      <c r="Q285" s="221"/>
      <c r="R285" s="221"/>
      <c r="S285" s="221"/>
      <c r="T285" s="221"/>
      <c r="U285" s="221"/>
      <c r="V285" s="221"/>
      <c r="W285" s="221"/>
      <c r="X285" s="221"/>
      <c r="Y285" s="221"/>
      <c r="Z285" s="221"/>
    </row>
    <row r="286">
      <c r="A286" s="225" t="s">
        <v>744</v>
      </c>
      <c r="B286" s="226" t="s">
        <v>165</v>
      </c>
      <c r="C286" s="227">
        <v>0.0</v>
      </c>
      <c r="D286" s="227" t="s">
        <v>332</v>
      </c>
      <c r="E286" s="227" t="s">
        <v>332</v>
      </c>
      <c r="F286" s="227" t="s">
        <v>332</v>
      </c>
      <c r="G286" s="221"/>
      <c r="H286" s="221"/>
      <c r="I286" s="221"/>
      <c r="J286" s="221"/>
      <c r="K286" s="221"/>
      <c r="L286" s="221"/>
      <c r="M286" s="221"/>
      <c r="N286" s="221"/>
      <c r="O286" s="221"/>
      <c r="P286" s="221"/>
      <c r="Q286" s="221"/>
      <c r="R286" s="221"/>
      <c r="S286" s="221"/>
      <c r="T286" s="221"/>
      <c r="U286" s="221"/>
      <c r="V286" s="221"/>
      <c r="W286" s="221"/>
      <c r="X286" s="221"/>
      <c r="Y286" s="221"/>
      <c r="Z286" s="221"/>
    </row>
    <row r="287">
      <c r="A287" s="225" t="s">
        <v>745</v>
      </c>
      <c r="B287" s="226" t="s">
        <v>165</v>
      </c>
      <c r="C287" s="227">
        <v>0.0</v>
      </c>
      <c r="D287" s="227">
        <v>0.0</v>
      </c>
      <c r="E287" s="227" t="s">
        <v>332</v>
      </c>
      <c r="F287" s="227" t="s">
        <v>332</v>
      </c>
      <c r="G287" s="221"/>
      <c r="H287" s="221"/>
      <c r="I287" s="221"/>
      <c r="J287" s="221"/>
      <c r="K287" s="221"/>
      <c r="L287" s="221"/>
      <c r="M287" s="221"/>
      <c r="N287" s="221"/>
      <c r="O287" s="221"/>
      <c r="P287" s="221"/>
      <c r="Q287" s="221"/>
      <c r="R287" s="221"/>
      <c r="S287" s="221"/>
      <c r="T287" s="221"/>
      <c r="U287" s="221"/>
      <c r="V287" s="221"/>
      <c r="W287" s="221"/>
      <c r="X287" s="221"/>
      <c r="Y287" s="221"/>
      <c r="Z287" s="221"/>
    </row>
    <row r="288">
      <c r="A288" s="225" t="s">
        <v>746</v>
      </c>
      <c r="B288" s="226" t="s">
        <v>165</v>
      </c>
      <c r="C288" s="227">
        <v>0.0</v>
      </c>
      <c r="D288" s="227">
        <v>0.0</v>
      </c>
      <c r="E288" s="227" t="s">
        <v>332</v>
      </c>
      <c r="F288" s="227" t="s">
        <v>332</v>
      </c>
      <c r="G288" s="221"/>
      <c r="H288" s="221"/>
      <c r="I288" s="221"/>
      <c r="J288" s="221"/>
      <c r="K288" s="221"/>
      <c r="L288" s="221"/>
      <c r="M288" s="221"/>
      <c r="N288" s="221"/>
      <c r="O288" s="221"/>
      <c r="P288" s="221"/>
      <c r="Q288" s="221"/>
      <c r="R288" s="221"/>
      <c r="S288" s="221"/>
      <c r="T288" s="221"/>
      <c r="U288" s="221"/>
      <c r="V288" s="221"/>
      <c r="W288" s="221"/>
      <c r="X288" s="221"/>
      <c r="Y288" s="221"/>
      <c r="Z288" s="221"/>
    </row>
    <row r="289">
      <c r="A289" s="225" t="s">
        <v>747</v>
      </c>
      <c r="B289" s="226" t="s">
        <v>165</v>
      </c>
      <c r="C289" s="227" t="s">
        <v>332</v>
      </c>
      <c r="D289" s="227" t="s">
        <v>332</v>
      </c>
      <c r="E289" s="227">
        <v>0.0</v>
      </c>
      <c r="F289" s="227">
        <v>0.0</v>
      </c>
      <c r="G289" s="221"/>
      <c r="H289" s="221"/>
      <c r="I289" s="221"/>
      <c r="J289" s="221"/>
      <c r="K289" s="221"/>
      <c r="L289" s="221"/>
      <c r="M289" s="221"/>
      <c r="N289" s="221"/>
      <c r="O289" s="221"/>
      <c r="P289" s="221"/>
      <c r="Q289" s="221"/>
      <c r="R289" s="221"/>
      <c r="S289" s="221"/>
      <c r="T289" s="221"/>
      <c r="U289" s="221"/>
      <c r="V289" s="221"/>
      <c r="W289" s="221"/>
      <c r="X289" s="221"/>
      <c r="Y289" s="221"/>
      <c r="Z289" s="221"/>
    </row>
    <row r="290">
      <c r="A290" s="225" t="s">
        <v>748</v>
      </c>
      <c r="B290" s="226" t="s">
        <v>165</v>
      </c>
      <c r="C290" s="227">
        <v>0.0</v>
      </c>
      <c r="D290" s="227" t="s">
        <v>332</v>
      </c>
      <c r="E290" s="227" t="s">
        <v>332</v>
      </c>
      <c r="F290" s="227" t="s">
        <v>332</v>
      </c>
      <c r="G290" s="221"/>
      <c r="H290" s="221"/>
      <c r="I290" s="221"/>
      <c r="J290" s="221"/>
      <c r="K290" s="221"/>
      <c r="L290" s="221"/>
      <c r="M290" s="221"/>
      <c r="N290" s="221"/>
      <c r="O290" s="221"/>
      <c r="P290" s="221"/>
      <c r="Q290" s="221"/>
      <c r="R290" s="221"/>
      <c r="S290" s="221"/>
      <c r="T290" s="221"/>
      <c r="U290" s="221"/>
      <c r="V290" s="221"/>
      <c r="W290" s="221"/>
      <c r="X290" s="221"/>
      <c r="Y290" s="221"/>
      <c r="Z290" s="221"/>
    </row>
    <row r="291">
      <c r="A291" s="225" t="s">
        <v>749</v>
      </c>
      <c r="B291" s="226" t="s">
        <v>165</v>
      </c>
      <c r="C291" s="227">
        <v>0.0</v>
      </c>
      <c r="D291" s="227" t="s">
        <v>332</v>
      </c>
      <c r="E291" s="227">
        <v>0.0</v>
      </c>
      <c r="F291" s="227" t="s">
        <v>319</v>
      </c>
      <c r="G291" s="221"/>
      <c r="H291" s="221"/>
      <c r="I291" s="221"/>
      <c r="J291" s="221"/>
      <c r="K291" s="221"/>
      <c r="L291" s="221"/>
      <c r="M291" s="221"/>
      <c r="N291" s="221"/>
      <c r="O291" s="221"/>
      <c r="P291" s="221"/>
      <c r="Q291" s="221"/>
      <c r="R291" s="221"/>
      <c r="S291" s="221"/>
      <c r="T291" s="221"/>
      <c r="U291" s="221"/>
      <c r="V291" s="221"/>
      <c r="W291" s="221"/>
      <c r="X291" s="221"/>
      <c r="Y291" s="221"/>
      <c r="Z291" s="221"/>
    </row>
    <row r="292">
      <c r="A292" s="225" t="s">
        <v>750</v>
      </c>
      <c r="B292" s="226" t="s">
        <v>750</v>
      </c>
      <c r="C292" s="227">
        <v>0.0</v>
      </c>
      <c r="D292" s="227">
        <v>0.0</v>
      </c>
      <c r="E292" s="227">
        <v>0.0</v>
      </c>
      <c r="F292" s="227" t="s">
        <v>332</v>
      </c>
      <c r="G292" s="221"/>
      <c r="H292" s="221"/>
      <c r="I292" s="221"/>
      <c r="J292" s="221"/>
      <c r="K292" s="221"/>
      <c r="L292" s="221"/>
      <c r="M292" s="221"/>
      <c r="N292" s="221"/>
      <c r="O292" s="221"/>
      <c r="P292" s="221"/>
      <c r="Q292" s="221"/>
      <c r="R292" s="221"/>
      <c r="S292" s="221"/>
      <c r="T292" s="221"/>
      <c r="U292" s="221"/>
      <c r="V292" s="221"/>
      <c r="W292" s="221"/>
      <c r="X292" s="221"/>
      <c r="Y292" s="221"/>
      <c r="Z292" s="221"/>
    </row>
    <row r="293">
      <c r="A293" s="225" t="s">
        <v>751</v>
      </c>
      <c r="B293" s="226" t="s">
        <v>167</v>
      </c>
      <c r="C293" s="227">
        <v>0.0</v>
      </c>
      <c r="D293" s="227" t="s">
        <v>332</v>
      </c>
      <c r="E293" s="227">
        <v>0.0</v>
      </c>
      <c r="F293" s="227" t="s">
        <v>332</v>
      </c>
      <c r="G293" s="221"/>
      <c r="H293" s="221"/>
      <c r="I293" s="221"/>
      <c r="J293" s="221"/>
      <c r="K293" s="221"/>
      <c r="L293" s="221"/>
      <c r="M293" s="221"/>
      <c r="N293" s="221"/>
      <c r="O293" s="221"/>
      <c r="P293" s="221"/>
      <c r="Q293" s="221"/>
      <c r="R293" s="221"/>
      <c r="S293" s="221"/>
      <c r="T293" s="221"/>
      <c r="U293" s="221"/>
      <c r="V293" s="221"/>
      <c r="W293" s="221"/>
      <c r="X293" s="221"/>
      <c r="Y293" s="221"/>
      <c r="Z293" s="221"/>
    </row>
    <row r="294">
      <c r="A294" s="225" t="s">
        <v>752</v>
      </c>
      <c r="B294" s="226" t="s">
        <v>167</v>
      </c>
      <c r="C294" s="227">
        <v>0.0</v>
      </c>
      <c r="D294" s="227">
        <v>0.0</v>
      </c>
      <c r="E294" s="227">
        <v>0.0</v>
      </c>
      <c r="F294" s="227" t="s">
        <v>332</v>
      </c>
      <c r="G294" s="221"/>
      <c r="H294" s="221"/>
      <c r="I294" s="221"/>
      <c r="J294" s="221"/>
      <c r="K294" s="221"/>
      <c r="L294" s="221"/>
      <c r="M294" s="221"/>
      <c r="N294" s="221"/>
      <c r="O294" s="221"/>
      <c r="P294" s="221"/>
      <c r="Q294" s="221"/>
      <c r="R294" s="221"/>
      <c r="S294" s="221"/>
      <c r="T294" s="221"/>
      <c r="U294" s="221"/>
      <c r="V294" s="221"/>
      <c r="W294" s="221"/>
      <c r="X294" s="221"/>
      <c r="Y294" s="221"/>
      <c r="Z294" s="221"/>
    </row>
    <row r="295">
      <c r="A295" s="225" t="s">
        <v>753</v>
      </c>
      <c r="B295" s="226" t="s">
        <v>167</v>
      </c>
      <c r="C295" s="227" t="s">
        <v>332</v>
      </c>
      <c r="D295" s="227" t="s">
        <v>332</v>
      </c>
      <c r="E295" s="227">
        <v>0.0</v>
      </c>
      <c r="F295" s="227" t="s">
        <v>332</v>
      </c>
      <c r="G295" s="221"/>
      <c r="H295" s="221"/>
      <c r="I295" s="221"/>
      <c r="J295" s="221"/>
      <c r="K295" s="221"/>
      <c r="L295" s="221"/>
      <c r="M295" s="221"/>
      <c r="N295" s="221"/>
      <c r="O295" s="221"/>
      <c r="P295" s="221"/>
      <c r="Q295" s="221"/>
      <c r="R295" s="221"/>
      <c r="S295" s="221"/>
      <c r="T295" s="221"/>
      <c r="U295" s="221"/>
      <c r="V295" s="221"/>
      <c r="W295" s="221"/>
      <c r="X295" s="221"/>
      <c r="Y295" s="221"/>
      <c r="Z295" s="221"/>
    </row>
    <row r="296">
      <c r="A296" s="225" t="s">
        <v>754</v>
      </c>
      <c r="B296" s="226" t="s">
        <v>168</v>
      </c>
      <c r="C296" s="227">
        <v>0.0</v>
      </c>
      <c r="D296" s="227">
        <v>0.0</v>
      </c>
      <c r="E296" s="227">
        <v>0.0</v>
      </c>
      <c r="F296" s="227" t="s">
        <v>332</v>
      </c>
      <c r="G296" s="221"/>
      <c r="H296" s="221"/>
      <c r="I296" s="221"/>
      <c r="J296" s="221"/>
      <c r="K296" s="221"/>
      <c r="L296" s="221"/>
      <c r="M296" s="221"/>
      <c r="N296" s="221"/>
      <c r="O296" s="221"/>
      <c r="P296" s="221"/>
      <c r="Q296" s="221"/>
      <c r="R296" s="221"/>
      <c r="S296" s="221"/>
      <c r="T296" s="221"/>
      <c r="U296" s="221"/>
      <c r="V296" s="221"/>
      <c r="W296" s="221"/>
      <c r="X296" s="221"/>
      <c r="Y296" s="221"/>
      <c r="Z296" s="221"/>
    </row>
    <row r="297">
      <c r="A297" s="225" t="s">
        <v>755</v>
      </c>
      <c r="B297" s="226" t="s">
        <v>168</v>
      </c>
      <c r="C297" s="227">
        <v>0.0</v>
      </c>
      <c r="D297" s="227" t="s">
        <v>332</v>
      </c>
      <c r="E297" s="227">
        <v>0.0</v>
      </c>
      <c r="F297" s="227">
        <v>0.0</v>
      </c>
      <c r="G297" s="221"/>
      <c r="H297" s="221"/>
      <c r="I297" s="221"/>
      <c r="J297" s="221"/>
      <c r="K297" s="221"/>
      <c r="L297" s="221"/>
      <c r="M297" s="221"/>
      <c r="N297" s="221"/>
      <c r="O297" s="221"/>
      <c r="P297" s="221"/>
      <c r="Q297" s="221"/>
      <c r="R297" s="221"/>
      <c r="S297" s="221"/>
      <c r="T297" s="221"/>
      <c r="U297" s="221"/>
      <c r="V297" s="221"/>
      <c r="W297" s="221"/>
      <c r="X297" s="221"/>
      <c r="Y297" s="221"/>
      <c r="Z297" s="221"/>
    </row>
    <row r="298">
      <c r="A298" s="225" t="s">
        <v>756</v>
      </c>
      <c r="B298" s="226" t="s">
        <v>168</v>
      </c>
      <c r="C298" s="227">
        <v>0.0</v>
      </c>
      <c r="D298" s="227" t="s">
        <v>332</v>
      </c>
      <c r="E298" s="227" t="s">
        <v>332</v>
      </c>
      <c r="F298" s="227" t="s">
        <v>332</v>
      </c>
      <c r="G298" s="221"/>
      <c r="H298" s="221"/>
      <c r="I298" s="221"/>
      <c r="J298" s="221"/>
      <c r="K298" s="221"/>
      <c r="L298" s="221"/>
      <c r="M298" s="221"/>
      <c r="N298" s="221"/>
      <c r="O298" s="221"/>
      <c r="P298" s="221"/>
      <c r="Q298" s="221"/>
      <c r="R298" s="221"/>
      <c r="S298" s="221"/>
      <c r="T298" s="221"/>
      <c r="U298" s="221"/>
      <c r="V298" s="221"/>
      <c r="W298" s="221"/>
      <c r="X298" s="221"/>
      <c r="Y298" s="221"/>
      <c r="Z298" s="221"/>
    </row>
    <row r="299">
      <c r="A299" s="225" t="s">
        <v>757</v>
      </c>
      <c r="B299" s="226" t="s">
        <v>168</v>
      </c>
      <c r="C299" s="227">
        <v>0.0</v>
      </c>
      <c r="D299" s="227" t="s">
        <v>332</v>
      </c>
      <c r="E299" s="227" t="s">
        <v>332</v>
      </c>
      <c r="F299" s="227" t="s">
        <v>332</v>
      </c>
      <c r="G299" s="221"/>
      <c r="H299" s="221"/>
      <c r="I299" s="221"/>
      <c r="J299" s="221"/>
      <c r="K299" s="221"/>
      <c r="L299" s="221"/>
      <c r="M299" s="221"/>
      <c r="N299" s="221"/>
      <c r="O299" s="221"/>
      <c r="P299" s="221"/>
      <c r="Q299" s="221"/>
      <c r="R299" s="221"/>
      <c r="S299" s="221"/>
      <c r="T299" s="221"/>
      <c r="U299" s="221"/>
      <c r="V299" s="221"/>
      <c r="W299" s="221"/>
      <c r="X299" s="221"/>
      <c r="Y299" s="221"/>
      <c r="Z299" s="221"/>
    </row>
    <row r="300">
      <c r="A300" s="225" t="s">
        <v>758</v>
      </c>
      <c r="B300" s="226" t="s">
        <v>169</v>
      </c>
      <c r="C300" s="227">
        <v>0.0</v>
      </c>
      <c r="D300" s="227" t="s">
        <v>332</v>
      </c>
      <c r="E300" s="227" t="s">
        <v>332</v>
      </c>
      <c r="F300" s="227" t="s">
        <v>332</v>
      </c>
      <c r="G300" s="221"/>
      <c r="H300" s="221"/>
      <c r="I300" s="221"/>
      <c r="J300" s="221"/>
      <c r="K300" s="221"/>
      <c r="L300" s="221"/>
      <c r="M300" s="221"/>
      <c r="N300" s="221"/>
      <c r="O300" s="221"/>
      <c r="P300" s="221"/>
      <c r="Q300" s="221"/>
      <c r="R300" s="221"/>
      <c r="S300" s="221"/>
      <c r="T300" s="221"/>
      <c r="U300" s="221"/>
      <c r="V300" s="221"/>
      <c r="W300" s="221"/>
      <c r="X300" s="221"/>
      <c r="Y300" s="221"/>
      <c r="Z300" s="221"/>
    </row>
    <row r="301">
      <c r="A301" s="225" t="s">
        <v>759</v>
      </c>
      <c r="B301" s="226" t="s">
        <v>169</v>
      </c>
      <c r="C301" s="227">
        <v>0.0</v>
      </c>
      <c r="D301" s="227" t="s">
        <v>332</v>
      </c>
      <c r="E301" s="227" t="s">
        <v>332</v>
      </c>
      <c r="F301" s="227" t="s">
        <v>332</v>
      </c>
      <c r="G301" s="221"/>
      <c r="H301" s="221"/>
      <c r="I301" s="221"/>
      <c r="J301" s="221"/>
      <c r="K301" s="221"/>
      <c r="L301" s="221"/>
      <c r="M301" s="221"/>
      <c r="N301" s="221"/>
      <c r="O301" s="221"/>
      <c r="P301" s="221"/>
      <c r="Q301" s="221"/>
      <c r="R301" s="221"/>
      <c r="S301" s="221"/>
      <c r="T301" s="221"/>
      <c r="U301" s="221"/>
      <c r="V301" s="221"/>
      <c r="W301" s="221"/>
      <c r="X301" s="221"/>
      <c r="Y301" s="221"/>
      <c r="Z301" s="221"/>
    </row>
    <row r="302">
      <c r="A302" s="225" t="s">
        <v>760</v>
      </c>
      <c r="B302" s="226" t="s">
        <v>169</v>
      </c>
      <c r="C302" s="227">
        <v>0.0</v>
      </c>
      <c r="D302" s="227" t="s">
        <v>332</v>
      </c>
      <c r="E302" s="227" t="s">
        <v>332</v>
      </c>
      <c r="F302" s="227" t="s">
        <v>332</v>
      </c>
      <c r="G302" s="221"/>
      <c r="H302" s="221"/>
      <c r="I302" s="221"/>
      <c r="J302" s="221"/>
      <c r="K302" s="221"/>
      <c r="L302" s="221"/>
      <c r="M302" s="221"/>
      <c r="N302" s="221"/>
      <c r="O302" s="221"/>
      <c r="P302" s="221"/>
      <c r="Q302" s="221"/>
      <c r="R302" s="221"/>
      <c r="S302" s="221"/>
      <c r="T302" s="221"/>
      <c r="U302" s="221"/>
      <c r="V302" s="221"/>
      <c r="W302" s="221"/>
      <c r="X302" s="221"/>
      <c r="Y302" s="221"/>
      <c r="Z302" s="221"/>
    </row>
    <row r="303">
      <c r="A303" s="225" t="s">
        <v>761</v>
      </c>
      <c r="B303" s="226" t="s">
        <v>169</v>
      </c>
      <c r="C303" s="227" t="s">
        <v>332</v>
      </c>
      <c r="D303" s="227" t="s">
        <v>332</v>
      </c>
      <c r="E303" s="227" t="s">
        <v>332</v>
      </c>
      <c r="F303" s="227" t="s">
        <v>332</v>
      </c>
      <c r="G303" s="221"/>
      <c r="H303" s="221"/>
      <c r="I303" s="221"/>
      <c r="J303" s="221"/>
      <c r="K303" s="221"/>
      <c r="L303" s="221"/>
      <c r="M303" s="221"/>
      <c r="N303" s="221"/>
      <c r="O303" s="221"/>
      <c r="P303" s="221"/>
      <c r="Q303" s="221"/>
      <c r="R303" s="221"/>
      <c r="S303" s="221"/>
      <c r="T303" s="221"/>
      <c r="U303" s="221"/>
      <c r="V303" s="221"/>
      <c r="W303" s="221"/>
      <c r="X303" s="221"/>
      <c r="Y303" s="221"/>
      <c r="Z303" s="221"/>
    </row>
    <row r="304">
      <c r="A304" s="225" t="s">
        <v>762</v>
      </c>
      <c r="B304" s="226" t="s">
        <v>169</v>
      </c>
      <c r="C304" s="227">
        <v>0.0</v>
      </c>
      <c r="D304" s="227" t="s">
        <v>332</v>
      </c>
      <c r="E304" s="227" t="s">
        <v>332</v>
      </c>
      <c r="F304" s="227" t="s">
        <v>332</v>
      </c>
      <c r="G304" s="221"/>
      <c r="H304" s="221"/>
      <c r="I304" s="221"/>
      <c r="J304" s="221"/>
      <c r="K304" s="221"/>
      <c r="L304" s="221"/>
      <c r="M304" s="221"/>
      <c r="N304" s="221"/>
      <c r="O304" s="221"/>
      <c r="P304" s="221"/>
      <c r="Q304" s="221"/>
      <c r="R304" s="221"/>
      <c r="S304" s="221"/>
      <c r="T304" s="221"/>
      <c r="U304" s="221"/>
      <c r="V304" s="221"/>
      <c r="W304" s="221"/>
      <c r="X304" s="221"/>
      <c r="Y304" s="221"/>
      <c r="Z304" s="221"/>
    </row>
    <row r="305">
      <c r="A305" s="225" t="s">
        <v>763</v>
      </c>
      <c r="B305" s="226" t="s">
        <v>169</v>
      </c>
      <c r="C305" s="227">
        <v>0.0</v>
      </c>
      <c r="D305" s="227">
        <v>0.0</v>
      </c>
      <c r="E305" s="227">
        <v>0.0</v>
      </c>
      <c r="F305" s="227" t="s">
        <v>332</v>
      </c>
      <c r="G305" s="221"/>
      <c r="H305" s="221"/>
      <c r="I305" s="221"/>
      <c r="J305" s="221"/>
      <c r="K305" s="221"/>
      <c r="L305" s="221"/>
      <c r="M305" s="221"/>
      <c r="N305" s="221"/>
      <c r="O305" s="221"/>
      <c r="P305" s="221"/>
      <c r="Q305" s="221"/>
      <c r="R305" s="221"/>
      <c r="S305" s="221"/>
      <c r="T305" s="221"/>
      <c r="U305" s="221"/>
      <c r="V305" s="221"/>
      <c r="W305" s="221"/>
      <c r="X305" s="221"/>
      <c r="Y305" s="221"/>
      <c r="Z305" s="221"/>
    </row>
    <row r="306">
      <c r="A306" s="225" t="s">
        <v>764</v>
      </c>
      <c r="B306" s="226" t="s">
        <v>169</v>
      </c>
      <c r="C306" s="227">
        <v>0.0</v>
      </c>
      <c r="D306" s="227">
        <v>0.0</v>
      </c>
      <c r="E306" s="227">
        <v>0.0</v>
      </c>
      <c r="F306" s="227" t="s">
        <v>332</v>
      </c>
      <c r="G306" s="221"/>
      <c r="H306" s="221"/>
      <c r="I306" s="221"/>
      <c r="J306" s="221"/>
      <c r="K306" s="221"/>
      <c r="L306" s="221"/>
      <c r="M306" s="221"/>
      <c r="N306" s="221"/>
      <c r="O306" s="221"/>
      <c r="P306" s="221"/>
      <c r="Q306" s="221"/>
      <c r="R306" s="221"/>
      <c r="S306" s="221"/>
      <c r="T306" s="221"/>
      <c r="U306" s="221"/>
      <c r="V306" s="221"/>
      <c r="W306" s="221"/>
      <c r="X306" s="221"/>
      <c r="Y306" s="221"/>
      <c r="Z306" s="221"/>
    </row>
    <row r="307">
      <c r="A307" s="225" t="s">
        <v>765</v>
      </c>
      <c r="B307" s="226" t="s">
        <v>169</v>
      </c>
      <c r="C307" s="227">
        <v>0.0</v>
      </c>
      <c r="D307" s="227" t="s">
        <v>332</v>
      </c>
      <c r="E307" s="227" t="s">
        <v>332</v>
      </c>
      <c r="F307" s="227" t="s">
        <v>329</v>
      </c>
      <c r="G307" s="221"/>
      <c r="H307" s="221"/>
      <c r="I307" s="221"/>
      <c r="J307" s="221"/>
      <c r="K307" s="221"/>
      <c r="L307" s="221"/>
      <c r="M307" s="221"/>
      <c r="N307" s="221"/>
      <c r="O307" s="221"/>
      <c r="P307" s="221"/>
      <c r="Q307" s="221"/>
      <c r="R307" s="221"/>
      <c r="S307" s="221"/>
      <c r="T307" s="221"/>
      <c r="U307" s="221"/>
      <c r="V307" s="221"/>
      <c r="W307" s="221"/>
      <c r="X307" s="221"/>
      <c r="Y307" s="221"/>
      <c r="Z307" s="221"/>
    </row>
    <row r="308">
      <c r="A308" s="225" t="s">
        <v>766</v>
      </c>
      <c r="B308" s="226" t="s">
        <v>169</v>
      </c>
      <c r="C308" s="227">
        <v>0.0</v>
      </c>
      <c r="D308" s="227">
        <v>0.0</v>
      </c>
      <c r="E308" s="227" t="s">
        <v>332</v>
      </c>
      <c r="F308" s="227" t="s">
        <v>332</v>
      </c>
      <c r="G308" s="221"/>
      <c r="H308" s="221"/>
      <c r="I308" s="221"/>
      <c r="J308" s="221"/>
      <c r="K308" s="221"/>
      <c r="L308" s="221"/>
      <c r="M308" s="221"/>
      <c r="N308" s="221"/>
      <c r="O308" s="221"/>
      <c r="P308" s="221"/>
      <c r="Q308" s="221"/>
      <c r="R308" s="221"/>
      <c r="S308" s="221"/>
      <c r="T308" s="221"/>
      <c r="U308" s="221"/>
      <c r="V308" s="221"/>
      <c r="W308" s="221"/>
      <c r="X308" s="221"/>
      <c r="Y308" s="221"/>
      <c r="Z308" s="221"/>
    </row>
    <row r="309">
      <c r="A309" s="225" t="s">
        <v>767</v>
      </c>
      <c r="B309" s="226" t="s">
        <v>768</v>
      </c>
      <c r="C309" s="227" t="s">
        <v>332</v>
      </c>
      <c r="D309" s="227" t="s">
        <v>329</v>
      </c>
      <c r="E309" s="227" t="s">
        <v>329</v>
      </c>
      <c r="F309" s="227" t="s">
        <v>391</v>
      </c>
      <c r="G309" s="221"/>
      <c r="H309" s="221"/>
      <c r="I309" s="221"/>
      <c r="J309" s="221"/>
      <c r="K309" s="221"/>
      <c r="L309" s="221"/>
      <c r="M309" s="221"/>
      <c r="N309" s="221"/>
      <c r="O309" s="221"/>
      <c r="P309" s="221"/>
      <c r="Q309" s="221"/>
      <c r="R309" s="221"/>
      <c r="S309" s="221"/>
      <c r="T309" s="221"/>
      <c r="U309" s="221"/>
      <c r="V309" s="221"/>
      <c r="W309" s="221"/>
      <c r="X309" s="221"/>
      <c r="Y309" s="221"/>
      <c r="Z309" s="221"/>
    </row>
    <row r="310">
      <c r="A310" s="229"/>
      <c r="B310" s="230" t="s">
        <v>769</v>
      </c>
      <c r="C310" s="231" t="s">
        <v>770</v>
      </c>
      <c r="D310" s="231" t="s">
        <v>771</v>
      </c>
      <c r="E310" s="231" t="s">
        <v>321</v>
      </c>
      <c r="F310" s="231" t="s">
        <v>772</v>
      </c>
      <c r="G310" s="221"/>
      <c r="H310" s="221"/>
      <c r="I310" s="221"/>
      <c r="J310" s="221"/>
      <c r="K310" s="221"/>
      <c r="L310" s="221"/>
      <c r="M310" s="221"/>
      <c r="N310" s="221"/>
      <c r="O310" s="221"/>
      <c r="P310" s="221"/>
      <c r="Q310" s="221"/>
      <c r="R310" s="221"/>
      <c r="S310" s="221"/>
      <c r="T310" s="221"/>
      <c r="U310" s="221"/>
      <c r="V310" s="221"/>
      <c r="W310" s="221"/>
      <c r="X310" s="221"/>
      <c r="Y310" s="221"/>
      <c r="Z310" s="221"/>
    </row>
    <row r="311">
      <c r="A311" s="232" t="s">
        <v>773</v>
      </c>
      <c r="B311" s="86"/>
      <c r="C311" s="86"/>
      <c r="D311" s="86"/>
      <c r="E311" s="86"/>
      <c r="F311" s="35"/>
      <c r="G311" s="221"/>
      <c r="H311" s="221"/>
      <c r="I311" s="221"/>
      <c r="J311" s="221"/>
      <c r="K311" s="221"/>
      <c r="L311" s="221"/>
      <c r="M311" s="221"/>
      <c r="N311" s="221"/>
      <c r="O311" s="221"/>
      <c r="P311" s="221"/>
      <c r="Q311" s="221"/>
      <c r="R311" s="221"/>
      <c r="S311" s="221"/>
      <c r="T311" s="221"/>
      <c r="U311" s="221"/>
      <c r="V311" s="221"/>
      <c r="W311" s="221"/>
      <c r="X311" s="221"/>
      <c r="Y311" s="221"/>
      <c r="Z311" s="221"/>
    </row>
    <row r="312">
      <c r="A312" s="225" t="s">
        <v>774</v>
      </c>
      <c r="B312" s="226" t="s">
        <v>441</v>
      </c>
      <c r="C312" s="227">
        <v>0.0</v>
      </c>
      <c r="D312" s="227" t="s">
        <v>332</v>
      </c>
      <c r="E312" s="227">
        <v>0.0</v>
      </c>
      <c r="F312" s="227">
        <v>0.0</v>
      </c>
      <c r="G312" s="221"/>
      <c r="H312" s="221"/>
      <c r="I312" s="221"/>
      <c r="J312" s="221"/>
      <c r="K312" s="221"/>
      <c r="L312" s="221"/>
      <c r="M312" s="221"/>
      <c r="N312" s="221"/>
      <c r="O312" s="221"/>
      <c r="P312" s="221"/>
      <c r="Q312" s="221"/>
      <c r="R312" s="221"/>
      <c r="S312" s="221"/>
      <c r="T312" s="221"/>
      <c r="U312" s="221"/>
      <c r="V312" s="221"/>
      <c r="W312" s="221"/>
      <c r="X312" s="221"/>
      <c r="Y312" s="221"/>
      <c r="Z312" s="221"/>
    </row>
    <row r="313">
      <c r="A313" s="225" t="s">
        <v>442</v>
      </c>
      <c r="B313" s="226" t="s">
        <v>441</v>
      </c>
      <c r="C313" s="227" t="s">
        <v>332</v>
      </c>
      <c r="D313" s="227" t="s">
        <v>332</v>
      </c>
      <c r="E313" s="227">
        <v>0.0</v>
      </c>
      <c r="F313" s="227" t="s">
        <v>332</v>
      </c>
      <c r="G313" s="221"/>
      <c r="H313" s="221"/>
      <c r="I313" s="221"/>
      <c r="J313" s="221"/>
      <c r="K313" s="221"/>
      <c r="L313" s="221"/>
      <c r="M313" s="221"/>
      <c r="N313" s="221"/>
      <c r="O313" s="221"/>
      <c r="P313" s="221"/>
      <c r="Q313" s="221"/>
      <c r="R313" s="221"/>
      <c r="S313" s="221"/>
      <c r="T313" s="221"/>
      <c r="U313" s="221"/>
      <c r="V313" s="221"/>
      <c r="W313" s="221"/>
      <c r="X313" s="221"/>
      <c r="Y313" s="221"/>
      <c r="Z313" s="221"/>
    </row>
    <row r="314">
      <c r="A314" s="225" t="s">
        <v>443</v>
      </c>
      <c r="B314" s="226" t="s">
        <v>441</v>
      </c>
      <c r="C314" s="227">
        <v>0.0</v>
      </c>
      <c r="D314" s="227" t="s">
        <v>332</v>
      </c>
      <c r="E314" s="227">
        <v>0.0</v>
      </c>
      <c r="F314" s="227">
        <v>0.0</v>
      </c>
      <c r="G314" s="221"/>
      <c r="H314" s="221"/>
      <c r="I314" s="221"/>
      <c r="J314" s="221"/>
      <c r="K314" s="221"/>
      <c r="L314" s="221"/>
      <c r="M314" s="221"/>
      <c r="N314" s="221"/>
      <c r="O314" s="221"/>
      <c r="P314" s="221"/>
      <c r="Q314" s="221"/>
      <c r="R314" s="221"/>
      <c r="S314" s="221"/>
      <c r="T314" s="221"/>
      <c r="U314" s="221"/>
      <c r="V314" s="221"/>
      <c r="W314" s="221"/>
      <c r="X314" s="221"/>
      <c r="Y314" s="221"/>
      <c r="Z314" s="221"/>
    </row>
    <row r="315">
      <c r="A315" s="225" t="s">
        <v>444</v>
      </c>
      <c r="B315" s="226" t="s">
        <v>131</v>
      </c>
      <c r="C315" s="227">
        <v>0.0</v>
      </c>
      <c r="D315" s="227" t="s">
        <v>332</v>
      </c>
      <c r="E315" s="227">
        <v>0.0</v>
      </c>
      <c r="F315" s="227">
        <v>0.0</v>
      </c>
      <c r="G315" s="221"/>
      <c r="H315" s="221"/>
      <c r="I315" s="221"/>
      <c r="J315" s="221"/>
      <c r="K315" s="221"/>
      <c r="L315" s="221"/>
      <c r="M315" s="221"/>
      <c r="N315" s="221"/>
      <c r="O315" s="221"/>
      <c r="P315" s="221"/>
      <c r="Q315" s="221"/>
      <c r="R315" s="221"/>
      <c r="S315" s="221"/>
      <c r="T315" s="221"/>
      <c r="U315" s="221"/>
      <c r="V315" s="221"/>
      <c r="W315" s="221"/>
      <c r="X315" s="221"/>
      <c r="Y315" s="221"/>
      <c r="Z315" s="221"/>
    </row>
    <row r="316">
      <c r="A316" s="225" t="s">
        <v>445</v>
      </c>
      <c r="B316" s="226" t="s">
        <v>131</v>
      </c>
      <c r="C316" s="227">
        <v>0.0</v>
      </c>
      <c r="D316" s="227" t="s">
        <v>332</v>
      </c>
      <c r="E316" s="227">
        <v>0.0</v>
      </c>
      <c r="F316" s="227">
        <v>0.0</v>
      </c>
      <c r="G316" s="221"/>
      <c r="H316" s="221"/>
      <c r="I316" s="221"/>
      <c r="J316" s="221"/>
      <c r="K316" s="221"/>
      <c r="L316" s="221"/>
      <c r="M316" s="221"/>
      <c r="N316" s="221"/>
      <c r="O316" s="221"/>
      <c r="P316" s="221"/>
      <c r="Q316" s="221"/>
      <c r="R316" s="221"/>
      <c r="S316" s="221"/>
      <c r="T316" s="221"/>
      <c r="U316" s="221"/>
      <c r="V316" s="221"/>
      <c r="W316" s="221"/>
      <c r="X316" s="221"/>
      <c r="Y316" s="221"/>
      <c r="Z316" s="221"/>
    </row>
    <row r="317">
      <c r="A317" s="225" t="s">
        <v>451</v>
      </c>
      <c r="B317" s="226" t="s">
        <v>452</v>
      </c>
      <c r="C317" s="227" t="s">
        <v>332</v>
      </c>
      <c r="D317" s="227" t="s">
        <v>319</v>
      </c>
      <c r="E317" s="227">
        <v>0.0</v>
      </c>
      <c r="F317" s="227">
        <v>0.0</v>
      </c>
      <c r="G317" s="221"/>
      <c r="H317" s="221"/>
      <c r="I317" s="221"/>
      <c r="J317" s="221"/>
      <c r="K317" s="221"/>
      <c r="L317" s="221"/>
      <c r="M317" s="221"/>
      <c r="N317" s="221"/>
      <c r="O317" s="221"/>
      <c r="P317" s="221"/>
      <c r="Q317" s="221"/>
      <c r="R317" s="221"/>
      <c r="S317" s="221"/>
      <c r="T317" s="221"/>
      <c r="U317" s="221"/>
      <c r="V317" s="221"/>
      <c r="W317" s="221"/>
      <c r="X317" s="221"/>
      <c r="Y317" s="221"/>
      <c r="Z317" s="221"/>
    </row>
    <row r="318">
      <c r="A318" s="225" t="s">
        <v>453</v>
      </c>
      <c r="B318" s="226" t="s">
        <v>454</v>
      </c>
      <c r="C318" s="227">
        <v>0.0</v>
      </c>
      <c r="D318" s="227" t="s">
        <v>332</v>
      </c>
      <c r="E318" s="227">
        <v>0.0</v>
      </c>
      <c r="F318" s="227">
        <v>0.0</v>
      </c>
      <c r="G318" s="221"/>
      <c r="H318" s="221"/>
      <c r="I318" s="221"/>
      <c r="J318" s="221"/>
      <c r="K318" s="221"/>
      <c r="L318" s="221"/>
      <c r="M318" s="221"/>
      <c r="N318" s="221"/>
      <c r="O318" s="221"/>
      <c r="P318" s="221"/>
      <c r="Q318" s="221"/>
      <c r="R318" s="221"/>
      <c r="S318" s="221"/>
      <c r="T318" s="221"/>
      <c r="U318" s="221"/>
      <c r="V318" s="221"/>
      <c r="W318" s="221"/>
      <c r="X318" s="221"/>
      <c r="Y318" s="221"/>
      <c r="Z318" s="221"/>
    </row>
    <row r="319">
      <c r="A319" s="225" t="s">
        <v>455</v>
      </c>
      <c r="B319" s="226" t="s">
        <v>454</v>
      </c>
      <c r="C319" s="227">
        <v>0.0</v>
      </c>
      <c r="D319" s="227" t="s">
        <v>332</v>
      </c>
      <c r="E319" s="227">
        <v>0.0</v>
      </c>
      <c r="F319" s="227">
        <v>0.0</v>
      </c>
      <c r="G319" s="221"/>
      <c r="H319" s="221"/>
      <c r="I319" s="221"/>
      <c r="J319" s="221"/>
      <c r="K319" s="221"/>
      <c r="L319" s="221"/>
      <c r="M319" s="221"/>
      <c r="N319" s="221"/>
      <c r="O319" s="221"/>
      <c r="P319" s="221"/>
      <c r="Q319" s="221"/>
      <c r="R319" s="221"/>
      <c r="S319" s="221"/>
      <c r="T319" s="221"/>
      <c r="U319" s="221"/>
      <c r="V319" s="221"/>
      <c r="W319" s="221"/>
      <c r="X319" s="221"/>
      <c r="Y319" s="221"/>
      <c r="Z319" s="221"/>
    </row>
    <row r="320">
      <c r="A320" s="225" t="s">
        <v>456</v>
      </c>
      <c r="B320" s="226" t="s">
        <v>454</v>
      </c>
      <c r="C320" s="227" t="s">
        <v>332</v>
      </c>
      <c r="D320" s="227" t="s">
        <v>319</v>
      </c>
      <c r="E320" s="227">
        <v>0.0</v>
      </c>
      <c r="F320" s="227">
        <v>0.0</v>
      </c>
      <c r="G320" s="221"/>
      <c r="H320" s="221"/>
      <c r="I320" s="221"/>
      <c r="J320" s="221"/>
      <c r="K320" s="221"/>
      <c r="L320" s="221"/>
      <c r="M320" s="221"/>
      <c r="N320" s="221"/>
      <c r="O320" s="221"/>
      <c r="P320" s="221"/>
      <c r="Q320" s="221"/>
      <c r="R320" s="221"/>
      <c r="S320" s="221"/>
      <c r="T320" s="221"/>
      <c r="U320" s="221"/>
      <c r="V320" s="221"/>
      <c r="W320" s="221"/>
      <c r="X320" s="221"/>
      <c r="Y320" s="221"/>
      <c r="Z320" s="221"/>
    </row>
    <row r="321">
      <c r="A321" s="225" t="s">
        <v>457</v>
      </c>
      <c r="B321" s="226" t="s">
        <v>454</v>
      </c>
      <c r="C321" s="227" t="s">
        <v>332</v>
      </c>
      <c r="D321" s="227" t="s">
        <v>329</v>
      </c>
      <c r="E321" s="227">
        <v>0.0</v>
      </c>
      <c r="F321" s="227">
        <v>0.0</v>
      </c>
      <c r="G321" s="221"/>
      <c r="H321" s="221"/>
      <c r="I321" s="221"/>
      <c r="J321" s="221"/>
      <c r="K321" s="221"/>
      <c r="L321" s="221"/>
      <c r="M321" s="221"/>
      <c r="N321" s="221"/>
      <c r="O321" s="221"/>
      <c r="P321" s="221"/>
      <c r="Q321" s="221"/>
      <c r="R321" s="221"/>
      <c r="S321" s="221"/>
      <c r="T321" s="221"/>
      <c r="U321" s="221"/>
      <c r="V321" s="221"/>
      <c r="W321" s="221"/>
      <c r="X321" s="221"/>
      <c r="Y321" s="221"/>
      <c r="Z321" s="221"/>
    </row>
    <row r="322">
      <c r="A322" s="225" t="s">
        <v>775</v>
      </c>
      <c r="B322" s="226" t="s">
        <v>454</v>
      </c>
      <c r="C322" s="227">
        <v>0.0</v>
      </c>
      <c r="D322" s="227" t="s">
        <v>332</v>
      </c>
      <c r="E322" s="227">
        <v>0.0</v>
      </c>
      <c r="F322" s="227">
        <v>0.0</v>
      </c>
      <c r="G322" s="221"/>
      <c r="H322" s="221"/>
      <c r="I322" s="221"/>
      <c r="J322" s="221"/>
      <c r="K322" s="221"/>
      <c r="L322" s="221"/>
      <c r="M322" s="221"/>
      <c r="N322" s="221"/>
      <c r="O322" s="221"/>
      <c r="P322" s="221"/>
      <c r="Q322" s="221"/>
      <c r="R322" s="221"/>
      <c r="S322" s="221"/>
      <c r="T322" s="221"/>
      <c r="U322" s="221"/>
      <c r="V322" s="221"/>
      <c r="W322" s="221"/>
      <c r="X322" s="221"/>
      <c r="Y322" s="221"/>
      <c r="Z322" s="221"/>
    </row>
    <row r="323">
      <c r="A323" s="225" t="s">
        <v>776</v>
      </c>
      <c r="B323" s="226" t="s">
        <v>454</v>
      </c>
      <c r="C323" s="227">
        <v>0.0</v>
      </c>
      <c r="D323" s="227" t="s">
        <v>332</v>
      </c>
      <c r="E323" s="227">
        <v>0.0</v>
      </c>
      <c r="F323" s="227">
        <v>0.0</v>
      </c>
      <c r="G323" s="221"/>
      <c r="H323" s="221"/>
      <c r="I323" s="221"/>
      <c r="J323" s="221"/>
      <c r="K323" s="221"/>
      <c r="L323" s="221"/>
      <c r="M323" s="221"/>
      <c r="N323" s="221"/>
      <c r="O323" s="221"/>
      <c r="P323" s="221"/>
      <c r="Q323" s="221"/>
      <c r="R323" s="221"/>
      <c r="S323" s="221"/>
      <c r="T323" s="221"/>
      <c r="U323" s="221"/>
      <c r="V323" s="221"/>
      <c r="W323" s="221"/>
      <c r="X323" s="221"/>
      <c r="Y323" s="221"/>
      <c r="Z323" s="221"/>
    </row>
    <row r="324">
      <c r="A324" s="225" t="s">
        <v>463</v>
      </c>
      <c r="B324" s="226" t="s">
        <v>459</v>
      </c>
      <c r="C324" s="227" t="s">
        <v>332</v>
      </c>
      <c r="D324" s="227" t="s">
        <v>332</v>
      </c>
      <c r="E324" s="227">
        <v>0.0</v>
      </c>
      <c r="F324" s="227">
        <v>0.0</v>
      </c>
      <c r="G324" s="221"/>
      <c r="H324" s="221"/>
      <c r="I324" s="221"/>
      <c r="J324" s="221"/>
      <c r="K324" s="221"/>
      <c r="L324" s="221"/>
      <c r="M324" s="221"/>
      <c r="N324" s="221"/>
      <c r="O324" s="221"/>
      <c r="P324" s="221"/>
      <c r="Q324" s="221"/>
      <c r="R324" s="221"/>
      <c r="S324" s="221"/>
      <c r="T324" s="221"/>
      <c r="U324" s="221"/>
      <c r="V324" s="221"/>
      <c r="W324" s="221"/>
      <c r="X324" s="221"/>
      <c r="Y324" s="221"/>
      <c r="Z324" s="221"/>
    </row>
    <row r="325">
      <c r="A325" s="225" t="s">
        <v>465</v>
      </c>
      <c r="B325" s="226" t="s">
        <v>133</v>
      </c>
      <c r="C325" s="227">
        <v>0.0</v>
      </c>
      <c r="D325" s="227" t="s">
        <v>332</v>
      </c>
      <c r="E325" s="227">
        <v>0.0</v>
      </c>
      <c r="F325" s="227" t="s">
        <v>332</v>
      </c>
      <c r="G325" s="221"/>
      <c r="H325" s="221"/>
      <c r="I325" s="221"/>
      <c r="J325" s="221"/>
      <c r="K325" s="221"/>
      <c r="L325" s="221"/>
      <c r="M325" s="221"/>
      <c r="N325" s="221"/>
      <c r="O325" s="221"/>
      <c r="P325" s="221"/>
      <c r="Q325" s="221"/>
      <c r="R325" s="221"/>
      <c r="S325" s="221"/>
      <c r="T325" s="221"/>
      <c r="U325" s="221"/>
      <c r="V325" s="221"/>
      <c r="W325" s="221"/>
      <c r="X325" s="221"/>
      <c r="Y325" s="221"/>
      <c r="Z325" s="221"/>
    </row>
    <row r="326">
      <c r="A326" s="225" t="s">
        <v>466</v>
      </c>
      <c r="B326" s="226" t="s">
        <v>133</v>
      </c>
      <c r="C326" s="227">
        <v>0.0</v>
      </c>
      <c r="D326" s="227" t="s">
        <v>332</v>
      </c>
      <c r="E326" s="227">
        <v>0.0</v>
      </c>
      <c r="F326" s="227">
        <v>0.0</v>
      </c>
      <c r="G326" s="221"/>
      <c r="H326" s="221"/>
      <c r="I326" s="221"/>
      <c r="J326" s="221"/>
      <c r="K326" s="221"/>
      <c r="L326" s="221"/>
      <c r="M326" s="221"/>
      <c r="N326" s="221"/>
      <c r="O326" s="221"/>
      <c r="P326" s="221"/>
      <c r="Q326" s="221"/>
      <c r="R326" s="221"/>
      <c r="S326" s="221"/>
      <c r="T326" s="221"/>
      <c r="U326" s="221"/>
      <c r="V326" s="221"/>
      <c r="W326" s="221"/>
      <c r="X326" s="221"/>
      <c r="Y326" s="221"/>
      <c r="Z326" s="221"/>
    </row>
    <row r="327">
      <c r="A327" s="225" t="s">
        <v>467</v>
      </c>
      <c r="B327" s="226" t="s">
        <v>133</v>
      </c>
      <c r="C327" s="227">
        <v>0.0</v>
      </c>
      <c r="D327" s="227" t="s">
        <v>332</v>
      </c>
      <c r="E327" s="227">
        <v>0.0</v>
      </c>
      <c r="F327" s="227">
        <v>0.0</v>
      </c>
      <c r="G327" s="221"/>
      <c r="H327" s="221"/>
      <c r="I327" s="221"/>
      <c r="J327" s="221"/>
      <c r="K327" s="221"/>
      <c r="L327" s="221"/>
      <c r="M327" s="221"/>
      <c r="N327" s="221"/>
      <c r="O327" s="221"/>
      <c r="P327" s="221"/>
      <c r="Q327" s="221"/>
      <c r="R327" s="221"/>
      <c r="S327" s="221"/>
      <c r="T327" s="221"/>
      <c r="U327" s="221"/>
      <c r="V327" s="221"/>
      <c r="W327" s="221"/>
      <c r="X327" s="221"/>
      <c r="Y327" s="221"/>
      <c r="Z327" s="221"/>
    </row>
    <row r="328">
      <c r="A328" s="225" t="s">
        <v>469</v>
      </c>
      <c r="B328" s="226" t="s">
        <v>470</v>
      </c>
      <c r="C328" s="227" t="s">
        <v>332</v>
      </c>
      <c r="D328" s="227" t="s">
        <v>332</v>
      </c>
      <c r="E328" s="227">
        <v>0.0</v>
      </c>
      <c r="F328" s="227">
        <v>0.0</v>
      </c>
      <c r="G328" s="221"/>
      <c r="H328" s="221"/>
      <c r="I328" s="221"/>
      <c r="J328" s="221"/>
      <c r="K328" s="221"/>
      <c r="L328" s="221"/>
      <c r="M328" s="221"/>
      <c r="N328" s="221"/>
      <c r="O328" s="221"/>
      <c r="P328" s="221"/>
      <c r="Q328" s="221"/>
      <c r="R328" s="221"/>
      <c r="S328" s="221"/>
      <c r="T328" s="221"/>
      <c r="U328" s="221"/>
      <c r="V328" s="221"/>
      <c r="W328" s="221"/>
      <c r="X328" s="221"/>
      <c r="Y328" s="221"/>
      <c r="Z328" s="221"/>
    </row>
    <row r="329">
      <c r="A329" s="225" t="s">
        <v>475</v>
      </c>
      <c r="B329" s="226" t="s">
        <v>470</v>
      </c>
      <c r="C329" s="227" t="s">
        <v>332</v>
      </c>
      <c r="D329" s="227" t="s">
        <v>332</v>
      </c>
      <c r="E329" s="227">
        <v>0.0</v>
      </c>
      <c r="F329" s="227">
        <v>0.0</v>
      </c>
      <c r="G329" s="221"/>
      <c r="H329" s="221"/>
      <c r="I329" s="221"/>
      <c r="J329" s="221"/>
      <c r="K329" s="221"/>
      <c r="L329" s="221"/>
      <c r="M329" s="221"/>
      <c r="N329" s="221"/>
      <c r="O329" s="221"/>
      <c r="P329" s="221"/>
      <c r="Q329" s="221"/>
      <c r="R329" s="221"/>
      <c r="S329" s="221"/>
      <c r="T329" s="221"/>
      <c r="U329" s="221"/>
      <c r="V329" s="221"/>
      <c r="W329" s="221"/>
      <c r="X329" s="221"/>
      <c r="Y329" s="221"/>
      <c r="Z329" s="221"/>
    </row>
    <row r="330">
      <c r="A330" s="225" t="s">
        <v>477</v>
      </c>
      <c r="B330" s="226" t="s">
        <v>470</v>
      </c>
      <c r="C330" s="227">
        <v>0.0</v>
      </c>
      <c r="D330" s="227" t="s">
        <v>332</v>
      </c>
      <c r="E330" s="227">
        <v>0.0</v>
      </c>
      <c r="F330" s="227" t="s">
        <v>332</v>
      </c>
      <c r="G330" s="221"/>
      <c r="H330" s="221"/>
      <c r="I330" s="221"/>
      <c r="J330" s="221"/>
      <c r="K330" s="221"/>
      <c r="L330" s="221"/>
      <c r="M330" s="221"/>
      <c r="N330" s="221"/>
      <c r="O330" s="221"/>
      <c r="P330" s="221"/>
      <c r="Q330" s="221"/>
      <c r="R330" s="221"/>
      <c r="S330" s="221"/>
      <c r="T330" s="221"/>
      <c r="U330" s="221"/>
      <c r="V330" s="221"/>
      <c r="W330" s="221"/>
      <c r="X330" s="221"/>
      <c r="Y330" s="221"/>
      <c r="Z330" s="221"/>
    </row>
    <row r="331">
      <c r="A331" s="225" t="s">
        <v>489</v>
      </c>
      <c r="B331" s="226" t="s">
        <v>470</v>
      </c>
      <c r="C331" s="227">
        <v>0.0</v>
      </c>
      <c r="D331" s="227" t="s">
        <v>332</v>
      </c>
      <c r="E331" s="227">
        <v>0.0</v>
      </c>
      <c r="F331" s="227">
        <v>0.0</v>
      </c>
      <c r="G331" s="221"/>
      <c r="H331" s="221"/>
      <c r="I331" s="221"/>
      <c r="J331" s="221"/>
      <c r="K331" s="221"/>
      <c r="L331" s="221"/>
      <c r="M331" s="221"/>
      <c r="N331" s="221"/>
      <c r="O331" s="221"/>
      <c r="P331" s="221"/>
      <c r="Q331" s="221"/>
      <c r="R331" s="221"/>
      <c r="S331" s="221"/>
      <c r="T331" s="221"/>
      <c r="U331" s="221"/>
      <c r="V331" s="221"/>
      <c r="W331" s="221"/>
      <c r="X331" s="221"/>
      <c r="Y331" s="221"/>
      <c r="Z331" s="221"/>
    </row>
    <row r="332">
      <c r="A332" s="225" t="s">
        <v>491</v>
      </c>
      <c r="B332" s="226" t="s">
        <v>470</v>
      </c>
      <c r="C332" s="227">
        <v>0.0</v>
      </c>
      <c r="D332" s="227" t="s">
        <v>332</v>
      </c>
      <c r="E332" s="227">
        <v>0.0</v>
      </c>
      <c r="F332" s="227">
        <v>0.0</v>
      </c>
      <c r="G332" s="221"/>
      <c r="H332" s="221"/>
      <c r="I332" s="221"/>
      <c r="J332" s="221"/>
      <c r="K332" s="221"/>
      <c r="L332" s="221"/>
      <c r="M332" s="221"/>
      <c r="N332" s="221"/>
      <c r="O332" s="221"/>
      <c r="P332" s="221"/>
      <c r="Q332" s="221"/>
      <c r="R332" s="221"/>
      <c r="S332" s="221"/>
      <c r="T332" s="221"/>
      <c r="U332" s="221"/>
      <c r="V332" s="221"/>
      <c r="W332" s="221"/>
      <c r="X332" s="221"/>
      <c r="Y332" s="221"/>
      <c r="Z332" s="221"/>
    </row>
    <row r="333">
      <c r="A333" s="225" t="s">
        <v>495</v>
      </c>
      <c r="B333" s="226" t="s">
        <v>134</v>
      </c>
      <c r="C333" s="227" t="s">
        <v>332</v>
      </c>
      <c r="D333" s="227" t="s">
        <v>329</v>
      </c>
      <c r="E333" s="227" t="s">
        <v>332</v>
      </c>
      <c r="F333" s="227" t="s">
        <v>332</v>
      </c>
      <c r="G333" s="221"/>
      <c r="H333" s="221"/>
      <c r="I333" s="221"/>
      <c r="J333" s="221"/>
      <c r="K333" s="221"/>
      <c r="L333" s="221"/>
      <c r="M333" s="221"/>
      <c r="N333" s="221"/>
      <c r="O333" s="221"/>
      <c r="P333" s="221"/>
      <c r="Q333" s="221"/>
      <c r="R333" s="221"/>
      <c r="S333" s="221"/>
      <c r="T333" s="221"/>
      <c r="U333" s="221"/>
      <c r="V333" s="221"/>
      <c r="W333" s="221"/>
      <c r="X333" s="221"/>
      <c r="Y333" s="221"/>
      <c r="Z333" s="221"/>
    </row>
    <row r="334">
      <c r="A334" s="225" t="s">
        <v>496</v>
      </c>
      <c r="B334" s="226" t="s">
        <v>134</v>
      </c>
      <c r="C334" s="227">
        <v>0.0</v>
      </c>
      <c r="D334" s="227" t="s">
        <v>319</v>
      </c>
      <c r="E334" s="227">
        <v>0.0</v>
      </c>
      <c r="F334" s="227">
        <v>0.0</v>
      </c>
      <c r="G334" s="221"/>
      <c r="H334" s="221"/>
      <c r="I334" s="221"/>
      <c r="J334" s="221"/>
      <c r="K334" s="221"/>
      <c r="L334" s="221"/>
      <c r="M334" s="221"/>
      <c r="N334" s="221"/>
      <c r="O334" s="221"/>
      <c r="P334" s="221"/>
      <c r="Q334" s="221"/>
      <c r="R334" s="221"/>
      <c r="S334" s="221"/>
      <c r="T334" s="221"/>
      <c r="U334" s="221"/>
      <c r="V334" s="221"/>
      <c r="W334" s="221"/>
      <c r="X334" s="221"/>
      <c r="Y334" s="221"/>
      <c r="Z334" s="221"/>
    </row>
    <row r="335">
      <c r="A335" s="225" t="s">
        <v>497</v>
      </c>
      <c r="B335" s="226" t="s">
        <v>134</v>
      </c>
      <c r="C335" s="227">
        <v>0.0</v>
      </c>
      <c r="D335" s="227" t="s">
        <v>332</v>
      </c>
      <c r="E335" s="227">
        <v>0.0</v>
      </c>
      <c r="F335" s="227">
        <v>0.0</v>
      </c>
      <c r="G335" s="221"/>
      <c r="H335" s="221"/>
      <c r="I335" s="221"/>
      <c r="J335" s="221"/>
      <c r="K335" s="221"/>
      <c r="L335" s="221"/>
      <c r="M335" s="221"/>
      <c r="N335" s="221"/>
      <c r="O335" s="221"/>
      <c r="P335" s="221"/>
      <c r="Q335" s="221"/>
      <c r="R335" s="221"/>
      <c r="S335" s="221"/>
      <c r="T335" s="221"/>
      <c r="U335" s="221"/>
      <c r="V335" s="221"/>
      <c r="W335" s="221"/>
      <c r="X335" s="221"/>
      <c r="Y335" s="221"/>
      <c r="Z335" s="221"/>
    </row>
    <row r="336">
      <c r="A336" s="225" t="s">
        <v>499</v>
      </c>
      <c r="B336" s="226" t="s">
        <v>134</v>
      </c>
      <c r="C336" s="227">
        <v>0.0</v>
      </c>
      <c r="D336" s="227" t="s">
        <v>332</v>
      </c>
      <c r="E336" s="227">
        <v>0.0</v>
      </c>
      <c r="F336" s="227">
        <v>0.0</v>
      </c>
      <c r="G336" s="221"/>
      <c r="H336" s="221"/>
      <c r="I336" s="221"/>
      <c r="J336" s="221"/>
      <c r="K336" s="221"/>
      <c r="L336" s="221"/>
      <c r="M336" s="221"/>
      <c r="N336" s="221"/>
      <c r="O336" s="221"/>
      <c r="P336" s="221"/>
      <c r="Q336" s="221"/>
      <c r="R336" s="221"/>
      <c r="S336" s="221"/>
      <c r="T336" s="221"/>
      <c r="U336" s="221"/>
      <c r="V336" s="221"/>
      <c r="W336" s="221"/>
      <c r="X336" s="221"/>
      <c r="Y336" s="221"/>
      <c r="Z336" s="221"/>
    </row>
    <row r="337">
      <c r="A337" s="225" t="s">
        <v>500</v>
      </c>
      <c r="B337" s="226" t="s">
        <v>134</v>
      </c>
      <c r="C337" s="227" t="s">
        <v>332</v>
      </c>
      <c r="D337" s="227" t="s">
        <v>332</v>
      </c>
      <c r="E337" s="227">
        <v>0.0</v>
      </c>
      <c r="F337" s="227">
        <v>0.0</v>
      </c>
      <c r="G337" s="221"/>
      <c r="H337" s="221"/>
      <c r="I337" s="221"/>
      <c r="J337" s="221"/>
      <c r="K337" s="221"/>
      <c r="L337" s="221"/>
      <c r="M337" s="221"/>
      <c r="N337" s="221"/>
      <c r="O337" s="221"/>
      <c r="P337" s="221"/>
      <c r="Q337" s="221"/>
      <c r="R337" s="221"/>
      <c r="S337" s="221"/>
      <c r="T337" s="221"/>
      <c r="U337" s="221"/>
      <c r="V337" s="221"/>
      <c r="W337" s="221"/>
      <c r="X337" s="221"/>
      <c r="Y337" s="221"/>
      <c r="Z337" s="221"/>
    </row>
    <row r="338">
      <c r="A338" s="225" t="s">
        <v>777</v>
      </c>
      <c r="B338" s="226" t="s">
        <v>504</v>
      </c>
      <c r="C338" s="227">
        <v>0.0</v>
      </c>
      <c r="D338" s="227" t="s">
        <v>332</v>
      </c>
      <c r="E338" s="227">
        <v>0.0</v>
      </c>
      <c r="F338" s="227">
        <v>0.0</v>
      </c>
      <c r="G338" s="221"/>
      <c r="H338" s="221"/>
      <c r="I338" s="221"/>
      <c r="J338" s="221"/>
      <c r="K338" s="221"/>
      <c r="L338" s="221"/>
      <c r="M338" s="221"/>
      <c r="N338" s="221"/>
      <c r="O338" s="221"/>
      <c r="P338" s="221"/>
      <c r="Q338" s="221"/>
      <c r="R338" s="221"/>
      <c r="S338" s="221"/>
      <c r="T338" s="221"/>
      <c r="U338" s="221"/>
      <c r="V338" s="221"/>
      <c r="W338" s="221"/>
      <c r="X338" s="221"/>
      <c r="Y338" s="221"/>
      <c r="Z338" s="221"/>
    </row>
    <row r="339">
      <c r="A339" s="225" t="s">
        <v>505</v>
      </c>
      <c r="B339" s="226" t="s">
        <v>504</v>
      </c>
      <c r="C339" s="227">
        <v>0.0</v>
      </c>
      <c r="D339" s="227" t="s">
        <v>332</v>
      </c>
      <c r="E339" s="227">
        <v>0.0</v>
      </c>
      <c r="F339" s="227">
        <v>0.0</v>
      </c>
      <c r="G339" s="221"/>
      <c r="H339" s="221"/>
      <c r="I339" s="221"/>
      <c r="J339" s="221"/>
      <c r="K339" s="221"/>
      <c r="L339" s="221"/>
      <c r="M339" s="221"/>
      <c r="N339" s="221"/>
      <c r="O339" s="221"/>
      <c r="P339" s="221"/>
      <c r="Q339" s="221"/>
      <c r="R339" s="221"/>
      <c r="S339" s="221"/>
      <c r="T339" s="221"/>
      <c r="U339" s="221"/>
      <c r="V339" s="221"/>
      <c r="W339" s="221"/>
      <c r="X339" s="221"/>
      <c r="Y339" s="221"/>
      <c r="Z339" s="221"/>
    </row>
    <row r="340">
      <c r="A340" s="225" t="s">
        <v>508</v>
      </c>
      <c r="B340" s="226" t="s">
        <v>504</v>
      </c>
      <c r="C340" s="227" t="s">
        <v>332</v>
      </c>
      <c r="D340" s="227" t="s">
        <v>332</v>
      </c>
      <c r="E340" s="227">
        <v>0.0</v>
      </c>
      <c r="F340" s="227">
        <v>0.0</v>
      </c>
      <c r="G340" s="221"/>
      <c r="H340" s="221"/>
      <c r="I340" s="221"/>
      <c r="J340" s="221"/>
      <c r="K340" s="221"/>
      <c r="L340" s="221"/>
      <c r="M340" s="221"/>
      <c r="N340" s="221"/>
      <c r="O340" s="221"/>
      <c r="P340" s="221"/>
      <c r="Q340" s="221"/>
      <c r="R340" s="221"/>
      <c r="S340" s="221"/>
      <c r="T340" s="221"/>
      <c r="U340" s="221"/>
      <c r="V340" s="221"/>
      <c r="W340" s="221"/>
      <c r="X340" s="221"/>
      <c r="Y340" s="221"/>
      <c r="Z340" s="221"/>
    </row>
    <row r="341">
      <c r="A341" s="225" t="s">
        <v>509</v>
      </c>
      <c r="B341" s="226" t="s">
        <v>136</v>
      </c>
      <c r="C341" s="227" t="s">
        <v>332</v>
      </c>
      <c r="D341" s="227" t="s">
        <v>332</v>
      </c>
      <c r="E341" s="227" t="s">
        <v>332</v>
      </c>
      <c r="F341" s="227" t="s">
        <v>332</v>
      </c>
      <c r="G341" s="221"/>
      <c r="H341" s="221"/>
      <c r="I341" s="221"/>
      <c r="J341" s="221"/>
      <c r="K341" s="221"/>
      <c r="L341" s="221"/>
      <c r="M341" s="221"/>
      <c r="N341" s="221"/>
      <c r="O341" s="221"/>
      <c r="P341" s="221"/>
      <c r="Q341" s="221"/>
      <c r="R341" s="221"/>
      <c r="S341" s="221"/>
      <c r="T341" s="221"/>
      <c r="U341" s="221"/>
      <c r="V341" s="221"/>
      <c r="W341" s="221"/>
      <c r="X341" s="221"/>
      <c r="Y341" s="221"/>
      <c r="Z341" s="221"/>
    </row>
    <row r="342">
      <c r="A342" s="225" t="s">
        <v>510</v>
      </c>
      <c r="B342" s="226" t="s">
        <v>136</v>
      </c>
      <c r="C342" s="227" t="s">
        <v>332</v>
      </c>
      <c r="D342" s="227" t="s">
        <v>332</v>
      </c>
      <c r="E342" s="227">
        <v>0.0</v>
      </c>
      <c r="F342" s="227">
        <v>0.0</v>
      </c>
      <c r="G342" s="221"/>
      <c r="H342" s="221"/>
      <c r="I342" s="221"/>
      <c r="J342" s="221"/>
      <c r="K342" s="221"/>
      <c r="L342" s="221"/>
      <c r="M342" s="221"/>
      <c r="N342" s="221"/>
      <c r="O342" s="221"/>
      <c r="P342" s="221"/>
      <c r="Q342" s="221"/>
      <c r="R342" s="221"/>
      <c r="S342" s="221"/>
      <c r="T342" s="221"/>
      <c r="U342" s="221"/>
      <c r="V342" s="221"/>
      <c r="W342" s="221"/>
      <c r="X342" s="221"/>
      <c r="Y342" s="221"/>
      <c r="Z342" s="221"/>
    </row>
    <row r="343">
      <c r="A343" s="225" t="s">
        <v>511</v>
      </c>
      <c r="B343" s="226" t="s">
        <v>136</v>
      </c>
      <c r="C343" s="227" t="s">
        <v>332</v>
      </c>
      <c r="D343" s="227" t="s">
        <v>332</v>
      </c>
      <c r="E343" s="227">
        <v>0.0</v>
      </c>
      <c r="F343" s="227" t="s">
        <v>332</v>
      </c>
      <c r="G343" s="221"/>
      <c r="H343" s="221"/>
      <c r="I343" s="221"/>
      <c r="J343" s="221"/>
      <c r="K343" s="221"/>
      <c r="L343" s="221"/>
      <c r="M343" s="221"/>
      <c r="N343" s="221"/>
      <c r="O343" s="221"/>
      <c r="P343" s="221"/>
      <c r="Q343" s="221"/>
      <c r="R343" s="221"/>
      <c r="S343" s="221"/>
      <c r="T343" s="221"/>
      <c r="U343" s="221"/>
      <c r="V343" s="221"/>
      <c r="W343" s="221"/>
      <c r="X343" s="221"/>
      <c r="Y343" s="221"/>
      <c r="Z343" s="221"/>
    </row>
    <row r="344">
      <c r="A344" s="225" t="s">
        <v>514</v>
      </c>
      <c r="B344" s="226" t="s">
        <v>136</v>
      </c>
      <c r="C344" s="227">
        <v>0.0</v>
      </c>
      <c r="D344" s="227" t="s">
        <v>332</v>
      </c>
      <c r="E344" s="227">
        <v>0.0</v>
      </c>
      <c r="F344" s="227">
        <v>0.0</v>
      </c>
      <c r="G344" s="221"/>
      <c r="H344" s="221"/>
      <c r="I344" s="221"/>
      <c r="J344" s="221"/>
      <c r="K344" s="221"/>
      <c r="L344" s="221"/>
      <c r="M344" s="221"/>
      <c r="N344" s="221"/>
      <c r="O344" s="221"/>
      <c r="P344" s="221"/>
      <c r="Q344" s="221"/>
      <c r="R344" s="221"/>
      <c r="S344" s="221"/>
      <c r="T344" s="221"/>
      <c r="U344" s="221"/>
      <c r="V344" s="221"/>
      <c r="W344" s="221"/>
      <c r="X344" s="221"/>
      <c r="Y344" s="221"/>
      <c r="Z344" s="221"/>
    </row>
    <row r="345">
      <c r="A345" s="225" t="s">
        <v>518</v>
      </c>
      <c r="B345" s="226" t="s">
        <v>137</v>
      </c>
      <c r="C345" s="227" t="s">
        <v>319</v>
      </c>
      <c r="D345" s="227" t="s">
        <v>329</v>
      </c>
      <c r="E345" s="227">
        <v>0.0</v>
      </c>
      <c r="F345" s="227">
        <v>0.0</v>
      </c>
      <c r="G345" s="221"/>
      <c r="H345" s="221"/>
      <c r="I345" s="221"/>
      <c r="J345" s="221"/>
      <c r="K345" s="221"/>
      <c r="L345" s="221"/>
      <c r="M345" s="221"/>
      <c r="N345" s="221"/>
      <c r="O345" s="221"/>
      <c r="P345" s="221"/>
      <c r="Q345" s="221"/>
      <c r="R345" s="221"/>
      <c r="S345" s="221"/>
      <c r="T345" s="221"/>
      <c r="U345" s="221"/>
      <c r="V345" s="221"/>
      <c r="W345" s="221"/>
      <c r="X345" s="221"/>
      <c r="Y345" s="221"/>
      <c r="Z345" s="221"/>
    </row>
    <row r="346">
      <c r="A346" s="225" t="s">
        <v>519</v>
      </c>
      <c r="B346" s="226" t="s">
        <v>137</v>
      </c>
      <c r="C346" s="227" t="s">
        <v>332</v>
      </c>
      <c r="D346" s="227" t="s">
        <v>329</v>
      </c>
      <c r="E346" s="227">
        <v>0.0</v>
      </c>
      <c r="F346" s="227">
        <v>0.0</v>
      </c>
      <c r="G346" s="221"/>
      <c r="H346" s="221"/>
      <c r="I346" s="221"/>
      <c r="J346" s="221"/>
      <c r="K346" s="221"/>
      <c r="L346" s="221"/>
      <c r="M346" s="221"/>
      <c r="N346" s="221"/>
      <c r="O346" s="221"/>
      <c r="P346" s="221"/>
      <c r="Q346" s="221"/>
      <c r="R346" s="221"/>
      <c r="S346" s="221"/>
      <c r="T346" s="221"/>
      <c r="U346" s="221"/>
      <c r="V346" s="221"/>
      <c r="W346" s="221"/>
      <c r="X346" s="221"/>
      <c r="Y346" s="221"/>
      <c r="Z346" s="221"/>
    </row>
    <row r="347">
      <c r="A347" s="225" t="s">
        <v>520</v>
      </c>
      <c r="B347" s="226" t="s">
        <v>137</v>
      </c>
      <c r="C347" s="227">
        <v>0.0</v>
      </c>
      <c r="D347" s="227" t="s">
        <v>332</v>
      </c>
      <c r="E347" s="227">
        <v>0.0</v>
      </c>
      <c r="F347" s="227">
        <v>0.0</v>
      </c>
      <c r="G347" s="221"/>
      <c r="H347" s="221"/>
      <c r="I347" s="221"/>
      <c r="J347" s="221"/>
      <c r="K347" s="221"/>
      <c r="L347" s="221"/>
      <c r="M347" s="221"/>
      <c r="N347" s="221"/>
      <c r="O347" s="221"/>
      <c r="P347" s="221"/>
      <c r="Q347" s="221"/>
      <c r="R347" s="221"/>
      <c r="S347" s="221"/>
      <c r="T347" s="221"/>
      <c r="U347" s="221"/>
      <c r="V347" s="221"/>
      <c r="W347" s="221"/>
      <c r="X347" s="221"/>
      <c r="Y347" s="221"/>
      <c r="Z347" s="221"/>
    </row>
    <row r="348">
      <c r="A348" s="225" t="s">
        <v>522</v>
      </c>
      <c r="B348" s="226" t="s">
        <v>137</v>
      </c>
      <c r="C348" s="227" t="s">
        <v>332</v>
      </c>
      <c r="D348" s="227" t="s">
        <v>332</v>
      </c>
      <c r="E348" s="227">
        <v>0.0</v>
      </c>
      <c r="F348" s="227">
        <v>0.0</v>
      </c>
      <c r="G348" s="221"/>
      <c r="H348" s="221"/>
      <c r="I348" s="221"/>
      <c r="J348" s="221"/>
      <c r="K348" s="221"/>
      <c r="L348" s="221"/>
      <c r="M348" s="221"/>
      <c r="N348" s="221"/>
      <c r="O348" s="221"/>
      <c r="P348" s="221"/>
      <c r="Q348" s="221"/>
      <c r="R348" s="221"/>
      <c r="S348" s="221"/>
      <c r="T348" s="221"/>
      <c r="U348" s="221"/>
      <c r="V348" s="221"/>
      <c r="W348" s="221"/>
      <c r="X348" s="221"/>
      <c r="Y348" s="221"/>
      <c r="Z348" s="221"/>
    </row>
    <row r="349">
      <c r="A349" s="225" t="s">
        <v>778</v>
      </c>
      <c r="B349" s="226" t="s">
        <v>137</v>
      </c>
      <c r="C349" s="227" t="s">
        <v>332</v>
      </c>
      <c r="D349" s="227" t="s">
        <v>332</v>
      </c>
      <c r="E349" s="227">
        <v>0.0</v>
      </c>
      <c r="F349" s="227">
        <v>0.0</v>
      </c>
      <c r="G349" s="221"/>
      <c r="H349" s="221"/>
      <c r="I349" s="221"/>
      <c r="J349" s="221"/>
      <c r="K349" s="221"/>
      <c r="L349" s="221"/>
      <c r="M349" s="221"/>
      <c r="N349" s="221"/>
      <c r="O349" s="221"/>
      <c r="P349" s="221"/>
      <c r="Q349" s="221"/>
      <c r="R349" s="221"/>
      <c r="S349" s="221"/>
      <c r="T349" s="221"/>
      <c r="U349" s="221"/>
      <c r="V349" s="221"/>
      <c r="W349" s="221"/>
      <c r="X349" s="221"/>
      <c r="Y349" s="221"/>
      <c r="Z349" s="221"/>
    </row>
    <row r="350">
      <c r="A350" s="225" t="s">
        <v>523</v>
      </c>
      <c r="B350" s="226" t="s">
        <v>137</v>
      </c>
      <c r="C350" s="227" t="s">
        <v>332</v>
      </c>
      <c r="D350" s="227" t="s">
        <v>332</v>
      </c>
      <c r="E350" s="227">
        <v>0.0</v>
      </c>
      <c r="F350" s="227">
        <v>0.0</v>
      </c>
      <c r="G350" s="221"/>
      <c r="H350" s="221"/>
      <c r="I350" s="221"/>
      <c r="J350" s="221"/>
      <c r="K350" s="221"/>
      <c r="L350" s="221"/>
      <c r="M350" s="221"/>
      <c r="N350" s="221"/>
      <c r="O350" s="221"/>
      <c r="P350" s="221"/>
      <c r="Q350" s="221"/>
      <c r="R350" s="221"/>
      <c r="S350" s="221"/>
      <c r="T350" s="221"/>
      <c r="U350" s="221"/>
      <c r="V350" s="221"/>
      <c r="W350" s="221"/>
      <c r="X350" s="221"/>
      <c r="Y350" s="221"/>
      <c r="Z350" s="221"/>
    </row>
    <row r="351">
      <c r="A351" s="225" t="s">
        <v>524</v>
      </c>
      <c r="B351" s="226" t="s">
        <v>137</v>
      </c>
      <c r="C351" s="227">
        <v>0.0</v>
      </c>
      <c r="D351" s="227" t="s">
        <v>332</v>
      </c>
      <c r="E351" s="227">
        <v>0.0</v>
      </c>
      <c r="F351" s="227">
        <v>0.0</v>
      </c>
      <c r="G351" s="221"/>
      <c r="H351" s="221"/>
      <c r="I351" s="221"/>
      <c r="J351" s="221"/>
      <c r="K351" s="221"/>
      <c r="L351" s="221"/>
      <c r="M351" s="221"/>
      <c r="N351" s="221"/>
      <c r="O351" s="221"/>
      <c r="P351" s="221"/>
      <c r="Q351" s="221"/>
      <c r="R351" s="221"/>
      <c r="S351" s="221"/>
      <c r="T351" s="221"/>
      <c r="U351" s="221"/>
      <c r="V351" s="221"/>
      <c r="W351" s="221"/>
      <c r="X351" s="221"/>
      <c r="Y351" s="221"/>
      <c r="Z351" s="221"/>
    </row>
    <row r="352">
      <c r="A352" s="225" t="s">
        <v>525</v>
      </c>
      <c r="B352" s="226" t="s">
        <v>137</v>
      </c>
      <c r="C352" s="227">
        <v>0.0</v>
      </c>
      <c r="D352" s="227" t="s">
        <v>332</v>
      </c>
      <c r="E352" s="227">
        <v>0.0</v>
      </c>
      <c r="F352" s="227">
        <v>0.0</v>
      </c>
      <c r="G352" s="221"/>
      <c r="H352" s="221"/>
      <c r="I352" s="221"/>
      <c r="J352" s="221"/>
      <c r="K352" s="221"/>
      <c r="L352" s="221"/>
      <c r="M352" s="221"/>
      <c r="N352" s="221"/>
      <c r="O352" s="221"/>
      <c r="P352" s="221"/>
      <c r="Q352" s="221"/>
      <c r="R352" s="221"/>
      <c r="S352" s="221"/>
      <c r="T352" s="221"/>
      <c r="U352" s="221"/>
      <c r="V352" s="221"/>
      <c r="W352" s="221"/>
      <c r="X352" s="221"/>
      <c r="Y352" s="221"/>
      <c r="Z352" s="221"/>
    </row>
    <row r="353">
      <c r="A353" s="225" t="s">
        <v>527</v>
      </c>
      <c r="B353" s="226" t="s">
        <v>137</v>
      </c>
      <c r="C353" s="227">
        <v>0.0</v>
      </c>
      <c r="D353" s="227" t="s">
        <v>332</v>
      </c>
      <c r="E353" s="227">
        <v>0.0</v>
      </c>
      <c r="F353" s="227">
        <v>0.0</v>
      </c>
      <c r="G353" s="221"/>
      <c r="H353" s="221"/>
      <c r="I353" s="221"/>
      <c r="J353" s="221"/>
      <c r="K353" s="221"/>
      <c r="L353" s="221"/>
      <c r="M353" s="221"/>
      <c r="N353" s="221"/>
      <c r="O353" s="221"/>
      <c r="P353" s="221"/>
      <c r="Q353" s="221"/>
      <c r="R353" s="221"/>
      <c r="S353" s="221"/>
      <c r="T353" s="221"/>
      <c r="U353" s="221"/>
      <c r="V353" s="221"/>
      <c r="W353" s="221"/>
      <c r="X353" s="221"/>
      <c r="Y353" s="221"/>
      <c r="Z353" s="221"/>
    </row>
    <row r="354">
      <c r="A354" s="225" t="s">
        <v>528</v>
      </c>
      <c r="B354" s="226" t="s">
        <v>137</v>
      </c>
      <c r="C354" s="227" t="s">
        <v>332</v>
      </c>
      <c r="D354" s="227" t="s">
        <v>332</v>
      </c>
      <c r="E354" s="227">
        <v>0.0</v>
      </c>
      <c r="F354" s="227">
        <v>0.0</v>
      </c>
      <c r="G354" s="221"/>
      <c r="H354" s="221"/>
      <c r="I354" s="221"/>
      <c r="J354" s="221"/>
      <c r="K354" s="221"/>
      <c r="L354" s="221"/>
      <c r="M354" s="221"/>
      <c r="N354" s="221"/>
      <c r="O354" s="221"/>
      <c r="P354" s="221"/>
      <c r="Q354" s="221"/>
      <c r="R354" s="221"/>
      <c r="S354" s="221"/>
      <c r="T354" s="221"/>
      <c r="U354" s="221"/>
      <c r="V354" s="221"/>
      <c r="W354" s="221"/>
      <c r="X354" s="221"/>
      <c r="Y354" s="221"/>
      <c r="Z354" s="221"/>
    </row>
    <row r="355">
      <c r="A355" s="225" t="s">
        <v>779</v>
      </c>
      <c r="B355" s="226" t="s">
        <v>137</v>
      </c>
      <c r="C355" s="227">
        <v>0.0</v>
      </c>
      <c r="D355" s="227" t="s">
        <v>332</v>
      </c>
      <c r="E355" s="227">
        <v>0.0</v>
      </c>
      <c r="F355" s="227">
        <v>0.0</v>
      </c>
      <c r="G355" s="221"/>
      <c r="H355" s="221"/>
      <c r="I355" s="221"/>
      <c r="J355" s="221"/>
      <c r="K355" s="221"/>
      <c r="L355" s="221"/>
      <c r="M355" s="221"/>
      <c r="N355" s="221"/>
      <c r="O355" s="221"/>
      <c r="P355" s="221"/>
      <c r="Q355" s="221"/>
      <c r="R355" s="221"/>
      <c r="S355" s="221"/>
      <c r="T355" s="221"/>
      <c r="U355" s="221"/>
      <c r="V355" s="221"/>
      <c r="W355" s="221"/>
      <c r="X355" s="221"/>
      <c r="Y355" s="221"/>
      <c r="Z355" s="221"/>
    </row>
    <row r="356">
      <c r="A356" s="225" t="s">
        <v>530</v>
      </c>
      <c r="B356" s="226" t="s">
        <v>137</v>
      </c>
      <c r="C356" s="227">
        <v>0.0</v>
      </c>
      <c r="D356" s="227" t="s">
        <v>332</v>
      </c>
      <c r="E356" s="227">
        <v>0.0</v>
      </c>
      <c r="F356" s="227">
        <v>0.0</v>
      </c>
      <c r="G356" s="221"/>
      <c r="H356" s="221"/>
      <c r="I356" s="221"/>
      <c r="J356" s="221"/>
      <c r="K356" s="221"/>
      <c r="L356" s="221"/>
      <c r="M356" s="221"/>
      <c r="N356" s="221"/>
      <c r="O356" s="221"/>
      <c r="P356" s="221"/>
      <c r="Q356" s="221"/>
      <c r="R356" s="221"/>
      <c r="S356" s="221"/>
      <c r="T356" s="221"/>
      <c r="U356" s="221"/>
      <c r="V356" s="221"/>
      <c r="W356" s="221"/>
      <c r="X356" s="221"/>
      <c r="Y356" s="221"/>
      <c r="Z356" s="221"/>
    </row>
    <row r="357">
      <c r="A357" s="225" t="s">
        <v>531</v>
      </c>
      <c r="B357" s="226" t="s">
        <v>137</v>
      </c>
      <c r="C357" s="227">
        <v>0.0</v>
      </c>
      <c r="D357" s="227" t="s">
        <v>319</v>
      </c>
      <c r="E357" s="227">
        <v>0.0</v>
      </c>
      <c r="F357" s="227">
        <v>0.0</v>
      </c>
      <c r="G357" s="221"/>
      <c r="H357" s="221"/>
      <c r="I357" s="221"/>
      <c r="J357" s="221"/>
      <c r="K357" s="221"/>
      <c r="L357" s="221"/>
      <c r="M357" s="221"/>
      <c r="N357" s="221"/>
      <c r="O357" s="221"/>
      <c r="P357" s="221"/>
      <c r="Q357" s="221"/>
      <c r="R357" s="221"/>
      <c r="S357" s="221"/>
      <c r="T357" s="221"/>
      <c r="U357" s="221"/>
      <c r="V357" s="221"/>
      <c r="W357" s="221"/>
      <c r="X357" s="221"/>
      <c r="Y357" s="221"/>
      <c r="Z357" s="221"/>
    </row>
    <row r="358">
      <c r="A358" s="225" t="s">
        <v>532</v>
      </c>
      <c r="B358" s="226" t="s">
        <v>137</v>
      </c>
      <c r="C358" s="227">
        <v>0.0</v>
      </c>
      <c r="D358" s="227">
        <v>0.0</v>
      </c>
      <c r="E358" s="227" t="s">
        <v>332</v>
      </c>
      <c r="F358" s="227" t="s">
        <v>332</v>
      </c>
      <c r="G358" s="221"/>
      <c r="H358" s="221"/>
      <c r="I358" s="221"/>
      <c r="J358" s="221"/>
      <c r="K358" s="221"/>
      <c r="L358" s="221"/>
      <c r="M358" s="221"/>
      <c r="N358" s="221"/>
      <c r="O358" s="221"/>
      <c r="P358" s="221"/>
      <c r="Q358" s="221"/>
      <c r="R358" s="221"/>
      <c r="S358" s="221"/>
      <c r="T358" s="221"/>
      <c r="U358" s="221"/>
      <c r="V358" s="221"/>
      <c r="W358" s="221"/>
      <c r="X358" s="221"/>
      <c r="Y358" s="221"/>
      <c r="Z358" s="221"/>
    </row>
    <row r="359">
      <c r="A359" s="225" t="s">
        <v>534</v>
      </c>
      <c r="B359" s="226" t="s">
        <v>137</v>
      </c>
      <c r="C359" s="227">
        <v>0.0</v>
      </c>
      <c r="D359" s="227" t="s">
        <v>332</v>
      </c>
      <c r="E359" s="227">
        <v>0.0</v>
      </c>
      <c r="F359" s="227">
        <v>0.0</v>
      </c>
      <c r="G359" s="221"/>
      <c r="H359" s="221"/>
      <c r="I359" s="221"/>
      <c r="J359" s="221"/>
      <c r="K359" s="221"/>
      <c r="L359" s="221"/>
      <c r="M359" s="221"/>
      <c r="N359" s="221"/>
      <c r="O359" s="221"/>
      <c r="P359" s="221"/>
      <c r="Q359" s="221"/>
      <c r="R359" s="221"/>
      <c r="S359" s="221"/>
      <c r="T359" s="221"/>
      <c r="U359" s="221"/>
      <c r="V359" s="221"/>
      <c r="W359" s="221"/>
      <c r="X359" s="221"/>
      <c r="Y359" s="221"/>
      <c r="Z359" s="221"/>
    </row>
    <row r="360">
      <c r="A360" s="225" t="s">
        <v>535</v>
      </c>
      <c r="B360" s="226" t="s">
        <v>137</v>
      </c>
      <c r="C360" s="227" t="s">
        <v>332</v>
      </c>
      <c r="D360" s="227" t="s">
        <v>332</v>
      </c>
      <c r="E360" s="227">
        <v>0.0</v>
      </c>
      <c r="F360" s="227">
        <v>0.0</v>
      </c>
      <c r="G360" s="221"/>
      <c r="H360" s="221"/>
      <c r="I360" s="221"/>
      <c r="J360" s="221"/>
      <c r="K360" s="221"/>
      <c r="L360" s="221"/>
      <c r="M360" s="221"/>
      <c r="N360" s="221"/>
      <c r="O360" s="221"/>
      <c r="P360" s="221"/>
      <c r="Q360" s="221"/>
      <c r="R360" s="221"/>
      <c r="S360" s="221"/>
      <c r="T360" s="221"/>
      <c r="U360" s="221"/>
      <c r="V360" s="221"/>
      <c r="W360" s="221"/>
      <c r="X360" s="221"/>
      <c r="Y360" s="221"/>
      <c r="Z360" s="221"/>
    </row>
    <row r="361">
      <c r="A361" s="225" t="s">
        <v>780</v>
      </c>
      <c r="B361" s="226" t="s">
        <v>138</v>
      </c>
      <c r="C361" s="227">
        <v>0.0</v>
      </c>
      <c r="D361" s="227" t="s">
        <v>332</v>
      </c>
      <c r="E361" s="227">
        <v>0.0</v>
      </c>
      <c r="F361" s="227">
        <v>0.0</v>
      </c>
      <c r="G361" s="221"/>
      <c r="H361" s="221"/>
      <c r="I361" s="221"/>
      <c r="J361" s="221"/>
      <c r="K361" s="221"/>
      <c r="L361" s="221"/>
      <c r="M361" s="221"/>
      <c r="N361" s="221"/>
      <c r="O361" s="221"/>
      <c r="P361" s="221"/>
      <c r="Q361" s="221"/>
      <c r="R361" s="221"/>
      <c r="S361" s="221"/>
      <c r="T361" s="221"/>
      <c r="U361" s="221"/>
      <c r="V361" s="221"/>
      <c r="W361" s="221"/>
      <c r="X361" s="221"/>
      <c r="Y361" s="221"/>
      <c r="Z361" s="221"/>
    </row>
    <row r="362">
      <c r="A362" s="225" t="s">
        <v>538</v>
      </c>
      <c r="B362" s="226" t="s">
        <v>138</v>
      </c>
      <c r="C362" s="227" t="s">
        <v>332</v>
      </c>
      <c r="D362" s="227" t="s">
        <v>319</v>
      </c>
      <c r="E362" s="227">
        <v>0.0</v>
      </c>
      <c r="F362" s="227">
        <v>0.0</v>
      </c>
      <c r="G362" s="221"/>
      <c r="H362" s="221"/>
      <c r="I362" s="221"/>
      <c r="J362" s="221"/>
      <c r="K362" s="221"/>
      <c r="L362" s="221"/>
      <c r="M362" s="221"/>
      <c r="N362" s="221"/>
      <c r="O362" s="221"/>
      <c r="P362" s="221"/>
      <c r="Q362" s="221"/>
      <c r="R362" s="221"/>
      <c r="S362" s="221"/>
      <c r="T362" s="221"/>
      <c r="U362" s="221"/>
      <c r="V362" s="221"/>
      <c r="W362" s="221"/>
      <c r="X362" s="221"/>
      <c r="Y362" s="221"/>
      <c r="Z362" s="221"/>
    </row>
    <row r="363">
      <c r="A363" s="225" t="s">
        <v>781</v>
      </c>
      <c r="B363" s="226" t="s">
        <v>138</v>
      </c>
      <c r="C363" s="227">
        <v>0.0</v>
      </c>
      <c r="D363" s="227" t="s">
        <v>332</v>
      </c>
      <c r="E363" s="227">
        <v>0.0</v>
      </c>
      <c r="F363" s="227">
        <v>0.0</v>
      </c>
      <c r="G363" s="221"/>
      <c r="H363" s="221"/>
      <c r="I363" s="221"/>
      <c r="J363" s="221"/>
      <c r="K363" s="221"/>
      <c r="L363" s="221"/>
      <c r="M363" s="221"/>
      <c r="N363" s="221"/>
      <c r="O363" s="221"/>
      <c r="P363" s="221"/>
      <c r="Q363" s="221"/>
      <c r="R363" s="221"/>
      <c r="S363" s="221"/>
      <c r="T363" s="221"/>
      <c r="U363" s="221"/>
      <c r="V363" s="221"/>
      <c r="W363" s="221"/>
      <c r="X363" s="221"/>
      <c r="Y363" s="221"/>
      <c r="Z363" s="221"/>
    </row>
    <row r="364">
      <c r="A364" s="225" t="s">
        <v>540</v>
      </c>
      <c r="B364" s="226" t="s">
        <v>138</v>
      </c>
      <c r="C364" s="227">
        <v>0.0</v>
      </c>
      <c r="D364" s="227" t="s">
        <v>332</v>
      </c>
      <c r="E364" s="227">
        <v>0.0</v>
      </c>
      <c r="F364" s="227">
        <v>0.0</v>
      </c>
      <c r="G364" s="221"/>
      <c r="H364" s="221"/>
      <c r="I364" s="221"/>
      <c r="J364" s="221"/>
      <c r="K364" s="221"/>
      <c r="L364" s="221"/>
      <c r="M364" s="221"/>
      <c r="N364" s="221"/>
      <c r="O364" s="221"/>
      <c r="P364" s="221"/>
      <c r="Q364" s="221"/>
      <c r="R364" s="221"/>
      <c r="S364" s="221"/>
      <c r="T364" s="221"/>
      <c r="U364" s="221"/>
      <c r="V364" s="221"/>
      <c r="W364" s="221"/>
      <c r="X364" s="221"/>
      <c r="Y364" s="221"/>
      <c r="Z364" s="221"/>
    </row>
    <row r="365">
      <c r="A365" s="225" t="s">
        <v>541</v>
      </c>
      <c r="B365" s="226" t="s">
        <v>138</v>
      </c>
      <c r="C365" s="227">
        <v>0.0</v>
      </c>
      <c r="D365" s="227" t="s">
        <v>332</v>
      </c>
      <c r="E365" s="227">
        <v>0.0</v>
      </c>
      <c r="F365" s="227">
        <v>0.0</v>
      </c>
      <c r="G365" s="221"/>
      <c r="H365" s="221"/>
      <c r="I365" s="221"/>
      <c r="J365" s="221"/>
      <c r="K365" s="221"/>
      <c r="L365" s="221"/>
      <c r="M365" s="221"/>
      <c r="N365" s="221"/>
      <c r="O365" s="221"/>
      <c r="P365" s="221"/>
      <c r="Q365" s="221"/>
      <c r="R365" s="221"/>
      <c r="S365" s="221"/>
      <c r="T365" s="221"/>
      <c r="U365" s="221"/>
      <c r="V365" s="221"/>
      <c r="W365" s="221"/>
      <c r="X365" s="221"/>
      <c r="Y365" s="221"/>
      <c r="Z365" s="221"/>
    </row>
    <row r="366">
      <c r="A366" s="225" t="s">
        <v>544</v>
      </c>
      <c r="B366" s="226" t="s">
        <v>545</v>
      </c>
      <c r="C366" s="227" t="s">
        <v>332</v>
      </c>
      <c r="D366" s="227" t="s">
        <v>332</v>
      </c>
      <c r="E366" s="227">
        <v>0.0</v>
      </c>
      <c r="F366" s="227">
        <v>0.0</v>
      </c>
      <c r="G366" s="221"/>
      <c r="H366" s="221"/>
      <c r="I366" s="221"/>
      <c r="J366" s="221"/>
      <c r="K366" s="221"/>
      <c r="L366" s="221"/>
      <c r="M366" s="221"/>
      <c r="N366" s="221"/>
      <c r="O366" s="221"/>
      <c r="P366" s="221"/>
      <c r="Q366" s="221"/>
      <c r="R366" s="221"/>
      <c r="S366" s="221"/>
      <c r="T366" s="221"/>
      <c r="U366" s="221"/>
      <c r="V366" s="221"/>
      <c r="W366" s="221"/>
      <c r="X366" s="221"/>
      <c r="Y366" s="221"/>
      <c r="Z366" s="221"/>
    </row>
    <row r="367">
      <c r="A367" s="225" t="s">
        <v>548</v>
      </c>
      <c r="B367" s="226" t="s">
        <v>139</v>
      </c>
      <c r="C367" s="227">
        <v>0.0</v>
      </c>
      <c r="D367" s="227" t="s">
        <v>332</v>
      </c>
      <c r="E367" s="227">
        <v>0.0</v>
      </c>
      <c r="F367" s="227">
        <v>0.0</v>
      </c>
      <c r="G367" s="221"/>
      <c r="H367" s="221"/>
      <c r="I367" s="221"/>
      <c r="J367" s="221"/>
      <c r="K367" s="221"/>
      <c r="L367" s="221"/>
      <c r="M367" s="221"/>
      <c r="N367" s="221"/>
      <c r="O367" s="221"/>
      <c r="P367" s="221"/>
      <c r="Q367" s="221"/>
      <c r="R367" s="221"/>
      <c r="S367" s="221"/>
      <c r="T367" s="221"/>
      <c r="U367" s="221"/>
      <c r="V367" s="221"/>
      <c r="W367" s="221"/>
      <c r="X367" s="221"/>
      <c r="Y367" s="221"/>
      <c r="Z367" s="221"/>
    </row>
    <row r="368">
      <c r="A368" s="225" t="s">
        <v>554</v>
      </c>
      <c r="B368" s="226" t="s">
        <v>140</v>
      </c>
      <c r="C368" s="227" t="s">
        <v>332</v>
      </c>
      <c r="D368" s="227" t="s">
        <v>332</v>
      </c>
      <c r="E368" s="227">
        <v>0.0</v>
      </c>
      <c r="F368" s="227">
        <v>0.0</v>
      </c>
      <c r="G368" s="221"/>
      <c r="H368" s="221"/>
      <c r="I368" s="221"/>
      <c r="J368" s="221"/>
      <c r="K368" s="221"/>
      <c r="L368" s="221"/>
      <c r="M368" s="221"/>
      <c r="N368" s="221"/>
      <c r="O368" s="221"/>
      <c r="P368" s="221"/>
      <c r="Q368" s="221"/>
      <c r="R368" s="221"/>
      <c r="S368" s="221"/>
      <c r="T368" s="221"/>
      <c r="U368" s="221"/>
      <c r="V368" s="221"/>
      <c r="W368" s="221"/>
      <c r="X368" s="221"/>
      <c r="Y368" s="221"/>
      <c r="Z368" s="221"/>
    </row>
    <row r="369">
      <c r="A369" s="225" t="s">
        <v>555</v>
      </c>
      <c r="B369" s="226" t="s">
        <v>140</v>
      </c>
      <c r="C369" s="227">
        <v>0.0</v>
      </c>
      <c r="D369" s="227" t="s">
        <v>332</v>
      </c>
      <c r="E369" s="227">
        <v>0.0</v>
      </c>
      <c r="F369" s="227">
        <v>0.0</v>
      </c>
      <c r="G369" s="221"/>
      <c r="H369" s="221"/>
      <c r="I369" s="221"/>
      <c r="J369" s="221"/>
      <c r="K369" s="221"/>
      <c r="L369" s="221"/>
      <c r="M369" s="221"/>
      <c r="N369" s="221"/>
      <c r="O369" s="221"/>
      <c r="P369" s="221"/>
      <c r="Q369" s="221"/>
      <c r="R369" s="221"/>
      <c r="S369" s="221"/>
      <c r="T369" s="221"/>
      <c r="U369" s="221"/>
      <c r="V369" s="221"/>
      <c r="W369" s="221"/>
      <c r="X369" s="221"/>
      <c r="Y369" s="221"/>
      <c r="Z369" s="221"/>
    </row>
    <row r="370">
      <c r="A370" s="225" t="s">
        <v>560</v>
      </c>
      <c r="B370" s="226" t="s">
        <v>140</v>
      </c>
      <c r="C370" s="227">
        <v>0.0</v>
      </c>
      <c r="D370" s="227" t="s">
        <v>332</v>
      </c>
      <c r="E370" s="227">
        <v>0.0</v>
      </c>
      <c r="F370" s="227">
        <v>0.0</v>
      </c>
      <c r="G370" s="221"/>
      <c r="H370" s="221"/>
      <c r="I370" s="221"/>
      <c r="J370" s="221"/>
      <c r="K370" s="221"/>
      <c r="L370" s="221"/>
      <c r="M370" s="221"/>
      <c r="N370" s="221"/>
      <c r="O370" s="221"/>
      <c r="P370" s="221"/>
      <c r="Q370" s="221"/>
      <c r="R370" s="221"/>
      <c r="S370" s="221"/>
      <c r="T370" s="221"/>
      <c r="U370" s="221"/>
      <c r="V370" s="221"/>
      <c r="W370" s="221"/>
      <c r="X370" s="221"/>
      <c r="Y370" s="221"/>
      <c r="Z370" s="221"/>
    </row>
    <row r="371">
      <c r="A371" s="225" t="s">
        <v>561</v>
      </c>
      <c r="B371" s="226" t="s">
        <v>140</v>
      </c>
      <c r="C371" s="227">
        <v>0.0</v>
      </c>
      <c r="D371" s="227" t="s">
        <v>332</v>
      </c>
      <c r="E371" s="227">
        <v>0.0</v>
      </c>
      <c r="F371" s="227">
        <v>0.0</v>
      </c>
      <c r="G371" s="221"/>
      <c r="H371" s="221"/>
      <c r="I371" s="221"/>
      <c r="J371" s="221"/>
      <c r="K371" s="221"/>
      <c r="L371" s="221"/>
      <c r="M371" s="221"/>
      <c r="N371" s="221"/>
      <c r="O371" s="221"/>
      <c r="P371" s="221"/>
      <c r="Q371" s="221"/>
      <c r="R371" s="221"/>
      <c r="S371" s="221"/>
      <c r="T371" s="221"/>
      <c r="U371" s="221"/>
      <c r="V371" s="221"/>
      <c r="W371" s="221"/>
      <c r="X371" s="221"/>
      <c r="Y371" s="221"/>
      <c r="Z371" s="221"/>
    </row>
    <row r="372">
      <c r="A372" s="225" t="s">
        <v>562</v>
      </c>
      <c r="B372" s="226" t="s">
        <v>140</v>
      </c>
      <c r="C372" s="227" t="s">
        <v>332</v>
      </c>
      <c r="D372" s="227" t="s">
        <v>332</v>
      </c>
      <c r="E372" s="227">
        <v>0.0</v>
      </c>
      <c r="F372" s="227">
        <v>0.0</v>
      </c>
      <c r="G372" s="221"/>
      <c r="H372" s="221"/>
      <c r="I372" s="221"/>
      <c r="J372" s="221"/>
      <c r="K372" s="221"/>
      <c r="L372" s="221"/>
      <c r="M372" s="221"/>
      <c r="N372" s="221"/>
      <c r="O372" s="221"/>
      <c r="P372" s="221"/>
      <c r="Q372" s="221"/>
      <c r="R372" s="221"/>
      <c r="S372" s="221"/>
      <c r="T372" s="221"/>
      <c r="U372" s="221"/>
      <c r="V372" s="221"/>
      <c r="W372" s="221"/>
      <c r="X372" s="221"/>
      <c r="Y372" s="221"/>
      <c r="Z372" s="221"/>
    </row>
    <row r="373">
      <c r="A373" s="225" t="s">
        <v>564</v>
      </c>
      <c r="B373" s="226" t="s">
        <v>565</v>
      </c>
      <c r="C373" s="227" t="s">
        <v>332</v>
      </c>
      <c r="D373" s="227" t="s">
        <v>332</v>
      </c>
      <c r="E373" s="227">
        <v>0.0</v>
      </c>
      <c r="F373" s="227">
        <v>0.0</v>
      </c>
      <c r="G373" s="221"/>
      <c r="H373" s="221"/>
      <c r="I373" s="221"/>
      <c r="J373" s="221"/>
      <c r="K373" s="221"/>
      <c r="L373" s="221"/>
      <c r="M373" s="221"/>
      <c r="N373" s="221"/>
      <c r="O373" s="221"/>
      <c r="P373" s="221"/>
      <c r="Q373" s="221"/>
      <c r="R373" s="221"/>
      <c r="S373" s="221"/>
      <c r="T373" s="221"/>
      <c r="U373" s="221"/>
      <c r="V373" s="221"/>
      <c r="W373" s="221"/>
      <c r="X373" s="221"/>
      <c r="Y373" s="221"/>
      <c r="Z373" s="221"/>
    </row>
    <row r="374">
      <c r="A374" s="225" t="s">
        <v>782</v>
      </c>
      <c r="B374" s="226" t="s">
        <v>565</v>
      </c>
      <c r="C374" s="227">
        <v>0.0</v>
      </c>
      <c r="D374" s="227" t="s">
        <v>332</v>
      </c>
      <c r="E374" s="227">
        <v>0.0</v>
      </c>
      <c r="F374" s="227">
        <v>0.0</v>
      </c>
      <c r="G374" s="221"/>
      <c r="H374" s="221"/>
      <c r="I374" s="221"/>
      <c r="J374" s="221"/>
      <c r="K374" s="221"/>
      <c r="L374" s="221"/>
      <c r="M374" s="221"/>
      <c r="N374" s="221"/>
      <c r="O374" s="221"/>
      <c r="P374" s="221"/>
      <c r="Q374" s="221"/>
      <c r="R374" s="221"/>
      <c r="S374" s="221"/>
      <c r="T374" s="221"/>
      <c r="U374" s="221"/>
      <c r="V374" s="221"/>
      <c r="W374" s="221"/>
      <c r="X374" s="221"/>
      <c r="Y374" s="221"/>
      <c r="Z374" s="221"/>
    </row>
    <row r="375">
      <c r="A375" s="225" t="s">
        <v>566</v>
      </c>
      <c r="B375" s="226" t="s">
        <v>565</v>
      </c>
      <c r="C375" s="227" t="s">
        <v>332</v>
      </c>
      <c r="D375" s="227" t="s">
        <v>332</v>
      </c>
      <c r="E375" s="227">
        <v>0.0</v>
      </c>
      <c r="F375" s="227">
        <v>0.0</v>
      </c>
      <c r="G375" s="221"/>
      <c r="H375" s="221"/>
      <c r="I375" s="221"/>
      <c r="J375" s="221"/>
      <c r="K375" s="221"/>
      <c r="L375" s="221"/>
      <c r="M375" s="221"/>
      <c r="N375" s="221"/>
      <c r="O375" s="221"/>
      <c r="P375" s="221"/>
      <c r="Q375" s="221"/>
      <c r="R375" s="221"/>
      <c r="S375" s="221"/>
      <c r="T375" s="221"/>
      <c r="U375" s="221"/>
      <c r="V375" s="221"/>
      <c r="W375" s="221"/>
      <c r="X375" s="221"/>
      <c r="Y375" s="221"/>
      <c r="Z375" s="221"/>
    </row>
    <row r="376">
      <c r="A376" s="225" t="s">
        <v>568</v>
      </c>
      <c r="B376" s="226" t="s">
        <v>569</v>
      </c>
      <c r="C376" s="227">
        <v>0.0</v>
      </c>
      <c r="D376" s="227" t="s">
        <v>332</v>
      </c>
      <c r="E376" s="227">
        <v>0.0</v>
      </c>
      <c r="F376" s="227">
        <v>0.0</v>
      </c>
      <c r="G376" s="221"/>
      <c r="H376" s="221"/>
      <c r="I376" s="221"/>
      <c r="J376" s="221"/>
      <c r="K376" s="221"/>
      <c r="L376" s="221"/>
      <c r="M376" s="221"/>
      <c r="N376" s="221"/>
      <c r="O376" s="221"/>
      <c r="P376" s="221"/>
      <c r="Q376" s="221"/>
      <c r="R376" s="221"/>
      <c r="S376" s="221"/>
      <c r="T376" s="221"/>
      <c r="U376" s="221"/>
      <c r="V376" s="221"/>
      <c r="W376" s="221"/>
      <c r="X376" s="221"/>
      <c r="Y376" s="221"/>
      <c r="Z376" s="221"/>
    </row>
    <row r="377">
      <c r="A377" s="225" t="s">
        <v>571</v>
      </c>
      <c r="B377" s="226" t="s">
        <v>572</v>
      </c>
      <c r="C377" s="227">
        <v>0.0</v>
      </c>
      <c r="D377" s="227" t="s">
        <v>332</v>
      </c>
      <c r="E377" s="227">
        <v>0.0</v>
      </c>
      <c r="F377" s="227">
        <v>0.0</v>
      </c>
      <c r="G377" s="221"/>
      <c r="H377" s="221"/>
      <c r="I377" s="221"/>
      <c r="J377" s="221"/>
      <c r="K377" s="221"/>
      <c r="L377" s="221"/>
      <c r="M377" s="221"/>
      <c r="N377" s="221"/>
      <c r="O377" s="221"/>
      <c r="P377" s="221"/>
      <c r="Q377" s="221"/>
      <c r="R377" s="221"/>
      <c r="S377" s="221"/>
      <c r="T377" s="221"/>
      <c r="U377" s="221"/>
      <c r="V377" s="221"/>
      <c r="W377" s="221"/>
      <c r="X377" s="221"/>
      <c r="Y377" s="221"/>
      <c r="Z377" s="221"/>
    </row>
    <row r="378">
      <c r="A378" s="225" t="s">
        <v>573</v>
      </c>
      <c r="B378" s="226" t="s">
        <v>572</v>
      </c>
      <c r="C378" s="227" t="s">
        <v>332</v>
      </c>
      <c r="D378" s="227" t="s">
        <v>332</v>
      </c>
      <c r="E378" s="227">
        <v>0.0</v>
      </c>
      <c r="F378" s="227">
        <v>0.0</v>
      </c>
      <c r="G378" s="221"/>
      <c r="H378" s="221"/>
      <c r="I378" s="221"/>
      <c r="J378" s="221"/>
      <c r="K378" s="221"/>
      <c r="L378" s="221"/>
      <c r="M378" s="221"/>
      <c r="N378" s="221"/>
      <c r="O378" s="221"/>
      <c r="P378" s="221"/>
      <c r="Q378" s="221"/>
      <c r="R378" s="221"/>
      <c r="S378" s="221"/>
      <c r="T378" s="221"/>
      <c r="U378" s="221"/>
      <c r="V378" s="221"/>
      <c r="W378" s="221"/>
      <c r="X378" s="221"/>
      <c r="Y378" s="221"/>
      <c r="Z378" s="221"/>
    </row>
    <row r="379">
      <c r="A379" s="225" t="s">
        <v>574</v>
      </c>
      <c r="B379" s="226" t="s">
        <v>575</v>
      </c>
      <c r="C379" s="227">
        <v>0.0</v>
      </c>
      <c r="D379" s="227" t="s">
        <v>332</v>
      </c>
      <c r="E379" s="227">
        <v>0.0</v>
      </c>
      <c r="F379" s="227">
        <v>0.0</v>
      </c>
      <c r="G379" s="221"/>
      <c r="H379" s="221"/>
      <c r="I379" s="221"/>
      <c r="J379" s="221"/>
      <c r="K379" s="221"/>
      <c r="L379" s="221"/>
      <c r="M379" s="221"/>
      <c r="N379" s="221"/>
      <c r="O379" s="221"/>
      <c r="P379" s="221"/>
      <c r="Q379" s="221"/>
      <c r="R379" s="221"/>
      <c r="S379" s="221"/>
      <c r="T379" s="221"/>
      <c r="U379" s="221"/>
      <c r="V379" s="221"/>
      <c r="W379" s="221"/>
      <c r="X379" s="221"/>
      <c r="Y379" s="221"/>
      <c r="Z379" s="221"/>
    </row>
    <row r="380">
      <c r="A380" s="225" t="s">
        <v>783</v>
      </c>
      <c r="B380" s="226" t="s">
        <v>146</v>
      </c>
      <c r="C380" s="227">
        <v>0.0</v>
      </c>
      <c r="D380" s="227" t="s">
        <v>332</v>
      </c>
      <c r="E380" s="227">
        <v>0.0</v>
      </c>
      <c r="F380" s="227">
        <v>0.0</v>
      </c>
      <c r="G380" s="221"/>
      <c r="H380" s="221"/>
      <c r="I380" s="221"/>
      <c r="J380" s="221"/>
      <c r="K380" s="221"/>
      <c r="L380" s="221"/>
      <c r="M380" s="221"/>
      <c r="N380" s="221"/>
      <c r="O380" s="221"/>
      <c r="P380" s="221"/>
      <c r="Q380" s="221"/>
      <c r="R380" s="221"/>
      <c r="S380" s="221"/>
      <c r="T380" s="221"/>
      <c r="U380" s="221"/>
      <c r="V380" s="221"/>
      <c r="W380" s="221"/>
      <c r="X380" s="221"/>
      <c r="Y380" s="221"/>
      <c r="Z380" s="221"/>
    </row>
    <row r="381">
      <c r="A381" s="225" t="s">
        <v>578</v>
      </c>
      <c r="B381" s="226" t="s">
        <v>146</v>
      </c>
      <c r="C381" s="227" t="s">
        <v>332</v>
      </c>
      <c r="D381" s="227" t="s">
        <v>319</v>
      </c>
      <c r="E381" s="227">
        <v>0.0</v>
      </c>
      <c r="F381" s="227">
        <v>0.0</v>
      </c>
      <c r="G381" s="221"/>
      <c r="H381" s="221"/>
      <c r="I381" s="221"/>
      <c r="J381" s="221"/>
      <c r="K381" s="221"/>
      <c r="L381" s="221"/>
      <c r="M381" s="221"/>
      <c r="N381" s="221"/>
      <c r="O381" s="221"/>
      <c r="P381" s="221"/>
      <c r="Q381" s="221"/>
      <c r="R381" s="221"/>
      <c r="S381" s="221"/>
      <c r="T381" s="221"/>
      <c r="U381" s="221"/>
      <c r="V381" s="221"/>
      <c r="W381" s="221"/>
      <c r="X381" s="221"/>
      <c r="Y381" s="221"/>
      <c r="Z381" s="221"/>
    </row>
    <row r="382">
      <c r="A382" s="225" t="s">
        <v>579</v>
      </c>
      <c r="B382" s="226" t="s">
        <v>146</v>
      </c>
      <c r="C382" s="227">
        <v>0.0</v>
      </c>
      <c r="D382" s="227" t="s">
        <v>332</v>
      </c>
      <c r="E382" s="227">
        <v>0.0</v>
      </c>
      <c r="F382" s="227">
        <v>0.0</v>
      </c>
      <c r="G382" s="221"/>
      <c r="H382" s="221"/>
      <c r="I382" s="221"/>
      <c r="J382" s="221"/>
      <c r="K382" s="221"/>
      <c r="L382" s="221"/>
      <c r="M382" s="221"/>
      <c r="N382" s="221"/>
      <c r="O382" s="221"/>
      <c r="P382" s="221"/>
      <c r="Q382" s="221"/>
      <c r="R382" s="221"/>
      <c r="S382" s="221"/>
      <c r="T382" s="221"/>
      <c r="U382" s="221"/>
      <c r="V382" s="221"/>
      <c r="W382" s="221"/>
      <c r="X382" s="221"/>
      <c r="Y382" s="221"/>
      <c r="Z382" s="221"/>
    </row>
    <row r="383">
      <c r="A383" s="225" t="s">
        <v>580</v>
      </c>
      <c r="B383" s="226" t="s">
        <v>146</v>
      </c>
      <c r="C383" s="227" t="s">
        <v>332</v>
      </c>
      <c r="D383" s="227" t="s">
        <v>332</v>
      </c>
      <c r="E383" s="227">
        <v>0.0</v>
      </c>
      <c r="F383" s="227" t="s">
        <v>332</v>
      </c>
      <c r="G383" s="221"/>
      <c r="H383" s="221"/>
      <c r="I383" s="221"/>
      <c r="J383" s="221"/>
      <c r="K383" s="221"/>
      <c r="L383" s="221"/>
      <c r="M383" s="221"/>
      <c r="N383" s="221"/>
      <c r="O383" s="221"/>
      <c r="P383" s="221"/>
      <c r="Q383" s="221"/>
      <c r="R383" s="221"/>
      <c r="S383" s="221"/>
      <c r="T383" s="221"/>
      <c r="U383" s="221"/>
      <c r="V383" s="221"/>
      <c r="W383" s="221"/>
      <c r="X383" s="221"/>
      <c r="Y383" s="221"/>
      <c r="Z383" s="221"/>
    </row>
    <row r="384">
      <c r="A384" s="225" t="s">
        <v>581</v>
      </c>
      <c r="B384" s="226" t="s">
        <v>146</v>
      </c>
      <c r="C384" s="227" t="s">
        <v>332</v>
      </c>
      <c r="D384" s="227" t="s">
        <v>332</v>
      </c>
      <c r="E384" s="227">
        <v>0.0</v>
      </c>
      <c r="F384" s="227">
        <v>0.0</v>
      </c>
      <c r="G384" s="221"/>
      <c r="H384" s="221"/>
      <c r="I384" s="221"/>
      <c r="J384" s="221"/>
      <c r="K384" s="221"/>
      <c r="L384" s="221"/>
      <c r="M384" s="221"/>
      <c r="N384" s="221"/>
      <c r="O384" s="221"/>
      <c r="P384" s="221"/>
      <c r="Q384" s="221"/>
      <c r="R384" s="221"/>
      <c r="S384" s="221"/>
      <c r="T384" s="221"/>
      <c r="U384" s="221"/>
      <c r="V384" s="221"/>
      <c r="W384" s="221"/>
      <c r="X384" s="221"/>
      <c r="Y384" s="221"/>
      <c r="Z384" s="221"/>
    </row>
    <row r="385">
      <c r="A385" s="225" t="s">
        <v>582</v>
      </c>
      <c r="B385" s="226" t="s">
        <v>146</v>
      </c>
      <c r="C385" s="227">
        <v>0.0</v>
      </c>
      <c r="D385" s="227" t="s">
        <v>332</v>
      </c>
      <c r="E385" s="227">
        <v>0.0</v>
      </c>
      <c r="F385" s="227">
        <v>0.0</v>
      </c>
      <c r="G385" s="221"/>
      <c r="H385" s="221"/>
      <c r="I385" s="221"/>
      <c r="J385" s="221"/>
      <c r="K385" s="221"/>
      <c r="L385" s="221"/>
      <c r="M385" s="221"/>
      <c r="N385" s="221"/>
      <c r="O385" s="221"/>
      <c r="P385" s="221"/>
      <c r="Q385" s="221"/>
      <c r="R385" s="221"/>
      <c r="S385" s="221"/>
      <c r="T385" s="221"/>
      <c r="U385" s="221"/>
      <c r="V385" s="221"/>
      <c r="W385" s="221"/>
      <c r="X385" s="221"/>
      <c r="Y385" s="221"/>
      <c r="Z385" s="221"/>
    </row>
    <row r="386">
      <c r="A386" s="225" t="s">
        <v>584</v>
      </c>
      <c r="B386" s="226" t="s">
        <v>585</v>
      </c>
      <c r="C386" s="227" t="s">
        <v>332</v>
      </c>
      <c r="D386" s="227" t="s">
        <v>332</v>
      </c>
      <c r="E386" s="227">
        <v>0.0</v>
      </c>
      <c r="F386" s="227" t="s">
        <v>332</v>
      </c>
      <c r="G386" s="221"/>
      <c r="H386" s="221"/>
      <c r="I386" s="221"/>
      <c r="J386" s="221"/>
      <c r="K386" s="221"/>
      <c r="L386" s="221"/>
      <c r="M386" s="221"/>
      <c r="N386" s="221"/>
      <c r="O386" s="221"/>
      <c r="P386" s="221"/>
      <c r="Q386" s="221"/>
      <c r="R386" s="221"/>
      <c r="S386" s="221"/>
      <c r="T386" s="221"/>
      <c r="U386" s="221"/>
      <c r="V386" s="221"/>
      <c r="W386" s="221"/>
      <c r="X386" s="221"/>
      <c r="Y386" s="221"/>
      <c r="Z386" s="221"/>
    </row>
    <row r="387">
      <c r="A387" s="225" t="s">
        <v>587</v>
      </c>
      <c r="B387" s="226" t="s">
        <v>147</v>
      </c>
      <c r="C387" s="227">
        <v>0.0</v>
      </c>
      <c r="D387" s="227" t="s">
        <v>332</v>
      </c>
      <c r="E387" s="227">
        <v>0.0</v>
      </c>
      <c r="F387" s="227">
        <v>0.0</v>
      </c>
      <c r="G387" s="221"/>
      <c r="H387" s="221"/>
      <c r="I387" s="221"/>
      <c r="J387" s="221"/>
      <c r="K387" s="221"/>
      <c r="L387" s="221"/>
      <c r="M387" s="221"/>
      <c r="N387" s="221"/>
      <c r="O387" s="221"/>
      <c r="P387" s="221"/>
      <c r="Q387" s="221"/>
      <c r="R387" s="221"/>
      <c r="S387" s="221"/>
      <c r="T387" s="221"/>
      <c r="U387" s="221"/>
      <c r="V387" s="221"/>
      <c r="W387" s="221"/>
      <c r="X387" s="221"/>
      <c r="Y387" s="221"/>
      <c r="Z387" s="221"/>
    </row>
    <row r="388">
      <c r="A388" s="225" t="s">
        <v>588</v>
      </c>
      <c r="B388" s="226" t="s">
        <v>147</v>
      </c>
      <c r="C388" s="227" t="s">
        <v>332</v>
      </c>
      <c r="D388" s="227" t="s">
        <v>332</v>
      </c>
      <c r="E388" s="227">
        <v>0.0</v>
      </c>
      <c r="F388" s="227">
        <v>0.0</v>
      </c>
      <c r="G388" s="221"/>
      <c r="H388" s="221"/>
      <c r="I388" s="221"/>
      <c r="J388" s="221"/>
      <c r="K388" s="221"/>
      <c r="L388" s="221"/>
      <c r="M388" s="221"/>
      <c r="N388" s="221"/>
      <c r="O388" s="221"/>
      <c r="P388" s="221"/>
      <c r="Q388" s="221"/>
      <c r="R388" s="221"/>
      <c r="S388" s="221"/>
      <c r="T388" s="221"/>
      <c r="U388" s="221"/>
      <c r="V388" s="221"/>
      <c r="W388" s="221"/>
      <c r="X388" s="221"/>
      <c r="Y388" s="221"/>
      <c r="Z388" s="221"/>
    </row>
    <row r="389">
      <c r="A389" s="225" t="s">
        <v>590</v>
      </c>
      <c r="B389" s="226" t="s">
        <v>147</v>
      </c>
      <c r="C389" s="227">
        <v>0.0</v>
      </c>
      <c r="D389" s="227" t="s">
        <v>332</v>
      </c>
      <c r="E389" s="227">
        <v>0.0</v>
      </c>
      <c r="F389" s="227">
        <v>0.0</v>
      </c>
      <c r="G389" s="221"/>
      <c r="H389" s="221"/>
      <c r="I389" s="221"/>
      <c r="J389" s="221"/>
      <c r="K389" s="221"/>
      <c r="L389" s="221"/>
      <c r="M389" s="221"/>
      <c r="N389" s="221"/>
      <c r="O389" s="221"/>
      <c r="P389" s="221"/>
      <c r="Q389" s="221"/>
      <c r="R389" s="221"/>
      <c r="S389" s="221"/>
      <c r="T389" s="221"/>
      <c r="U389" s="221"/>
      <c r="V389" s="221"/>
      <c r="W389" s="221"/>
      <c r="X389" s="221"/>
      <c r="Y389" s="221"/>
      <c r="Z389" s="221"/>
    </row>
    <row r="390">
      <c r="A390" s="225" t="s">
        <v>592</v>
      </c>
      <c r="B390" s="226" t="s">
        <v>593</v>
      </c>
      <c r="C390" s="227" t="s">
        <v>332</v>
      </c>
      <c r="D390" s="227" t="s">
        <v>319</v>
      </c>
      <c r="E390" s="227" t="s">
        <v>332</v>
      </c>
      <c r="F390" s="227" t="s">
        <v>332</v>
      </c>
      <c r="G390" s="221"/>
      <c r="H390" s="221"/>
      <c r="I390" s="221"/>
      <c r="J390" s="221"/>
      <c r="K390" s="221"/>
      <c r="L390" s="221"/>
      <c r="M390" s="221"/>
      <c r="N390" s="221"/>
      <c r="O390" s="221"/>
      <c r="P390" s="221"/>
      <c r="Q390" s="221"/>
      <c r="R390" s="221"/>
      <c r="S390" s="221"/>
      <c r="T390" s="221"/>
      <c r="U390" s="221"/>
      <c r="V390" s="221"/>
      <c r="W390" s="221"/>
      <c r="X390" s="221"/>
      <c r="Y390" s="221"/>
      <c r="Z390" s="221"/>
    </row>
    <row r="391">
      <c r="A391" s="225" t="s">
        <v>596</v>
      </c>
      <c r="B391" s="226" t="s">
        <v>149</v>
      </c>
      <c r="C391" s="227">
        <v>0.0</v>
      </c>
      <c r="D391" s="227" t="s">
        <v>332</v>
      </c>
      <c r="E391" s="227">
        <v>0.0</v>
      </c>
      <c r="F391" s="227">
        <v>0.0</v>
      </c>
      <c r="G391" s="221"/>
      <c r="H391" s="221"/>
      <c r="I391" s="221"/>
      <c r="J391" s="221"/>
      <c r="K391" s="221"/>
      <c r="L391" s="221"/>
      <c r="M391" s="221"/>
      <c r="N391" s="221"/>
      <c r="O391" s="221"/>
      <c r="P391" s="221"/>
      <c r="Q391" s="221"/>
      <c r="R391" s="221"/>
      <c r="S391" s="221"/>
      <c r="T391" s="221"/>
      <c r="U391" s="221"/>
      <c r="V391" s="221"/>
      <c r="W391" s="221"/>
      <c r="X391" s="221"/>
      <c r="Y391" s="221"/>
      <c r="Z391" s="221"/>
    </row>
    <row r="392">
      <c r="A392" s="225" t="s">
        <v>602</v>
      </c>
      <c r="B392" s="226" t="s">
        <v>153</v>
      </c>
      <c r="C392" s="227" t="s">
        <v>332</v>
      </c>
      <c r="D392" s="227" t="s">
        <v>332</v>
      </c>
      <c r="E392" s="227">
        <v>0.0</v>
      </c>
      <c r="F392" s="227">
        <v>0.0</v>
      </c>
      <c r="G392" s="221"/>
      <c r="H392" s="221"/>
      <c r="I392" s="221"/>
      <c r="J392" s="221"/>
      <c r="K392" s="221"/>
      <c r="L392" s="221"/>
      <c r="M392" s="221"/>
      <c r="N392" s="221"/>
      <c r="O392" s="221"/>
      <c r="P392" s="221"/>
      <c r="Q392" s="221"/>
      <c r="R392" s="221"/>
      <c r="S392" s="221"/>
      <c r="T392" s="221"/>
      <c r="U392" s="221"/>
      <c r="V392" s="221"/>
      <c r="W392" s="221"/>
      <c r="X392" s="221"/>
      <c r="Y392" s="221"/>
      <c r="Z392" s="221"/>
    </row>
    <row r="393">
      <c r="A393" s="225" t="s">
        <v>604</v>
      </c>
      <c r="B393" s="226" t="s">
        <v>153</v>
      </c>
      <c r="C393" s="227">
        <v>0.0</v>
      </c>
      <c r="D393" s="227" t="s">
        <v>332</v>
      </c>
      <c r="E393" s="227">
        <v>0.0</v>
      </c>
      <c r="F393" s="227">
        <v>0.0</v>
      </c>
      <c r="G393" s="221"/>
      <c r="H393" s="221"/>
      <c r="I393" s="221"/>
      <c r="J393" s="221"/>
      <c r="K393" s="221"/>
      <c r="L393" s="221"/>
      <c r="M393" s="221"/>
      <c r="N393" s="221"/>
      <c r="O393" s="221"/>
      <c r="P393" s="221"/>
      <c r="Q393" s="221"/>
      <c r="R393" s="221"/>
      <c r="S393" s="221"/>
      <c r="T393" s="221"/>
      <c r="U393" s="221"/>
      <c r="V393" s="221"/>
      <c r="W393" s="221"/>
      <c r="X393" s="221"/>
      <c r="Y393" s="221"/>
      <c r="Z393" s="221"/>
    </row>
    <row r="394">
      <c r="A394" s="225" t="s">
        <v>608</v>
      </c>
      <c r="B394" s="226" t="s">
        <v>154</v>
      </c>
      <c r="C394" s="227">
        <v>0.0</v>
      </c>
      <c r="D394" s="227" t="s">
        <v>332</v>
      </c>
      <c r="E394" s="227">
        <v>0.0</v>
      </c>
      <c r="F394" s="227">
        <v>0.0</v>
      </c>
      <c r="G394" s="221"/>
      <c r="H394" s="221"/>
      <c r="I394" s="221"/>
      <c r="J394" s="221"/>
      <c r="K394" s="221"/>
      <c r="L394" s="221"/>
      <c r="M394" s="221"/>
      <c r="N394" s="221"/>
      <c r="O394" s="221"/>
      <c r="P394" s="221"/>
      <c r="Q394" s="221"/>
      <c r="R394" s="221"/>
      <c r="S394" s="221"/>
      <c r="T394" s="221"/>
      <c r="U394" s="221"/>
      <c r="V394" s="221"/>
      <c r="W394" s="221"/>
      <c r="X394" s="221"/>
      <c r="Y394" s="221"/>
      <c r="Z394" s="221"/>
    </row>
    <row r="395">
      <c r="A395" s="225" t="s">
        <v>784</v>
      </c>
      <c r="B395" s="226" t="s">
        <v>154</v>
      </c>
      <c r="C395" s="227">
        <v>0.0</v>
      </c>
      <c r="D395" s="227" t="s">
        <v>332</v>
      </c>
      <c r="E395" s="227">
        <v>0.0</v>
      </c>
      <c r="F395" s="227">
        <v>0.0</v>
      </c>
      <c r="G395" s="221"/>
      <c r="H395" s="221"/>
      <c r="I395" s="221"/>
      <c r="J395" s="221"/>
      <c r="K395" s="221"/>
      <c r="L395" s="221"/>
      <c r="M395" s="221"/>
      <c r="N395" s="221"/>
      <c r="O395" s="221"/>
      <c r="P395" s="221"/>
      <c r="Q395" s="221"/>
      <c r="R395" s="221"/>
      <c r="S395" s="221"/>
      <c r="T395" s="221"/>
      <c r="U395" s="221"/>
      <c r="V395" s="221"/>
      <c r="W395" s="221"/>
      <c r="X395" s="221"/>
      <c r="Y395" s="221"/>
      <c r="Z395" s="221"/>
    </row>
    <row r="396">
      <c r="A396" s="225" t="s">
        <v>609</v>
      </c>
      <c r="B396" s="226" t="s">
        <v>154</v>
      </c>
      <c r="C396" s="227">
        <v>0.0</v>
      </c>
      <c r="D396" s="227" t="s">
        <v>332</v>
      </c>
      <c r="E396" s="227">
        <v>0.0</v>
      </c>
      <c r="F396" s="227">
        <v>0.0</v>
      </c>
      <c r="G396" s="221"/>
      <c r="H396" s="221"/>
      <c r="I396" s="221"/>
      <c r="J396" s="221"/>
      <c r="K396" s="221"/>
      <c r="L396" s="221"/>
      <c r="M396" s="221"/>
      <c r="N396" s="221"/>
      <c r="O396" s="221"/>
      <c r="P396" s="221"/>
      <c r="Q396" s="221"/>
      <c r="R396" s="221"/>
      <c r="S396" s="221"/>
      <c r="T396" s="221"/>
      <c r="U396" s="221"/>
      <c r="V396" s="221"/>
      <c r="W396" s="221"/>
      <c r="X396" s="221"/>
      <c r="Y396" s="221"/>
      <c r="Z396" s="221"/>
    </row>
    <row r="397">
      <c r="A397" s="225" t="s">
        <v>610</v>
      </c>
      <c r="B397" s="226" t="s">
        <v>154</v>
      </c>
      <c r="C397" s="227">
        <v>0.0</v>
      </c>
      <c r="D397" s="227" t="s">
        <v>332</v>
      </c>
      <c r="E397" s="227">
        <v>0.0</v>
      </c>
      <c r="F397" s="227">
        <v>0.0</v>
      </c>
      <c r="G397" s="221"/>
      <c r="H397" s="221"/>
      <c r="I397" s="221"/>
      <c r="J397" s="221"/>
      <c r="K397" s="221"/>
      <c r="L397" s="221"/>
      <c r="M397" s="221"/>
      <c r="N397" s="221"/>
      <c r="O397" s="221"/>
      <c r="P397" s="221"/>
      <c r="Q397" s="221"/>
      <c r="R397" s="221"/>
      <c r="S397" s="221"/>
      <c r="T397" s="221"/>
      <c r="U397" s="221"/>
      <c r="V397" s="221"/>
      <c r="W397" s="221"/>
      <c r="X397" s="221"/>
      <c r="Y397" s="221"/>
      <c r="Z397" s="221"/>
    </row>
    <row r="398">
      <c r="A398" s="225" t="s">
        <v>611</v>
      </c>
      <c r="B398" s="226" t="s">
        <v>154</v>
      </c>
      <c r="C398" s="227">
        <v>0.0</v>
      </c>
      <c r="D398" s="227" t="s">
        <v>332</v>
      </c>
      <c r="E398" s="227">
        <v>0.0</v>
      </c>
      <c r="F398" s="227">
        <v>0.0</v>
      </c>
      <c r="G398" s="221"/>
      <c r="H398" s="221"/>
      <c r="I398" s="221"/>
      <c r="J398" s="221"/>
      <c r="K398" s="221"/>
      <c r="L398" s="221"/>
      <c r="M398" s="221"/>
      <c r="N398" s="221"/>
      <c r="O398" s="221"/>
      <c r="P398" s="221"/>
      <c r="Q398" s="221"/>
      <c r="R398" s="221"/>
      <c r="S398" s="221"/>
      <c r="T398" s="221"/>
      <c r="U398" s="221"/>
      <c r="V398" s="221"/>
      <c r="W398" s="221"/>
      <c r="X398" s="221"/>
      <c r="Y398" s="221"/>
      <c r="Z398" s="221"/>
    </row>
    <row r="399">
      <c r="A399" s="225" t="s">
        <v>612</v>
      </c>
      <c r="B399" s="226" t="s">
        <v>154</v>
      </c>
      <c r="C399" s="227" t="s">
        <v>332</v>
      </c>
      <c r="D399" s="227" t="s">
        <v>332</v>
      </c>
      <c r="E399" s="227">
        <v>0.0</v>
      </c>
      <c r="F399" s="227">
        <v>0.0</v>
      </c>
      <c r="G399" s="221"/>
      <c r="H399" s="221"/>
      <c r="I399" s="221"/>
      <c r="J399" s="221"/>
      <c r="K399" s="221"/>
      <c r="L399" s="221"/>
      <c r="M399" s="221"/>
      <c r="N399" s="221"/>
      <c r="O399" s="221"/>
      <c r="P399" s="221"/>
      <c r="Q399" s="221"/>
      <c r="R399" s="221"/>
      <c r="S399" s="221"/>
      <c r="T399" s="221"/>
      <c r="U399" s="221"/>
      <c r="V399" s="221"/>
      <c r="W399" s="221"/>
      <c r="X399" s="221"/>
      <c r="Y399" s="221"/>
      <c r="Z399" s="221"/>
    </row>
    <row r="400">
      <c r="A400" s="225" t="s">
        <v>613</v>
      </c>
      <c r="B400" s="226" t="s">
        <v>154</v>
      </c>
      <c r="C400" s="227" t="s">
        <v>332</v>
      </c>
      <c r="D400" s="227" t="s">
        <v>332</v>
      </c>
      <c r="E400" s="227">
        <v>0.0</v>
      </c>
      <c r="F400" s="227">
        <v>0.0</v>
      </c>
      <c r="G400" s="221"/>
      <c r="H400" s="221"/>
      <c r="I400" s="221"/>
      <c r="J400" s="221"/>
      <c r="K400" s="221"/>
      <c r="L400" s="221"/>
      <c r="M400" s="221"/>
      <c r="N400" s="221"/>
      <c r="O400" s="221"/>
      <c r="P400" s="221"/>
      <c r="Q400" s="221"/>
      <c r="R400" s="221"/>
      <c r="S400" s="221"/>
      <c r="T400" s="221"/>
      <c r="U400" s="221"/>
      <c r="V400" s="221"/>
      <c r="W400" s="221"/>
      <c r="X400" s="221"/>
      <c r="Y400" s="221"/>
      <c r="Z400" s="221"/>
    </row>
    <row r="401">
      <c r="A401" s="225" t="s">
        <v>614</v>
      </c>
      <c r="B401" s="226" t="s">
        <v>155</v>
      </c>
      <c r="C401" s="227">
        <v>0.0</v>
      </c>
      <c r="D401" s="227" t="s">
        <v>332</v>
      </c>
      <c r="E401" s="227">
        <v>0.0</v>
      </c>
      <c r="F401" s="227">
        <v>0.0</v>
      </c>
      <c r="G401" s="221"/>
      <c r="H401" s="221"/>
      <c r="I401" s="221"/>
      <c r="J401" s="221"/>
      <c r="K401" s="221"/>
      <c r="L401" s="221"/>
      <c r="M401" s="221"/>
      <c r="N401" s="221"/>
      <c r="O401" s="221"/>
      <c r="P401" s="221"/>
      <c r="Q401" s="221"/>
      <c r="R401" s="221"/>
      <c r="S401" s="221"/>
      <c r="T401" s="221"/>
      <c r="U401" s="221"/>
      <c r="V401" s="221"/>
      <c r="W401" s="221"/>
      <c r="X401" s="221"/>
      <c r="Y401" s="221"/>
      <c r="Z401" s="221"/>
    </row>
    <row r="402">
      <c r="A402" s="225" t="s">
        <v>616</v>
      </c>
      <c r="B402" s="226" t="s">
        <v>155</v>
      </c>
      <c r="C402" s="227">
        <v>0.0</v>
      </c>
      <c r="D402" s="227" t="s">
        <v>332</v>
      </c>
      <c r="E402" s="227">
        <v>0.0</v>
      </c>
      <c r="F402" s="227">
        <v>0.0</v>
      </c>
      <c r="G402" s="221"/>
      <c r="H402" s="221"/>
      <c r="I402" s="221"/>
      <c r="J402" s="221"/>
      <c r="K402" s="221"/>
      <c r="L402" s="221"/>
      <c r="M402" s="221"/>
      <c r="N402" s="221"/>
      <c r="O402" s="221"/>
      <c r="P402" s="221"/>
      <c r="Q402" s="221"/>
      <c r="R402" s="221"/>
      <c r="S402" s="221"/>
      <c r="T402" s="221"/>
      <c r="U402" s="221"/>
      <c r="V402" s="221"/>
      <c r="W402" s="221"/>
      <c r="X402" s="221"/>
      <c r="Y402" s="221"/>
      <c r="Z402" s="221"/>
    </row>
    <row r="403">
      <c r="A403" s="225" t="s">
        <v>617</v>
      </c>
      <c r="B403" s="226" t="s">
        <v>618</v>
      </c>
      <c r="C403" s="227">
        <v>0.0</v>
      </c>
      <c r="D403" s="227" t="s">
        <v>332</v>
      </c>
      <c r="E403" s="227">
        <v>0.0</v>
      </c>
      <c r="F403" s="227">
        <v>0.0</v>
      </c>
      <c r="G403" s="221"/>
      <c r="H403" s="221"/>
      <c r="I403" s="221"/>
      <c r="J403" s="221"/>
      <c r="K403" s="221"/>
      <c r="L403" s="221"/>
      <c r="M403" s="221"/>
      <c r="N403" s="221"/>
      <c r="O403" s="221"/>
      <c r="P403" s="221"/>
      <c r="Q403" s="221"/>
      <c r="R403" s="221"/>
      <c r="S403" s="221"/>
      <c r="T403" s="221"/>
      <c r="U403" s="221"/>
      <c r="V403" s="221"/>
      <c r="W403" s="221"/>
      <c r="X403" s="221"/>
      <c r="Y403" s="221"/>
      <c r="Z403" s="221"/>
    </row>
    <row r="404">
      <c r="A404" s="225" t="s">
        <v>619</v>
      </c>
      <c r="B404" s="226" t="s">
        <v>618</v>
      </c>
      <c r="C404" s="227" t="s">
        <v>332</v>
      </c>
      <c r="D404" s="227" t="s">
        <v>332</v>
      </c>
      <c r="E404" s="227">
        <v>0.0</v>
      </c>
      <c r="F404" s="227">
        <v>0.0</v>
      </c>
      <c r="G404" s="221"/>
      <c r="H404" s="221"/>
      <c r="I404" s="221"/>
      <c r="J404" s="221"/>
      <c r="K404" s="221"/>
      <c r="L404" s="221"/>
      <c r="M404" s="221"/>
      <c r="N404" s="221"/>
      <c r="O404" s="221"/>
      <c r="P404" s="221"/>
      <c r="Q404" s="221"/>
      <c r="R404" s="221"/>
      <c r="S404" s="221"/>
      <c r="T404" s="221"/>
      <c r="U404" s="221"/>
      <c r="V404" s="221"/>
      <c r="W404" s="221"/>
      <c r="X404" s="221"/>
      <c r="Y404" s="221"/>
      <c r="Z404" s="221"/>
    </row>
    <row r="405">
      <c r="A405" s="225" t="s">
        <v>620</v>
      </c>
      <c r="B405" s="226" t="s">
        <v>618</v>
      </c>
      <c r="C405" s="227">
        <v>0.0</v>
      </c>
      <c r="D405" s="227" t="s">
        <v>332</v>
      </c>
      <c r="E405" s="227">
        <v>0.0</v>
      </c>
      <c r="F405" s="227">
        <v>0.0</v>
      </c>
      <c r="G405" s="221"/>
      <c r="H405" s="221"/>
      <c r="I405" s="221"/>
      <c r="J405" s="221"/>
      <c r="K405" s="221"/>
      <c r="L405" s="221"/>
      <c r="M405" s="221"/>
      <c r="N405" s="221"/>
      <c r="O405" s="221"/>
      <c r="P405" s="221"/>
      <c r="Q405" s="221"/>
      <c r="R405" s="221"/>
      <c r="S405" s="221"/>
      <c r="T405" s="221"/>
      <c r="U405" s="221"/>
      <c r="V405" s="221"/>
      <c r="W405" s="221"/>
      <c r="X405" s="221"/>
      <c r="Y405" s="221"/>
      <c r="Z405" s="221"/>
    </row>
    <row r="406">
      <c r="A406" s="225" t="s">
        <v>785</v>
      </c>
      <c r="B406" s="226" t="s">
        <v>156</v>
      </c>
      <c r="C406" s="227" t="s">
        <v>332</v>
      </c>
      <c r="D406" s="227" t="s">
        <v>329</v>
      </c>
      <c r="E406" s="227">
        <v>0.0</v>
      </c>
      <c r="F406" s="227">
        <v>0.0</v>
      </c>
      <c r="G406" s="221"/>
      <c r="H406" s="221"/>
      <c r="I406" s="221"/>
      <c r="J406" s="221"/>
      <c r="K406" s="221"/>
      <c r="L406" s="221"/>
      <c r="M406" s="221"/>
      <c r="N406" s="221"/>
      <c r="O406" s="221"/>
      <c r="P406" s="221"/>
      <c r="Q406" s="221"/>
      <c r="R406" s="221"/>
      <c r="S406" s="221"/>
      <c r="T406" s="221"/>
      <c r="U406" s="221"/>
      <c r="V406" s="221"/>
      <c r="W406" s="221"/>
      <c r="X406" s="221"/>
      <c r="Y406" s="221"/>
      <c r="Z406" s="221"/>
    </row>
    <row r="407">
      <c r="A407" s="225" t="s">
        <v>786</v>
      </c>
      <c r="B407" s="226" t="s">
        <v>156</v>
      </c>
      <c r="C407" s="227" t="s">
        <v>332</v>
      </c>
      <c r="D407" s="227" t="s">
        <v>332</v>
      </c>
      <c r="E407" s="227">
        <v>0.0</v>
      </c>
      <c r="F407" s="227">
        <v>0.0</v>
      </c>
      <c r="G407" s="221"/>
      <c r="H407" s="221"/>
      <c r="I407" s="221"/>
      <c r="J407" s="221"/>
      <c r="K407" s="221"/>
      <c r="L407" s="221"/>
      <c r="M407" s="221"/>
      <c r="N407" s="221"/>
      <c r="O407" s="221"/>
      <c r="P407" s="221"/>
      <c r="Q407" s="221"/>
      <c r="R407" s="221"/>
      <c r="S407" s="221"/>
      <c r="T407" s="221"/>
      <c r="U407" s="221"/>
      <c r="V407" s="221"/>
      <c r="W407" s="221"/>
      <c r="X407" s="221"/>
      <c r="Y407" s="221"/>
      <c r="Z407" s="221"/>
    </row>
    <row r="408">
      <c r="A408" s="225" t="s">
        <v>621</v>
      </c>
      <c r="B408" s="226" t="s">
        <v>156</v>
      </c>
      <c r="C408" s="227" t="s">
        <v>332</v>
      </c>
      <c r="D408" s="227" t="s">
        <v>332</v>
      </c>
      <c r="E408" s="227">
        <v>0.0</v>
      </c>
      <c r="F408" s="227">
        <v>0.0</v>
      </c>
      <c r="G408" s="221"/>
      <c r="H408" s="221"/>
      <c r="I408" s="221"/>
      <c r="J408" s="221"/>
      <c r="K408" s="221"/>
      <c r="L408" s="221"/>
      <c r="M408" s="221"/>
      <c r="N408" s="221"/>
      <c r="O408" s="221"/>
      <c r="P408" s="221"/>
      <c r="Q408" s="221"/>
      <c r="R408" s="221"/>
      <c r="S408" s="221"/>
      <c r="T408" s="221"/>
      <c r="U408" s="221"/>
      <c r="V408" s="221"/>
      <c r="W408" s="221"/>
      <c r="X408" s="221"/>
      <c r="Y408" s="221"/>
      <c r="Z408" s="221"/>
    </row>
    <row r="409">
      <c r="A409" s="225" t="s">
        <v>622</v>
      </c>
      <c r="B409" s="226" t="s">
        <v>156</v>
      </c>
      <c r="C409" s="227" t="s">
        <v>332</v>
      </c>
      <c r="D409" s="227" t="s">
        <v>332</v>
      </c>
      <c r="E409" s="227">
        <v>0.0</v>
      </c>
      <c r="F409" s="227" t="s">
        <v>332</v>
      </c>
      <c r="G409" s="221"/>
      <c r="H409" s="221"/>
      <c r="I409" s="221"/>
      <c r="J409" s="221"/>
      <c r="K409" s="221"/>
      <c r="L409" s="221"/>
      <c r="M409" s="221"/>
      <c r="N409" s="221"/>
      <c r="O409" s="221"/>
      <c r="P409" s="221"/>
      <c r="Q409" s="221"/>
      <c r="R409" s="221"/>
      <c r="S409" s="221"/>
      <c r="T409" s="221"/>
      <c r="U409" s="221"/>
      <c r="V409" s="221"/>
      <c r="W409" s="221"/>
      <c r="X409" s="221"/>
      <c r="Y409" s="221"/>
      <c r="Z409" s="221"/>
    </row>
    <row r="410">
      <c r="A410" s="225" t="s">
        <v>787</v>
      </c>
      <c r="B410" s="226" t="s">
        <v>156</v>
      </c>
      <c r="C410" s="227">
        <v>0.0</v>
      </c>
      <c r="D410" s="227" t="s">
        <v>332</v>
      </c>
      <c r="E410" s="227">
        <v>0.0</v>
      </c>
      <c r="F410" s="227">
        <v>0.0</v>
      </c>
      <c r="G410" s="221"/>
      <c r="H410" s="221"/>
      <c r="I410" s="221"/>
      <c r="J410" s="221"/>
      <c r="K410" s="221"/>
      <c r="L410" s="221"/>
      <c r="M410" s="221"/>
      <c r="N410" s="221"/>
      <c r="O410" s="221"/>
      <c r="P410" s="221"/>
      <c r="Q410" s="221"/>
      <c r="R410" s="221"/>
      <c r="S410" s="221"/>
      <c r="T410" s="221"/>
      <c r="U410" s="221"/>
      <c r="V410" s="221"/>
      <c r="W410" s="221"/>
      <c r="X410" s="221"/>
      <c r="Y410" s="221"/>
      <c r="Z410" s="221"/>
    </row>
    <row r="411">
      <c r="A411" s="225" t="s">
        <v>624</v>
      </c>
      <c r="B411" s="226" t="s">
        <v>156</v>
      </c>
      <c r="C411" s="227" t="s">
        <v>332</v>
      </c>
      <c r="D411" s="227" t="s">
        <v>332</v>
      </c>
      <c r="E411" s="227">
        <v>0.0</v>
      </c>
      <c r="F411" s="227">
        <v>0.0</v>
      </c>
      <c r="G411" s="221"/>
      <c r="H411" s="221"/>
      <c r="I411" s="221"/>
      <c r="J411" s="221"/>
      <c r="K411" s="221"/>
      <c r="L411" s="221"/>
      <c r="M411" s="221"/>
      <c r="N411" s="221"/>
      <c r="O411" s="221"/>
      <c r="P411" s="221"/>
      <c r="Q411" s="221"/>
      <c r="R411" s="221"/>
      <c r="S411" s="221"/>
      <c r="T411" s="221"/>
      <c r="U411" s="221"/>
      <c r="V411" s="221"/>
      <c r="W411" s="221"/>
      <c r="X411" s="221"/>
      <c r="Y411" s="221"/>
      <c r="Z411" s="221"/>
    </row>
    <row r="412">
      <c r="A412" s="225" t="s">
        <v>788</v>
      </c>
      <c r="B412" s="226" t="s">
        <v>156</v>
      </c>
      <c r="C412" s="227">
        <v>0.0</v>
      </c>
      <c r="D412" s="227" t="s">
        <v>332</v>
      </c>
      <c r="E412" s="227">
        <v>0.0</v>
      </c>
      <c r="F412" s="227">
        <v>0.0</v>
      </c>
      <c r="G412" s="221"/>
      <c r="H412" s="221"/>
      <c r="I412" s="221"/>
      <c r="J412" s="221"/>
      <c r="K412" s="221"/>
      <c r="L412" s="221"/>
      <c r="M412" s="221"/>
      <c r="N412" s="221"/>
      <c r="O412" s="221"/>
      <c r="P412" s="221"/>
      <c r="Q412" s="221"/>
      <c r="R412" s="221"/>
      <c r="S412" s="221"/>
      <c r="T412" s="221"/>
      <c r="U412" s="221"/>
      <c r="V412" s="221"/>
      <c r="W412" s="221"/>
      <c r="X412" s="221"/>
      <c r="Y412" s="221"/>
      <c r="Z412" s="221"/>
    </row>
    <row r="413">
      <c r="A413" s="225" t="s">
        <v>625</v>
      </c>
      <c r="B413" s="226" t="s">
        <v>156</v>
      </c>
      <c r="C413" s="227" t="s">
        <v>332</v>
      </c>
      <c r="D413" s="227" t="s">
        <v>329</v>
      </c>
      <c r="E413" s="227">
        <v>0.0</v>
      </c>
      <c r="F413" s="227">
        <v>0.0</v>
      </c>
      <c r="G413" s="221"/>
      <c r="H413" s="221"/>
      <c r="I413" s="221"/>
      <c r="J413" s="221"/>
      <c r="K413" s="221"/>
      <c r="L413" s="221"/>
      <c r="M413" s="221"/>
      <c r="N413" s="221"/>
      <c r="O413" s="221"/>
      <c r="P413" s="221"/>
      <c r="Q413" s="221"/>
      <c r="R413" s="221"/>
      <c r="S413" s="221"/>
      <c r="T413" s="221"/>
      <c r="U413" s="221"/>
      <c r="V413" s="221"/>
      <c r="W413" s="221"/>
      <c r="X413" s="221"/>
      <c r="Y413" s="221"/>
      <c r="Z413" s="221"/>
    </row>
    <row r="414">
      <c r="A414" s="225" t="s">
        <v>626</v>
      </c>
      <c r="B414" s="226" t="s">
        <v>156</v>
      </c>
      <c r="C414" s="227">
        <v>0.0</v>
      </c>
      <c r="D414" s="227" t="s">
        <v>332</v>
      </c>
      <c r="E414" s="227">
        <v>0.0</v>
      </c>
      <c r="F414" s="227">
        <v>0.0</v>
      </c>
      <c r="G414" s="221"/>
      <c r="H414" s="221"/>
      <c r="I414" s="221"/>
      <c r="J414" s="221"/>
      <c r="K414" s="221"/>
      <c r="L414" s="221"/>
      <c r="M414" s="221"/>
      <c r="N414" s="221"/>
      <c r="O414" s="221"/>
      <c r="P414" s="221"/>
      <c r="Q414" s="221"/>
      <c r="R414" s="221"/>
      <c r="S414" s="221"/>
      <c r="T414" s="221"/>
      <c r="U414" s="221"/>
      <c r="V414" s="221"/>
      <c r="W414" s="221"/>
      <c r="X414" s="221"/>
      <c r="Y414" s="221"/>
      <c r="Z414" s="221"/>
    </row>
    <row r="415">
      <c r="A415" s="225" t="s">
        <v>789</v>
      </c>
      <c r="B415" s="226" t="s">
        <v>156</v>
      </c>
      <c r="C415" s="227">
        <v>0.0</v>
      </c>
      <c r="D415" s="227" t="s">
        <v>332</v>
      </c>
      <c r="E415" s="227">
        <v>0.0</v>
      </c>
      <c r="F415" s="227" t="s">
        <v>332</v>
      </c>
      <c r="G415" s="221"/>
      <c r="H415" s="221"/>
      <c r="I415" s="221"/>
      <c r="J415" s="221"/>
      <c r="K415" s="221"/>
      <c r="L415" s="221"/>
      <c r="M415" s="221"/>
      <c r="N415" s="221"/>
      <c r="O415" s="221"/>
      <c r="P415" s="221"/>
      <c r="Q415" s="221"/>
      <c r="R415" s="221"/>
      <c r="S415" s="221"/>
      <c r="T415" s="221"/>
      <c r="U415" s="221"/>
      <c r="V415" s="221"/>
      <c r="W415" s="221"/>
      <c r="X415" s="221"/>
      <c r="Y415" s="221"/>
      <c r="Z415" s="221"/>
    </row>
    <row r="416">
      <c r="A416" s="225" t="s">
        <v>627</v>
      </c>
      <c r="B416" s="226" t="s">
        <v>156</v>
      </c>
      <c r="C416" s="227">
        <v>0.0</v>
      </c>
      <c r="D416" s="227" t="s">
        <v>319</v>
      </c>
      <c r="E416" s="227">
        <v>0.0</v>
      </c>
      <c r="F416" s="227" t="s">
        <v>332</v>
      </c>
      <c r="G416" s="221"/>
      <c r="H416" s="221"/>
      <c r="I416" s="221"/>
      <c r="J416" s="221"/>
      <c r="K416" s="221"/>
      <c r="L416" s="221"/>
      <c r="M416" s="221"/>
      <c r="N416" s="221"/>
      <c r="O416" s="221"/>
      <c r="P416" s="221"/>
      <c r="Q416" s="221"/>
      <c r="R416" s="221"/>
      <c r="S416" s="221"/>
      <c r="T416" s="221"/>
      <c r="U416" s="221"/>
      <c r="V416" s="221"/>
      <c r="W416" s="221"/>
      <c r="X416" s="221"/>
      <c r="Y416" s="221"/>
      <c r="Z416" s="221"/>
    </row>
    <row r="417">
      <c r="A417" s="225" t="s">
        <v>628</v>
      </c>
      <c r="B417" s="226" t="s">
        <v>156</v>
      </c>
      <c r="C417" s="227">
        <v>0.0</v>
      </c>
      <c r="D417" s="227" t="s">
        <v>332</v>
      </c>
      <c r="E417" s="227">
        <v>0.0</v>
      </c>
      <c r="F417" s="227">
        <v>0.0</v>
      </c>
      <c r="G417" s="221"/>
      <c r="H417" s="221"/>
      <c r="I417" s="221"/>
      <c r="J417" s="221"/>
      <c r="K417" s="221"/>
      <c r="L417" s="221"/>
      <c r="M417" s="221"/>
      <c r="N417" s="221"/>
      <c r="O417" s="221"/>
      <c r="P417" s="221"/>
      <c r="Q417" s="221"/>
      <c r="R417" s="221"/>
      <c r="S417" s="221"/>
      <c r="T417" s="221"/>
      <c r="U417" s="221"/>
      <c r="V417" s="221"/>
      <c r="W417" s="221"/>
      <c r="X417" s="221"/>
      <c r="Y417" s="221"/>
      <c r="Z417" s="221"/>
    </row>
    <row r="418">
      <c r="A418" s="225" t="s">
        <v>790</v>
      </c>
      <c r="B418" s="226" t="s">
        <v>156</v>
      </c>
      <c r="C418" s="227" t="s">
        <v>332</v>
      </c>
      <c r="D418" s="227" t="s">
        <v>332</v>
      </c>
      <c r="E418" s="227">
        <v>0.0</v>
      </c>
      <c r="F418" s="227">
        <v>0.0</v>
      </c>
      <c r="G418" s="221"/>
      <c r="H418" s="221"/>
      <c r="I418" s="221"/>
      <c r="J418" s="221"/>
      <c r="K418" s="221"/>
      <c r="L418" s="221"/>
      <c r="M418" s="221"/>
      <c r="N418" s="221"/>
      <c r="O418" s="221"/>
      <c r="P418" s="221"/>
      <c r="Q418" s="221"/>
      <c r="R418" s="221"/>
      <c r="S418" s="221"/>
      <c r="T418" s="221"/>
      <c r="U418" s="221"/>
      <c r="V418" s="221"/>
      <c r="W418" s="221"/>
      <c r="X418" s="221"/>
      <c r="Y418" s="221"/>
      <c r="Z418" s="221"/>
    </row>
    <row r="419">
      <c r="A419" s="225" t="s">
        <v>629</v>
      </c>
      <c r="B419" s="226" t="s">
        <v>156</v>
      </c>
      <c r="C419" s="227" t="s">
        <v>332</v>
      </c>
      <c r="D419" s="227" t="s">
        <v>329</v>
      </c>
      <c r="E419" s="227">
        <v>0.0</v>
      </c>
      <c r="F419" s="227">
        <v>0.0</v>
      </c>
      <c r="G419" s="221"/>
      <c r="H419" s="221"/>
      <c r="I419" s="221"/>
      <c r="J419" s="221"/>
      <c r="K419" s="221"/>
      <c r="L419" s="221"/>
      <c r="M419" s="221"/>
      <c r="N419" s="221"/>
      <c r="O419" s="221"/>
      <c r="P419" s="221"/>
      <c r="Q419" s="221"/>
      <c r="R419" s="221"/>
      <c r="S419" s="221"/>
      <c r="T419" s="221"/>
      <c r="U419" s="221"/>
      <c r="V419" s="221"/>
      <c r="W419" s="221"/>
      <c r="X419" s="221"/>
      <c r="Y419" s="221"/>
      <c r="Z419" s="221"/>
    </row>
    <row r="420">
      <c r="A420" s="225" t="s">
        <v>631</v>
      </c>
      <c r="B420" s="226" t="s">
        <v>157</v>
      </c>
      <c r="C420" s="227">
        <v>0.0</v>
      </c>
      <c r="D420" s="227" t="s">
        <v>332</v>
      </c>
      <c r="E420" s="227">
        <v>0.0</v>
      </c>
      <c r="F420" s="227">
        <v>0.0</v>
      </c>
      <c r="G420" s="221"/>
      <c r="H420" s="221"/>
      <c r="I420" s="221"/>
      <c r="J420" s="221"/>
      <c r="K420" s="221"/>
      <c r="L420" s="221"/>
      <c r="M420" s="221"/>
      <c r="N420" s="221"/>
      <c r="O420" s="221"/>
      <c r="P420" s="221"/>
      <c r="Q420" s="221"/>
      <c r="R420" s="221"/>
      <c r="S420" s="221"/>
      <c r="T420" s="221"/>
      <c r="U420" s="221"/>
      <c r="V420" s="221"/>
      <c r="W420" s="221"/>
      <c r="X420" s="221"/>
      <c r="Y420" s="221"/>
      <c r="Z420" s="221"/>
    </row>
    <row r="421">
      <c r="A421" s="225" t="s">
        <v>791</v>
      </c>
      <c r="B421" s="226" t="s">
        <v>157</v>
      </c>
      <c r="C421" s="227">
        <v>0.0</v>
      </c>
      <c r="D421" s="227" t="s">
        <v>332</v>
      </c>
      <c r="E421" s="227">
        <v>0.0</v>
      </c>
      <c r="F421" s="227">
        <v>0.0</v>
      </c>
      <c r="G421" s="221"/>
      <c r="H421" s="221"/>
      <c r="I421" s="221"/>
      <c r="J421" s="221"/>
      <c r="K421" s="221"/>
      <c r="L421" s="221"/>
      <c r="M421" s="221"/>
      <c r="N421" s="221"/>
      <c r="O421" s="221"/>
      <c r="P421" s="221"/>
      <c r="Q421" s="221"/>
      <c r="R421" s="221"/>
      <c r="S421" s="221"/>
      <c r="T421" s="221"/>
      <c r="U421" s="221"/>
      <c r="V421" s="221"/>
      <c r="W421" s="221"/>
      <c r="X421" s="221"/>
      <c r="Y421" s="221"/>
      <c r="Z421" s="221"/>
    </row>
    <row r="422">
      <c r="A422" s="225" t="s">
        <v>637</v>
      </c>
      <c r="B422" s="226" t="s">
        <v>633</v>
      </c>
      <c r="C422" s="227">
        <v>0.0</v>
      </c>
      <c r="D422" s="227" t="s">
        <v>332</v>
      </c>
      <c r="E422" s="227">
        <v>0.0</v>
      </c>
      <c r="F422" s="227">
        <v>0.0</v>
      </c>
      <c r="G422" s="221"/>
      <c r="H422" s="221"/>
      <c r="I422" s="221"/>
      <c r="J422" s="221"/>
      <c r="K422" s="221"/>
      <c r="L422" s="221"/>
      <c r="M422" s="221"/>
      <c r="N422" s="221"/>
      <c r="O422" s="221"/>
      <c r="P422" s="221"/>
      <c r="Q422" s="221"/>
      <c r="R422" s="221"/>
      <c r="S422" s="221"/>
      <c r="T422" s="221"/>
      <c r="U422" s="221"/>
      <c r="V422" s="221"/>
      <c r="W422" s="221"/>
      <c r="X422" s="221"/>
      <c r="Y422" s="221"/>
      <c r="Z422" s="221"/>
    </row>
    <row r="423">
      <c r="A423" s="225" t="s">
        <v>792</v>
      </c>
      <c r="B423" s="226" t="s">
        <v>633</v>
      </c>
      <c r="C423" s="227">
        <v>0.0</v>
      </c>
      <c r="D423" s="227" t="s">
        <v>332</v>
      </c>
      <c r="E423" s="227">
        <v>0.0</v>
      </c>
      <c r="F423" s="227">
        <v>0.0</v>
      </c>
      <c r="G423" s="221"/>
      <c r="H423" s="221"/>
      <c r="I423" s="221"/>
      <c r="J423" s="221"/>
      <c r="K423" s="221"/>
      <c r="L423" s="221"/>
      <c r="M423" s="221"/>
      <c r="N423" s="221"/>
      <c r="O423" s="221"/>
      <c r="P423" s="221"/>
      <c r="Q423" s="221"/>
      <c r="R423" s="221"/>
      <c r="S423" s="221"/>
      <c r="T423" s="221"/>
      <c r="U423" s="221"/>
      <c r="V423" s="221"/>
      <c r="W423" s="221"/>
      <c r="X423" s="221"/>
      <c r="Y423" s="221"/>
      <c r="Z423" s="221"/>
    </row>
    <row r="424">
      <c r="A424" s="225" t="s">
        <v>644</v>
      </c>
      <c r="B424" s="226" t="s">
        <v>633</v>
      </c>
      <c r="C424" s="227" t="s">
        <v>332</v>
      </c>
      <c r="D424" s="227" t="s">
        <v>332</v>
      </c>
      <c r="E424" s="227">
        <v>0.0</v>
      </c>
      <c r="F424" s="227">
        <v>0.0</v>
      </c>
      <c r="G424" s="221"/>
      <c r="H424" s="221"/>
      <c r="I424" s="221"/>
      <c r="J424" s="221"/>
      <c r="K424" s="221"/>
      <c r="L424" s="221"/>
      <c r="M424" s="221"/>
      <c r="N424" s="221"/>
      <c r="O424" s="221"/>
      <c r="P424" s="221"/>
      <c r="Q424" s="221"/>
      <c r="R424" s="221"/>
      <c r="S424" s="221"/>
      <c r="T424" s="221"/>
      <c r="U424" s="221"/>
      <c r="V424" s="221"/>
      <c r="W424" s="221"/>
      <c r="X424" s="221"/>
      <c r="Y424" s="221"/>
      <c r="Z424" s="221"/>
    </row>
    <row r="425">
      <c r="A425" s="225" t="s">
        <v>646</v>
      </c>
      <c r="B425" s="226" t="s">
        <v>633</v>
      </c>
      <c r="C425" s="227">
        <v>0.0</v>
      </c>
      <c r="D425" s="227" t="s">
        <v>332</v>
      </c>
      <c r="E425" s="227">
        <v>0.0</v>
      </c>
      <c r="F425" s="227">
        <v>0.0</v>
      </c>
      <c r="G425" s="221"/>
      <c r="H425" s="221"/>
      <c r="I425" s="221"/>
      <c r="J425" s="221"/>
      <c r="K425" s="221"/>
      <c r="L425" s="221"/>
      <c r="M425" s="221"/>
      <c r="N425" s="221"/>
      <c r="O425" s="221"/>
      <c r="P425" s="221"/>
      <c r="Q425" s="221"/>
      <c r="R425" s="221"/>
      <c r="S425" s="221"/>
      <c r="T425" s="221"/>
      <c r="U425" s="221"/>
      <c r="V425" s="221"/>
      <c r="W425" s="221"/>
      <c r="X425" s="221"/>
      <c r="Y425" s="221"/>
      <c r="Z425" s="221"/>
    </row>
    <row r="426">
      <c r="A426" s="225" t="s">
        <v>793</v>
      </c>
      <c r="B426" s="226" t="s">
        <v>633</v>
      </c>
      <c r="C426" s="227">
        <v>0.0</v>
      </c>
      <c r="D426" s="227" t="s">
        <v>332</v>
      </c>
      <c r="E426" s="227">
        <v>0.0</v>
      </c>
      <c r="F426" s="227">
        <v>0.0</v>
      </c>
      <c r="G426" s="221"/>
      <c r="H426" s="221"/>
      <c r="I426" s="221"/>
      <c r="J426" s="221"/>
      <c r="K426" s="221"/>
      <c r="L426" s="221"/>
      <c r="M426" s="221"/>
      <c r="N426" s="221"/>
      <c r="O426" s="221"/>
      <c r="P426" s="221"/>
      <c r="Q426" s="221"/>
      <c r="R426" s="221"/>
      <c r="S426" s="221"/>
      <c r="T426" s="221"/>
      <c r="U426" s="221"/>
      <c r="V426" s="221"/>
      <c r="W426" s="221"/>
      <c r="X426" s="221"/>
      <c r="Y426" s="221"/>
      <c r="Z426" s="221"/>
    </row>
    <row r="427">
      <c r="A427" s="225" t="s">
        <v>647</v>
      </c>
      <c r="B427" s="226" t="s">
        <v>633</v>
      </c>
      <c r="C427" s="227">
        <v>0.0</v>
      </c>
      <c r="D427" s="227" t="s">
        <v>332</v>
      </c>
      <c r="E427" s="227">
        <v>0.0</v>
      </c>
      <c r="F427" s="227">
        <v>0.0</v>
      </c>
      <c r="G427" s="221"/>
      <c r="H427" s="221"/>
      <c r="I427" s="221"/>
      <c r="J427" s="221"/>
      <c r="K427" s="221"/>
      <c r="L427" s="221"/>
      <c r="M427" s="221"/>
      <c r="N427" s="221"/>
      <c r="O427" s="221"/>
      <c r="P427" s="221"/>
      <c r="Q427" s="221"/>
      <c r="R427" s="221"/>
      <c r="S427" s="221"/>
      <c r="T427" s="221"/>
      <c r="U427" s="221"/>
      <c r="V427" s="221"/>
      <c r="W427" s="221"/>
      <c r="X427" s="221"/>
      <c r="Y427" s="221"/>
      <c r="Z427" s="221"/>
    </row>
    <row r="428">
      <c r="A428" s="225" t="s">
        <v>653</v>
      </c>
      <c r="B428" s="226" t="s">
        <v>633</v>
      </c>
      <c r="C428" s="227">
        <v>0.0</v>
      </c>
      <c r="D428" s="227" t="s">
        <v>332</v>
      </c>
      <c r="E428" s="227">
        <v>0.0</v>
      </c>
      <c r="F428" s="227">
        <v>0.0</v>
      </c>
      <c r="G428" s="221"/>
      <c r="H428" s="221"/>
      <c r="I428" s="221"/>
      <c r="J428" s="221"/>
      <c r="K428" s="221"/>
      <c r="L428" s="221"/>
      <c r="M428" s="221"/>
      <c r="N428" s="221"/>
      <c r="O428" s="221"/>
      <c r="P428" s="221"/>
      <c r="Q428" s="221"/>
      <c r="R428" s="221"/>
      <c r="S428" s="221"/>
      <c r="T428" s="221"/>
      <c r="U428" s="221"/>
      <c r="V428" s="221"/>
      <c r="W428" s="221"/>
      <c r="X428" s="221"/>
      <c r="Y428" s="221"/>
      <c r="Z428" s="221"/>
    </row>
    <row r="429">
      <c r="A429" s="225" t="s">
        <v>655</v>
      </c>
      <c r="B429" s="226" t="s">
        <v>633</v>
      </c>
      <c r="C429" s="227" t="s">
        <v>332</v>
      </c>
      <c r="D429" s="227" t="s">
        <v>332</v>
      </c>
      <c r="E429" s="227">
        <v>0.0</v>
      </c>
      <c r="F429" s="227">
        <v>0.0</v>
      </c>
      <c r="G429" s="221"/>
      <c r="H429" s="221"/>
      <c r="I429" s="221"/>
      <c r="J429" s="221"/>
      <c r="K429" s="221"/>
      <c r="L429" s="221"/>
      <c r="M429" s="221"/>
      <c r="N429" s="221"/>
      <c r="O429" s="221"/>
      <c r="P429" s="221"/>
      <c r="Q429" s="221"/>
      <c r="R429" s="221"/>
      <c r="S429" s="221"/>
      <c r="T429" s="221"/>
      <c r="U429" s="221"/>
      <c r="V429" s="221"/>
      <c r="W429" s="221"/>
      <c r="X429" s="221"/>
      <c r="Y429" s="221"/>
      <c r="Z429" s="221"/>
    </row>
    <row r="430">
      <c r="A430" s="225" t="s">
        <v>658</v>
      </c>
      <c r="B430" s="226" t="s">
        <v>633</v>
      </c>
      <c r="C430" s="227">
        <v>0.0</v>
      </c>
      <c r="D430" s="227" t="s">
        <v>332</v>
      </c>
      <c r="E430" s="227">
        <v>0.0</v>
      </c>
      <c r="F430" s="227">
        <v>0.0</v>
      </c>
      <c r="G430" s="221"/>
      <c r="H430" s="221"/>
      <c r="I430" s="221"/>
      <c r="J430" s="221"/>
      <c r="K430" s="221"/>
      <c r="L430" s="221"/>
      <c r="M430" s="221"/>
      <c r="N430" s="221"/>
      <c r="O430" s="221"/>
      <c r="P430" s="221"/>
      <c r="Q430" s="221"/>
      <c r="R430" s="221"/>
      <c r="S430" s="221"/>
      <c r="T430" s="221"/>
      <c r="U430" s="221"/>
      <c r="V430" s="221"/>
      <c r="W430" s="221"/>
      <c r="X430" s="221"/>
      <c r="Y430" s="221"/>
      <c r="Z430" s="221"/>
    </row>
    <row r="431">
      <c r="A431" s="225" t="s">
        <v>663</v>
      </c>
      <c r="B431" s="226" t="s">
        <v>633</v>
      </c>
      <c r="C431" s="227">
        <v>0.0</v>
      </c>
      <c r="D431" s="227" t="s">
        <v>332</v>
      </c>
      <c r="E431" s="227">
        <v>0.0</v>
      </c>
      <c r="F431" s="227">
        <v>0.0</v>
      </c>
      <c r="G431" s="221"/>
      <c r="H431" s="221"/>
      <c r="I431" s="221"/>
      <c r="J431" s="221"/>
      <c r="K431" s="221"/>
      <c r="L431" s="221"/>
      <c r="M431" s="221"/>
      <c r="N431" s="221"/>
      <c r="O431" s="221"/>
      <c r="P431" s="221"/>
      <c r="Q431" s="221"/>
      <c r="R431" s="221"/>
      <c r="S431" s="221"/>
      <c r="T431" s="221"/>
      <c r="U431" s="221"/>
      <c r="V431" s="221"/>
      <c r="W431" s="221"/>
      <c r="X431" s="221"/>
      <c r="Y431" s="221"/>
      <c r="Z431" s="221"/>
    </row>
    <row r="432">
      <c r="A432" s="225" t="s">
        <v>794</v>
      </c>
      <c r="B432" s="226" t="s">
        <v>633</v>
      </c>
      <c r="C432" s="227">
        <v>0.0</v>
      </c>
      <c r="D432" s="227" t="s">
        <v>332</v>
      </c>
      <c r="E432" s="227">
        <v>0.0</v>
      </c>
      <c r="F432" s="227">
        <v>0.0</v>
      </c>
      <c r="G432" s="221"/>
      <c r="H432" s="221"/>
      <c r="I432" s="221"/>
      <c r="J432" s="221"/>
      <c r="K432" s="221"/>
      <c r="L432" s="221"/>
      <c r="M432" s="221"/>
      <c r="N432" s="221"/>
      <c r="O432" s="221"/>
      <c r="P432" s="221"/>
      <c r="Q432" s="221"/>
      <c r="R432" s="221"/>
      <c r="S432" s="221"/>
      <c r="T432" s="221"/>
      <c r="U432" s="221"/>
      <c r="V432" s="221"/>
      <c r="W432" s="221"/>
      <c r="X432" s="221"/>
      <c r="Y432" s="221"/>
      <c r="Z432" s="221"/>
    </row>
    <row r="433">
      <c r="A433" s="225" t="s">
        <v>665</v>
      </c>
      <c r="B433" s="226" t="s">
        <v>158</v>
      </c>
      <c r="C433" s="227">
        <v>0.0</v>
      </c>
      <c r="D433" s="227" t="s">
        <v>332</v>
      </c>
      <c r="E433" s="227">
        <v>0.0</v>
      </c>
      <c r="F433" s="227">
        <v>0.0</v>
      </c>
      <c r="G433" s="221"/>
      <c r="H433" s="221"/>
      <c r="I433" s="221"/>
      <c r="J433" s="221"/>
      <c r="K433" s="221"/>
      <c r="L433" s="221"/>
      <c r="M433" s="221"/>
      <c r="N433" s="221"/>
      <c r="O433" s="221"/>
      <c r="P433" s="221"/>
      <c r="Q433" s="221"/>
      <c r="R433" s="221"/>
      <c r="S433" s="221"/>
      <c r="T433" s="221"/>
      <c r="U433" s="221"/>
      <c r="V433" s="221"/>
      <c r="W433" s="221"/>
      <c r="X433" s="221"/>
      <c r="Y433" s="221"/>
      <c r="Z433" s="221"/>
    </row>
    <row r="434">
      <c r="A434" s="225" t="s">
        <v>666</v>
      </c>
      <c r="B434" s="226" t="s">
        <v>158</v>
      </c>
      <c r="C434" s="227" t="s">
        <v>332</v>
      </c>
      <c r="D434" s="227" t="s">
        <v>319</v>
      </c>
      <c r="E434" s="227">
        <v>0.0</v>
      </c>
      <c r="F434" s="227">
        <v>0.0</v>
      </c>
      <c r="G434" s="221"/>
      <c r="H434" s="221"/>
      <c r="I434" s="221"/>
      <c r="J434" s="221"/>
      <c r="K434" s="221"/>
      <c r="L434" s="221"/>
      <c r="M434" s="221"/>
      <c r="N434" s="221"/>
      <c r="O434" s="221"/>
      <c r="P434" s="221"/>
      <c r="Q434" s="221"/>
      <c r="R434" s="221"/>
      <c r="S434" s="221"/>
      <c r="T434" s="221"/>
      <c r="U434" s="221"/>
      <c r="V434" s="221"/>
      <c r="W434" s="221"/>
      <c r="X434" s="221"/>
      <c r="Y434" s="221"/>
      <c r="Z434" s="221"/>
    </row>
    <row r="435">
      <c r="A435" s="225" t="s">
        <v>668</v>
      </c>
      <c r="B435" s="226" t="s">
        <v>158</v>
      </c>
      <c r="C435" s="227">
        <v>0.0</v>
      </c>
      <c r="D435" s="227" t="s">
        <v>332</v>
      </c>
      <c r="E435" s="227">
        <v>0.0</v>
      </c>
      <c r="F435" s="227">
        <v>0.0</v>
      </c>
      <c r="G435" s="221"/>
      <c r="H435" s="221"/>
      <c r="I435" s="221"/>
      <c r="J435" s="221"/>
      <c r="K435" s="221"/>
      <c r="L435" s="221"/>
      <c r="M435" s="221"/>
      <c r="N435" s="221"/>
      <c r="O435" s="221"/>
      <c r="P435" s="221"/>
      <c r="Q435" s="221"/>
      <c r="R435" s="221"/>
      <c r="S435" s="221"/>
      <c r="T435" s="221"/>
      <c r="U435" s="221"/>
      <c r="V435" s="221"/>
      <c r="W435" s="221"/>
      <c r="X435" s="221"/>
      <c r="Y435" s="221"/>
      <c r="Z435" s="221"/>
    </row>
    <row r="436">
      <c r="A436" s="225" t="s">
        <v>669</v>
      </c>
      <c r="B436" s="226" t="s">
        <v>158</v>
      </c>
      <c r="C436" s="227" t="s">
        <v>332</v>
      </c>
      <c r="D436" s="227" t="s">
        <v>332</v>
      </c>
      <c r="E436" s="227">
        <v>0.0</v>
      </c>
      <c r="F436" s="227">
        <v>0.0</v>
      </c>
      <c r="G436" s="221"/>
      <c r="H436" s="221"/>
      <c r="I436" s="221"/>
      <c r="J436" s="221"/>
      <c r="K436" s="221"/>
      <c r="L436" s="221"/>
      <c r="M436" s="221"/>
      <c r="N436" s="221"/>
      <c r="O436" s="221"/>
      <c r="P436" s="221"/>
      <c r="Q436" s="221"/>
      <c r="R436" s="221"/>
      <c r="S436" s="221"/>
      <c r="T436" s="221"/>
      <c r="U436" s="221"/>
      <c r="V436" s="221"/>
      <c r="W436" s="221"/>
      <c r="X436" s="221"/>
      <c r="Y436" s="221"/>
      <c r="Z436" s="221"/>
    </row>
    <row r="437">
      <c r="A437" s="225" t="s">
        <v>670</v>
      </c>
      <c r="B437" s="226" t="s">
        <v>158</v>
      </c>
      <c r="C437" s="227">
        <v>0.0</v>
      </c>
      <c r="D437" s="227" t="s">
        <v>332</v>
      </c>
      <c r="E437" s="227">
        <v>0.0</v>
      </c>
      <c r="F437" s="227">
        <v>0.0</v>
      </c>
      <c r="G437" s="221"/>
      <c r="H437" s="221"/>
      <c r="I437" s="221"/>
      <c r="J437" s="221"/>
      <c r="K437" s="221"/>
      <c r="L437" s="221"/>
      <c r="M437" s="221"/>
      <c r="N437" s="221"/>
      <c r="O437" s="221"/>
      <c r="P437" s="221"/>
      <c r="Q437" s="221"/>
      <c r="R437" s="221"/>
      <c r="S437" s="221"/>
      <c r="T437" s="221"/>
      <c r="U437" s="221"/>
      <c r="V437" s="221"/>
      <c r="W437" s="221"/>
      <c r="X437" s="221"/>
      <c r="Y437" s="221"/>
      <c r="Z437" s="221"/>
    </row>
    <row r="438">
      <c r="A438" s="225" t="s">
        <v>671</v>
      </c>
      <c r="B438" s="226" t="s">
        <v>158</v>
      </c>
      <c r="C438" s="227" t="s">
        <v>332</v>
      </c>
      <c r="D438" s="227" t="s">
        <v>319</v>
      </c>
      <c r="E438" s="227">
        <v>0.0</v>
      </c>
      <c r="F438" s="227">
        <v>0.0</v>
      </c>
      <c r="G438" s="221"/>
      <c r="H438" s="221"/>
      <c r="I438" s="221"/>
      <c r="J438" s="221"/>
      <c r="K438" s="221"/>
      <c r="L438" s="221"/>
      <c r="M438" s="221"/>
      <c r="N438" s="221"/>
      <c r="O438" s="221"/>
      <c r="P438" s="221"/>
      <c r="Q438" s="221"/>
      <c r="R438" s="221"/>
      <c r="S438" s="221"/>
      <c r="T438" s="221"/>
      <c r="U438" s="221"/>
      <c r="V438" s="221"/>
      <c r="W438" s="221"/>
      <c r="X438" s="221"/>
      <c r="Y438" s="221"/>
      <c r="Z438" s="221"/>
    </row>
    <row r="439">
      <c r="A439" s="225" t="s">
        <v>673</v>
      </c>
      <c r="B439" s="226" t="s">
        <v>158</v>
      </c>
      <c r="C439" s="227" t="s">
        <v>332</v>
      </c>
      <c r="D439" s="227" t="s">
        <v>319</v>
      </c>
      <c r="E439" s="227" t="s">
        <v>332</v>
      </c>
      <c r="F439" s="227" t="s">
        <v>332</v>
      </c>
      <c r="G439" s="221"/>
      <c r="H439" s="221"/>
      <c r="I439" s="221"/>
      <c r="J439" s="221"/>
      <c r="K439" s="221"/>
      <c r="L439" s="221"/>
      <c r="M439" s="221"/>
      <c r="N439" s="221"/>
      <c r="O439" s="221"/>
      <c r="P439" s="221"/>
      <c r="Q439" s="221"/>
      <c r="R439" s="221"/>
      <c r="S439" s="221"/>
      <c r="T439" s="221"/>
      <c r="U439" s="221"/>
      <c r="V439" s="221"/>
      <c r="W439" s="221"/>
      <c r="X439" s="221"/>
      <c r="Y439" s="221"/>
      <c r="Z439" s="221"/>
    </row>
    <row r="440">
      <c r="A440" s="225" t="s">
        <v>674</v>
      </c>
      <c r="B440" s="226" t="s">
        <v>158</v>
      </c>
      <c r="C440" s="227" t="s">
        <v>332</v>
      </c>
      <c r="D440" s="227" t="s">
        <v>319</v>
      </c>
      <c r="E440" s="227">
        <v>0.0</v>
      </c>
      <c r="F440" s="227">
        <v>0.0</v>
      </c>
      <c r="G440" s="221"/>
      <c r="H440" s="221"/>
      <c r="I440" s="221"/>
      <c r="J440" s="221"/>
      <c r="K440" s="221"/>
      <c r="L440" s="221"/>
      <c r="M440" s="221"/>
      <c r="N440" s="221"/>
      <c r="O440" s="221"/>
      <c r="P440" s="221"/>
      <c r="Q440" s="221"/>
      <c r="R440" s="221"/>
      <c r="S440" s="221"/>
      <c r="T440" s="221"/>
      <c r="U440" s="221"/>
      <c r="V440" s="221"/>
      <c r="W440" s="221"/>
      <c r="X440" s="221"/>
      <c r="Y440" s="221"/>
      <c r="Z440" s="221"/>
    </row>
    <row r="441">
      <c r="A441" s="225" t="s">
        <v>675</v>
      </c>
      <c r="B441" s="226" t="s">
        <v>158</v>
      </c>
      <c r="C441" s="227" t="s">
        <v>332</v>
      </c>
      <c r="D441" s="227" t="s">
        <v>332</v>
      </c>
      <c r="E441" s="227">
        <v>0.0</v>
      </c>
      <c r="F441" s="227">
        <v>0.0</v>
      </c>
      <c r="G441" s="221"/>
      <c r="H441" s="221"/>
      <c r="I441" s="221"/>
      <c r="J441" s="221"/>
      <c r="K441" s="221"/>
      <c r="L441" s="221"/>
      <c r="M441" s="221"/>
      <c r="N441" s="221"/>
      <c r="O441" s="221"/>
      <c r="P441" s="221"/>
      <c r="Q441" s="221"/>
      <c r="R441" s="221"/>
      <c r="S441" s="221"/>
      <c r="T441" s="221"/>
      <c r="U441" s="221"/>
      <c r="V441" s="221"/>
      <c r="W441" s="221"/>
      <c r="X441" s="221"/>
      <c r="Y441" s="221"/>
      <c r="Z441" s="221"/>
    </row>
    <row r="442">
      <c r="A442" s="225" t="s">
        <v>676</v>
      </c>
      <c r="B442" s="226" t="s">
        <v>158</v>
      </c>
      <c r="C442" s="227">
        <v>0.0</v>
      </c>
      <c r="D442" s="227" t="s">
        <v>332</v>
      </c>
      <c r="E442" s="227">
        <v>0.0</v>
      </c>
      <c r="F442" s="227">
        <v>0.0</v>
      </c>
      <c r="G442" s="221"/>
      <c r="H442" s="221"/>
      <c r="I442" s="221"/>
      <c r="J442" s="221"/>
      <c r="K442" s="221"/>
      <c r="L442" s="221"/>
      <c r="M442" s="221"/>
      <c r="N442" s="221"/>
      <c r="O442" s="221"/>
      <c r="P442" s="221"/>
      <c r="Q442" s="221"/>
      <c r="R442" s="221"/>
      <c r="S442" s="221"/>
      <c r="T442" s="221"/>
      <c r="U442" s="221"/>
      <c r="V442" s="221"/>
      <c r="W442" s="221"/>
      <c r="X442" s="221"/>
      <c r="Y442" s="221"/>
      <c r="Z442" s="221"/>
    </row>
    <row r="443">
      <c r="A443" s="225" t="s">
        <v>677</v>
      </c>
      <c r="B443" s="226" t="s">
        <v>158</v>
      </c>
      <c r="C443" s="227" t="s">
        <v>332</v>
      </c>
      <c r="D443" s="227" t="s">
        <v>319</v>
      </c>
      <c r="E443" s="227">
        <v>0.0</v>
      </c>
      <c r="F443" s="227">
        <v>0.0</v>
      </c>
      <c r="G443" s="221"/>
      <c r="H443" s="221"/>
      <c r="I443" s="221"/>
      <c r="J443" s="221"/>
      <c r="K443" s="221"/>
      <c r="L443" s="221"/>
      <c r="M443" s="221"/>
      <c r="N443" s="221"/>
      <c r="O443" s="221"/>
      <c r="P443" s="221"/>
      <c r="Q443" s="221"/>
      <c r="R443" s="221"/>
      <c r="S443" s="221"/>
      <c r="T443" s="221"/>
      <c r="U443" s="221"/>
      <c r="V443" s="221"/>
      <c r="W443" s="221"/>
      <c r="X443" s="221"/>
      <c r="Y443" s="221"/>
      <c r="Z443" s="221"/>
    </row>
    <row r="444">
      <c r="A444" s="225" t="s">
        <v>680</v>
      </c>
      <c r="B444" s="226" t="s">
        <v>158</v>
      </c>
      <c r="C444" s="227" t="s">
        <v>332</v>
      </c>
      <c r="D444" s="227" t="s">
        <v>332</v>
      </c>
      <c r="E444" s="227">
        <v>0.0</v>
      </c>
      <c r="F444" s="227">
        <v>0.0</v>
      </c>
      <c r="G444" s="221"/>
      <c r="H444" s="221"/>
      <c r="I444" s="221"/>
      <c r="J444" s="221"/>
      <c r="K444" s="221"/>
      <c r="L444" s="221"/>
      <c r="M444" s="221"/>
      <c r="N444" s="221"/>
      <c r="O444" s="221"/>
      <c r="P444" s="221"/>
      <c r="Q444" s="221"/>
      <c r="R444" s="221"/>
      <c r="S444" s="221"/>
      <c r="T444" s="221"/>
      <c r="U444" s="221"/>
      <c r="V444" s="221"/>
      <c r="W444" s="221"/>
      <c r="X444" s="221"/>
      <c r="Y444" s="221"/>
      <c r="Z444" s="221"/>
    </row>
    <row r="445">
      <c r="A445" s="225" t="s">
        <v>681</v>
      </c>
      <c r="B445" s="226" t="s">
        <v>158</v>
      </c>
      <c r="C445" s="227" t="s">
        <v>332</v>
      </c>
      <c r="D445" s="227" t="s">
        <v>319</v>
      </c>
      <c r="E445" s="227">
        <v>0.0</v>
      </c>
      <c r="F445" s="227">
        <v>0.0</v>
      </c>
      <c r="G445" s="221"/>
      <c r="H445" s="221"/>
      <c r="I445" s="221"/>
      <c r="J445" s="221"/>
      <c r="K445" s="221"/>
      <c r="L445" s="221"/>
      <c r="M445" s="221"/>
      <c r="N445" s="221"/>
      <c r="O445" s="221"/>
      <c r="P445" s="221"/>
      <c r="Q445" s="221"/>
      <c r="R445" s="221"/>
      <c r="S445" s="221"/>
      <c r="T445" s="221"/>
      <c r="U445" s="221"/>
      <c r="V445" s="221"/>
      <c r="W445" s="221"/>
      <c r="X445" s="221"/>
      <c r="Y445" s="221"/>
      <c r="Z445" s="221"/>
    </row>
    <row r="446">
      <c r="A446" s="225" t="s">
        <v>682</v>
      </c>
      <c r="B446" s="226" t="s">
        <v>158</v>
      </c>
      <c r="C446" s="227" t="s">
        <v>332</v>
      </c>
      <c r="D446" s="227" t="s">
        <v>319</v>
      </c>
      <c r="E446" s="227">
        <v>0.0</v>
      </c>
      <c r="F446" s="227">
        <v>0.0</v>
      </c>
      <c r="G446" s="221"/>
      <c r="H446" s="221"/>
      <c r="I446" s="221"/>
      <c r="J446" s="221"/>
      <c r="K446" s="221"/>
      <c r="L446" s="221"/>
      <c r="M446" s="221"/>
      <c r="N446" s="221"/>
      <c r="O446" s="221"/>
      <c r="P446" s="221"/>
      <c r="Q446" s="221"/>
      <c r="R446" s="221"/>
      <c r="S446" s="221"/>
      <c r="T446" s="221"/>
      <c r="U446" s="221"/>
      <c r="V446" s="221"/>
      <c r="W446" s="221"/>
      <c r="X446" s="221"/>
      <c r="Y446" s="221"/>
      <c r="Z446" s="221"/>
    </row>
    <row r="447">
      <c r="A447" s="225" t="s">
        <v>683</v>
      </c>
      <c r="B447" s="226" t="s">
        <v>158</v>
      </c>
      <c r="C447" s="227">
        <v>0.0</v>
      </c>
      <c r="D447" s="227" t="s">
        <v>332</v>
      </c>
      <c r="E447" s="227">
        <v>0.0</v>
      </c>
      <c r="F447" s="227">
        <v>0.0</v>
      </c>
      <c r="G447" s="221"/>
      <c r="H447" s="221"/>
      <c r="I447" s="221"/>
      <c r="J447" s="221"/>
      <c r="K447" s="221"/>
      <c r="L447" s="221"/>
      <c r="M447" s="221"/>
      <c r="N447" s="221"/>
      <c r="O447" s="221"/>
      <c r="P447" s="221"/>
      <c r="Q447" s="221"/>
      <c r="R447" s="221"/>
      <c r="S447" s="221"/>
      <c r="T447" s="221"/>
      <c r="U447" s="221"/>
      <c r="V447" s="221"/>
      <c r="W447" s="221"/>
      <c r="X447" s="221"/>
      <c r="Y447" s="221"/>
      <c r="Z447" s="221"/>
    </row>
    <row r="448">
      <c r="A448" s="225" t="s">
        <v>684</v>
      </c>
      <c r="B448" s="226" t="s">
        <v>158</v>
      </c>
      <c r="C448" s="227" t="s">
        <v>332</v>
      </c>
      <c r="D448" s="227" t="s">
        <v>329</v>
      </c>
      <c r="E448" s="227">
        <v>0.0</v>
      </c>
      <c r="F448" s="227">
        <v>0.0</v>
      </c>
      <c r="G448" s="221"/>
      <c r="H448" s="221"/>
      <c r="I448" s="221"/>
      <c r="J448" s="221"/>
      <c r="K448" s="221"/>
      <c r="L448" s="221"/>
      <c r="M448" s="221"/>
      <c r="N448" s="221"/>
      <c r="O448" s="221"/>
      <c r="P448" s="221"/>
      <c r="Q448" s="221"/>
      <c r="R448" s="221"/>
      <c r="S448" s="221"/>
      <c r="T448" s="221"/>
      <c r="U448" s="221"/>
      <c r="V448" s="221"/>
      <c r="W448" s="221"/>
      <c r="X448" s="221"/>
      <c r="Y448" s="221"/>
      <c r="Z448" s="221"/>
    </row>
    <row r="449">
      <c r="A449" s="225" t="s">
        <v>686</v>
      </c>
      <c r="B449" s="226" t="s">
        <v>158</v>
      </c>
      <c r="C449" s="227" t="s">
        <v>332</v>
      </c>
      <c r="D449" s="227" t="s">
        <v>332</v>
      </c>
      <c r="E449" s="227">
        <v>0.0</v>
      </c>
      <c r="F449" s="227">
        <v>0.0</v>
      </c>
      <c r="G449" s="221"/>
      <c r="H449" s="221"/>
      <c r="I449" s="221"/>
      <c r="J449" s="221"/>
      <c r="K449" s="221"/>
      <c r="L449" s="221"/>
      <c r="M449" s="221"/>
      <c r="N449" s="221"/>
      <c r="O449" s="221"/>
      <c r="P449" s="221"/>
      <c r="Q449" s="221"/>
      <c r="R449" s="221"/>
      <c r="S449" s="221"/>
      <c r="T449" s="221"/>
      <c r="U449" s="221"/>
      <c r="V449" s="221"/>
      <c r="W449" s="221"/>
      <c r="X449" s="221"/>
      <c r="Y449" s="221"/>
      <c r="Z449" s="221"/>
    </row>
    <row r="450">
      <c r="A450" s="225" t="s">
        <v>687</v>
      </c>
      <c r="B450" s="226" t="s">
        <v>158</v>
      </c>
      <c r="C450" s="227" t="s">
        <v>332</v>
      </c>
      <c r="D450" s="227" t="s">
        <v>332</v>
      </c>
      <c r="E450" s="227">
        <v>0.0</v>
      </c>
      <c r="F450" s="227">
        <v>0.0</v>
      </c>
      <c r="G450" s="221"/>
      <c r="H450" s="221"/>
      <c r="I450" s="221"/>
      <c r="J450" s="221"/>
      <c r="K450" s="221"/>
      <c r="L450" s="221"/>
      <c r="M450" s="221"/>
      <c r="N450" s="221"/>
      <c r="O450" s="221"/>
      <c r="P450" s="221"/>
      <c r="Q450" s="221"/>
      <c r="R450" s="221"/>
      <c r="S450" s="221"/>
      <c r="T450" s="221"/>
      <c r="U450" s="221"/>
      <c r="V450" s="221"/>
      <c r="W450" s="221"/>
      <c r="X450" s="221"/>
      <c r="Y450" s="221"/>
      <c r="Z450" s="221"/>
    </row>
    <row r="451">
      <c r="A451" s="225" t="s">
        <v>688</v>
      </c>
      <c r="B451" s="226" t="s">
        <v>158</v>
      </c>
      <c r="C451" s="227" t="s">
        <v>332</v>
      </c>
      <c r="D451" s="227" t="s">
        <v>329</v>
      </c>
      <c r="E451" s="227" t="s">
        <v>332</v>
      </c>
      <c r="F451" s="227" t="s">
        <v>332</v>
      </c>
      <c r="G451" s="221"/>
      <c r="H451" s="221"/>
      <c r="I451" s="221"/>
      <c r="J451" s="221"/>
      <c r="K451" s="221"/>
      <c r="L451" s="221"/>
      <c r="M451" s="221"/>
      <c r="N451" s="221"/>
      <c r="O451" s="221"/>
      <c r="P451" s="221"/>
      <c r="Q451" s="221"/>
      <c r="R451" s="221"/>
      <c r="S451" s="221"/>
      <c r="T451" s="221"/>
      <c r="U451" s="221"/>
      <c r="V451" s="221"/>
      <c r="W451" s="221"/>
      <c r="X451" s="221"/>
      <c r="Y451" s="221"/>
      <c r="Z451" s="221"/>
    </row>
    <row r="452">
      <c r="A452" s="225" t="s">
        <v>689</v>
      </c>
      <c r="B452" s="226" t="s">
        <v>158</v>
      </c>
      <c r="C452" s="227">
        <v>0.0</v>
      </c>
      <c r="D452" s="227" t="s">
        <v>332</v>
      </c>
      <c r="E452" s="227">
        <v>0.0</v>
      </c>
      <c r="F452" s="227">
        <v>0.0</v>
      </c>
      <c r="G452" s="221"/>
      <c r="H452" s="221"/>
      <c r="I452" s="221"/>
      <c r="J452" s="221"/>
      <c r="K452" s="221"/>
      <c r="L452" s="221"/>
      <c r="M452" s="221"/>
      <c r="N452" s="221"/>
      <c r="O452" s="221"/>
      <c r="P452" s="221"/>
      <c r="Q452" s="221"/>
      <c r="R452" s="221"/>
      <c r="S452" s="221"/>
      <c r="T452" s="221"/>
      <c r="U452" s="221"/>
      <c r="V452" s="221"/>
      <c r="W452" s="221"/>
      <c r="X452" s="221"/>
      <c r="Y452" s="221"/>
      <c r="Z452" s="221"/>
    </row>
    <row r="453">
      <c r="A453" s="225" t="s">
        <v>690</v>
      </c>
      <c r="B453" s="226" t="s">
        <v>158</v>
      </c>
      <c r="C453" s="227" t="s">
        <v>332</v>
      </c>
      <c r="D453" s="227" t="s">
        <v>332</v>
      </c>
      <c r="E453" s="227">
        <v>0.0</v>
      </c>
      <c r="F453" s="227">
        <v>0.0</v>
      </c>
      <c r="G453" s="221"/>
      <c r="H453" s="221"/>
      <c r="I453" s="221"/>
      <c r="J453" s="221"/>
      <c r="K453" s="221"/>
      <c r="L453" s="221"/>
      <c r="M453" s="221"/>
      <c r="N453" s="221"/>
      <c r="O453" s="221"/>
      <c r="P453" s="221"/>
      <c r="Q453" s="221"/>
      <c r="R453" s="221"/>
      <c r="S453" s="221"/>
      <c r="T453" s="221"/>
      <c r="U453" s="221"/>
      <c r="V453" s="221"/>
      <c r="W453" s="221"/>
      <c r="X453" s="221"/>
      <c r="Y453" s="221"/>
      <c r="Z453" s="221"/>
    </row>
    <row r="454">
      <c r="A454" s="225" t="s">
        <v>691</v>
      </c>
      <c r="B454" s="226" t="s">
        <v>158</v>
      </c>
      <c r="C454" s="227" t="s">
        <v>332</v>
      </c>
      <c r="D454" s="227" t="s">
        <v>332</v>
      </c>
      <c r="E454" s="227">
        <v>0.0</v>
      </c>
      <c r="F454" s="227">
        <v>0.0</v>
      </c>
      <c r="G454" s="221"/>
      <c r="H454" s="221"/>
      <c r="I454" s="221"/>
      <c r="J454" s="221"/>
      <c r="K454" s="221"/>
      <c r="L454" s="221"/>
      <c r="M454" s="221"/>
      <c r="N454" s="221"/>
      <c r="O454" s="221"/>
      <c r="P454" s="221"/>
      <c r="Q454" s="221"/>
      <c r="R454" s="221"/>
      <c r="S454" s="221"/>
      <c r="T454" s="221"/>
      <c r="U454" s="221"/>
      <c r="V454" s="221"/>
      <c r="W454" s="221"/>
      <c r="X454" s="221"/>
      <c r="Y454" s="221"/>
      <c r="Z454" s="221"/>
    </row>
    <row r="455">
      <c r="A455" s="225" t="s">
        <v>692</v>
      </c>
      <c r="B455" s="226" t="s">
        <v>158</v>
      </c>
      <c r="C455" s="227">
        <v>0.0</v>
      </c>
      <c r="D455" s="227" t="s">
        <v>319</v>
      </c>
      <c r="E455" s="227">
        <v>0.0</v>
      </c>
      <c r="F455" s="227">
        <v>0.0</v>
      </c>
      <c r="G455" s="221"/>
      <c r="H455" s="221"/>
      <c r="I455" s="221"/>
      <c r="J455" s="221"/>
      <c r="K455" s="221"/>
      <c r="L455" s="221"/>
      <c r="M455" s="221"/>
      <c r="N455" s="221"/>
      <c r="O455" s="221"/>
      <c r="P455" s="221"/>
      <c r="Q455" s="221"/>
      <c r="R455" s="221"/>
      <c r="S455" s="221"/>
      <c r="T455" s="221"/>
      <c r="U455" s="221"/>
      <c r="V455" s="221"/>
      <c r="W455" s="221"/>
      <c r="X455" s="221"/>
      <c r="Y455" s="221"/>
      <c r="Z455" s="221"/>
    </row>
    <row r="456">
      <c r="A456" s="225" t="s">
        <v>795</v>
      </c>
      <c r="B456" s="226" t="s">
        <v>158</v>
      </c>
      <c r="C456" s="227">
        <v>0.0</v>
      </c>
      <c r="D456" s="227" t="s">
        <v>332</v>
      </c>
      <c r="E456" s="227">
        <v>0.0</v>
      </c>
      <c r="F456" s="227">
        <v>0.0</v>
      </c>
      <c r="G456" s="221"/>
      <c r="H456" s="221"/>
      <c r="I456" s="221"/>
      <c r="J456" s="221"/>
      <c r="K456" s="221"/>
      <c r="L456" s="221"/>
      <c r="M456" s="221"/>
      <c r="N456" s="221"/>
      <c r="O456" s="221"/>
      <c r="P456" s="221"/>
      <c r="Q456" s="221"/>
      <c r="R456" s="221"/>
      <c r="S456" s="221"/>
      <c r="T456" s="221"/>
      <c r="U456" s="221"/>
      <c r="V456" s="221"/>
      <c r="W456" s="221"/>
      <c r="X456" s="221"/>
      <c r="Y456" s="221"/>
      <c r="Z456" s="221"/>
    </row>
    <row r="457">
      <c r="A457" s="225" t="s">
        <v>694</v>
      </c>
      <c r="B457" s="226" t="s">
        <v>158</v>
      </c>
      <c r="C457" s="227">
        <v>0.0</v>
      </c>
      <c r="D457" s="227" t="s">
        <v>332</v>
      </c>
      <c r="E457" s="227">
        <v>0.0</v>
      </c>
      <c r="F457" s="227">
        <v>0.0</v>
      </c>
      <c r="G457" s="221"/>
      <c r="H457" s="221"/>
      <c r="I457" s="221"/>
      <c r="J457" s="221"/>
      <c r="K457" s="221"/>
      <c r="L457" s="221"/>
      <c r="M457" s="221"/>
      <c r="N457" s="221"/>
      <c r="O457" s="221"/>
      <c r="P457" s="221"/>
      <c r="Q457" s="221"/>
      <c r="R457" s="221"/>
      <c r="S457" s="221"/>
      <c r="T457" s="221"/>
      <c r="U457" s="221"/>
      <c r="V457" s="221"/>
      <c r="W457" s="221"/>
      <c r="X457" s="221"/>
      <c r="Y457" s="221"/>
      <c r="Z457" s="221"/>
    </row>
    <row r="458">
      <c r="A458" s="225" t="s">
        <v>695</v>
      </c>
      <c r="B458" s="226" t="s">
        <v>158</v>
      </c>
      <c r="C458" s="227">
        <v>0.0</v>
      </c>
      <c r="D458" s="227" t="s">
        <v>332</v>
      </c>
      <c r="E458" s="227">
        <v>0.0</v>
      </c>
      <c r="F458" s="227">
        <v>0.0</v>
      </c>
      <c r="G458" s="221"/>
      <c r="H458" s="221"/>
      <c r="I458" s="221"/>
      <c r="J458" s="221"/>
      <c r="K458" s="221"/>
      <c r="L458" s="221"/>
      <c r="M458" s="221"/>
      <c r="N458" s="221"/>
      <c r="O458" s="221"/>
      <c r="P458" s="221"/>
      <c r="Q458" s="221"/>
      <c r="R458" s="221"/>
      <c r="S458" s="221"/>
      <c r="T458" s="221"/>
      <c r="U458" s="221"/>
      <c r="V458" s="221"/>
      <c r="W458" s="221"/>
      <c r="X458" s="221"/>
      <c r="Y458" s="221"/>
      <c r="Z458" s="221"/>
    </row>
    <row r="459">
      <c r="A459" s="225" t="s">
        <v>697</v>
      </c>
      <c r="B459" s="226" t="s">
        <v>158</v>
      </c>
      <c r="C459" s="227">
        <v>0.0</v>
      </c>
      <c r="D459" s="227" t="s">
        <v>332</v>
      </c>
      <c r="E459" s="227">
        <v>0.0</v>
      </c>
      <c r="F459" s="227">
        <v>0.0</v>
      </c>
      <c r="G459" s="221"/>
      <c r="H459" s="221"/>
      <c r="I459" s="221"/>
      <c r="J459" s="221"/>
      <c r="K459" s="221"/>
      <c r="L459" s="221"/>
      <c r="M459" s="221"/>
      <c r="N459" s="221"/>
      <c r="O459" s="221"/>
      <c r="P459" s="221"/>
      <c r="Q459" s="221"/>
      <c r="R459" s="221"/>
      <c r="S459" s="221"/>
      <c r="T459" s="221"/>
      <c r="U459" s="221"/>
      <c r="V459" s="221"/>
      <c r="W459" s="221"/>
      <c r="X459" s="221"/>
      <c r="Y459" s="221"/>
      <c r="Z459" s="221"/>
    </row>
    <row r="460">
      <c r="A460" s="228" t="s">
        <v>698</v>
      </c>
      <c r="B460" s="226" t="s">
        <v>158</v>
      </c>
      <c r="C460" s="227">
        <v>0.0</v>
      </c>
      <c r="D460" s="227" t="s">
        <v>332</v>
      </c>
      <c r="E460" s="227">
        <v>0.0</v>
      </c>
      <c r="F460" s="227">
        <v>0.0</v>
      </c>
      <c r="G460" s="221"/>
      <c r="H460" s="221"/>
      <c r="I460" s="221"/>
      <c r="J460" s="221"/>
      <c r="K460" s="221"/>
      <c r="L460" s="221"/>
      <c r="M460" s="221"/>
      <c r="N460" s="221"/>
      <c r="O460" s="221"/>
      <c r="P460" s="221"/>
      <c r="Q460" s="221"/>
      <c r="R460" s="221"/>
      <c r="S460" s="221"/>
      <c r="T460" s="221"/>
      <c r="U460" s="221"/>
      <c r="V460" s="221"/>
      <c r="W460" s="221"/>
      <c r="X460" s="221"/>
      <c r="Y460" s="221"/>
      <c r="Z460" s="221"/>
    </row>
    <row r="461">
      <c r="A461" s="225" t="s">
        <v>699</v>
      </c>
      <c r="B461" s="226" t="s">
        <v>158</v>
      </c>
      <c r="C461" s="227">
        <v>0.0</v>
      </c>
      <c r="D461" s="227" t="s">
        <v>332</v>
      </c>
      <c r="E461" s="227">
        <v>0.0</v>
      </c>
      <c r="F461" s="227">
        <v>0.0</v>
      </c>
      <c r="G461" s="221"/>
      <c r="H461" s="221"/>
      <c r="I461" s="221"/>
      <c r="J461" s="221"/>
      <c r="K461" s="221"/>
      <c r="L461" s="221"/>
      <c r="M461" s="221"/>
      <c r="N461" s="221"/>
      <c r="O461" s="221"/>
      <c r="P461" s="221"/>
      <c r="Q461" s="221"/>
      <c r="R461" s="221"/>
      <c r="S461" s="221"/>
      <c r="T461" s="221"/>
      <c r="U461" s="221"/>
      <c r="V461" s="221"/>
      <c r="W461" s="221"/>
      <c r="X461" s="221"/>
      <c r="Y461" s="221"/>
      <c r="Z461" s="221"/>
    </row>
    <row r="462">
      <c r="A462" s="225" t="s">
        <v>700</v>
      </c>
      <c r="B462" s="226" t="s">
        <v>158</v>
      </c>
      <c r="C462" s="227" t="s">
        <v>332</v>
      </c>
      <c r="D462" s="227" t="s">
        <v>332</v>
      </c>
      <c r="E462" s="227">
        <v>0.0</v>
      </c>
      <c r="F462" s="227">
        <v>0.0</v>
      </c>
      <c r="G462" s="221"/>
      <c r="H462" s="221"/>
      <c r="I462" s="221"/>
      <c r="J462" s="221"/>
      <c r="K462" s="221"/>
      <c r="L462" s="221"/>
      <c r="M462" s="221"/>
      <c r="N462" s="221"/>
      <c r="O462" s="221"/>
      <c r="P462" s="221"/>
      <c r="Q462" s="221"/>
      <c r="R462" s="221"/>
      <c r="S462" s="221"/>
      <c r="T462" s="221"/>
      <c r="U462" s="221"/>
      <c r="V462" s="221"/>
      <c r="W462" s="221"/>
      <c r="X462" s="221"/>
      <c r="Y462" s="221"/>
      <c r="Z462" s="221"/>
    </row>
    <row r="463">
      <c r="A463" s="225" t="s">
        <v>701</v>
      </c>
      <c r="B463" s="226" t="s">
        <v>158</v>
      </c>
      <c r="C463" s="227">
        <v>0.0</v>
      </c>
      <c r="D463" s="227" t="s">
        <v>332</v>
      </c>
      <c r="E463" s="227">
        <v>0.0</v>
      </c>
      <c r="F463" s="227">
        <v>0.0</v>
      </c>
      <c r="G463" s="221"/>
      <c r="H463" s="221"/>
      <c r="I463" s="221"/>
      <c r="J463" s="221"/>
      <c r="K463" s="221"/>
      <c r="L463" s="221"/>
      <c r="M463" s="221"/>
      <c r="N463" s="221"/>
      <c r="O463" s="221"/>
      <c r="P463" s="221"/>
      <c r="Q463" s="221"/>
      <c r="R463" s="221"/>
      <c r="S463" s="221"/>
      <c r="T463" s="221"/>
      <c r="U463" s="221"/>
      <c r="V463" s="221"/>
      <c r="W463" s="221"/>
      <c r="X463" s="221"/>
      <c r="Y463" s="221"/>
      <c r="Z463" s="221"/>
    </row>
    <row r="464">
      <c r="A464" s="225" t="s">
        <v>702</v>
      </c>
      <c r="B464" s="226" t="s">
        <v>158</v>
      </c>
      <c r="C464" s="227">
        <v>0.0</v>
      </c>
      <c r="D464" s="227" t="s">
        <v>332</v>
      </c>
      <c r="E464" s="227">
        <v>0.0</v>
      </c>
      <c r="F464" s="227">
        <v>0.0</v>
      </c>
      <c r="G464" s="221"/>
      <c r="H464" s="221"/>
      <c r="I464" s="221"/>
      <c r="J464" s="221"/>
      <c r="K464" s="221"/>
      <c r="L464" s="221"/>
      <c r="M464" s="221"/>
      <c r="N464" s="221"/>
      <c r="O464" s="221"/>
      <c r="P464" s="221"/>
      <c r="Q464" s="221"/>
      <c r="R464" s="221"/>
      <c r="S464" s="221"/>
      <c r="T464" s="221"/>
      <c r="U464" s="221"/>
      <c r="V464" s="221"/>
      <c r="W464" s="221"/>
      <c r="X464" s="221"/>
      <c r="Y464" s="221"/>
      <c r="Z464" s="221"/>
    </row>
    <row r="465">
      <c r="A465" s="225" t="s">
        <v>704</v>
      </c>
      <c r="B465" s="226" t="s">
        <v>158</v>
      </c>
      <c r="C465" s="227" t="s">
        <v>332</v>
      </c>
      <c r="D465" s="227" t="s">
        <v>332</v>
      </c>
      <c r="E465" s="227">
        <v>0.0</v>
      </c>
      <c r="F465" s="227">
        <v>0.0</v>
      </c>
      <c r="G465" s="221"/>
      <c r="H465" s="221"/>
      <c r="I465" s="221"/>
      <c r="J465" s="221"/>
      <c r="K465" s="221"/>
      <c r="L465" s="221"/>
      <c r="M465" s="221"/>
      <c r="N465" s="221"/>
      <c r="O465" s="221"/>
      <c r="P465" s="221"/>
      <c r="Q465" s="221"/>
      <c r="R465" s="221"/>
      <c r="S465" s="221"/>
      <c r="T465" s="221"/>
      <c r="U465" s="221"/>
      <c r="V465" s="221"/>
      <c r="W465" s="221"/>
      <c r="X465" s="221"/>
      <c r="Y465" s="221"/>
      <c r="Z465" s="221"/>
    </row>
    <row r="466">
      <c r="A466" s="228" t="s">
        <v>705</v>
      </c>
      <c r="B466" s="226" t="s">
        <v>158</v>
      </c>
      <c r="C466" s="227" t="s">
        <v>332</v>
      </c>
      <c r="D466" s="227" t="s">
        <v>332</v>
      </c>
      <c r="E466" s="227">
        <v>0.0</v>
      </c>
      <c r="F466" s="227">
        <v>0.0</v>
      </c>
      <c r="G466" s="221"/>
      <c r="H466" s="221"/>
      <c r="I466" s="221"/>
      <c r="J466" s="221"/>
      <c r="K466" s="221"/>
      <c r="L466" s="221"/>
      <c r="M466" s="221"/>
      <c r="N466" s="221"/>
      <c r="O466" s="221"/>
      <c r="P466" s="221"/>
      <c r="Q466" s="221"/>
      <c r="R466" s="221"/>
      <c r="S466" s="221"/>
      <c r="T466" s="221"/>
      <c r="U466" s="221"/>
      <c r="V466" s="221"/>
      <c r="W466" s="221"/>
      <c r="X466" s="221"/>
      <c r="Y466" s="221"/>
      <c r="Z466" s="221"/>
    </row>
    <row r="467">
      <c r="A467" s="225" t="s">
        <v>706</v>
      </c>
      <c r="B467" s="226" t="s">
        <v>158</v>
      </c>
      <c r="C467" s="227" t="s">
        <v>332</v>
      </c>
      <c r="D467" s="227" t="s">
        <v>332</v>
      </c>
      <c r="E467" s="227">
        <v>0.0</v>
      </c>
      <c r="F467" s="227">
        <v>0.0</v>
      </c>
      <c r="G467" s="221"/>
      <c r="H467" s="221"/>
      <c r="I467" s="221"/>
      <c r="J467" s="221"/>
      <c r="K467" s="221"/>
      <c r="L467" s="221"/>
      <c r="M467" s="221"/>
      <c r="N467" s="221"/>
      <c r="O467" s="221"/>
      <c r="P467" s="221"/>
      <c r="Q467" s="221"/>
      <c r="R467" s="221"/>
      <c r="S467" s="221"/>
      <c r="T467" s="221"/>
      <c r="U467" s="221"/>
      <c r="V467" s="221"/>
      <c r="W467" s="221"/>
      <c r="X467" s="221"/>
      <c r="Y467" s="221"/>
      <c r="Z467" s="221"/>
    </row>
    <row r="468">
      <c r="A468" s="225" t="s">
        <v>711</v>
      </c>
      <c r="B468" s="226" t="s">
        <v>712</v>
      </c>
      <c r="C468" s="227">
        <v>0.0</v>
      </c>
      <c r="D468" s="227" t="s">
        <v>332</v>
      </c>
      <c r="E468" s="227">
        <v>0.0</v>
      </c>
      <c r="F468" s="227">
        <v>0.0</v>
      </c>
      <c r="G468" s="221"/>
      <c r="H468" s="221"/>
      <c r="I468" s="221"/>
      <c r="J468" s="221"/>
      <c r="K468" s="221"/>
      <c r="L468" s="221"/>
      <c r="M468" s="221"/>
      <c r="N468" s="221"/>
      <c r="O468" s="221"/>
      <c r="P468" s="221"/>
      <c r="Q468" s="221"/>
      <c r="R468" s="221"/>
      <c r="S468" s="221"/>
      <c r="T468" s="221"/>
      <c r="U468" s="221"/>
      <c r="V468" s="221"/>
      <c r="W468" s="221"/>
      <c r="X468" s="221"/>
      <c r="Y468" s="221"/>
      <c r="Z468" s="221"/>
    </row>
    <row r="469">
      <c r="A469" s="225" t="s">
        <v>715</v>
      </c>
      <c r="B469" s="226" t="s">
        <v>160</v>
      </c>
      <c r="C469" s="227">
        <v>0.0</v>
      </c>
      <c r="D469" s="227" t="s">
        <v>332</v>
      </c>
      <c r="E469" s="227">
        <v>0.0</v>
      </c>
      <c r="F469" s="227">
        <v>0.0</v>
      </c>
      <c r="G469" s="221"/>
      <c r="H469" s="221"/>
      <c r="I469" s="221"/>
      <c r="J469" s="221"/>
      <c r="K469" s="221"/>
      <c r="L469" s="221"/>
      <c r="M469" s="221"/>
      <c r="N469" s="221"/>
      <c r="O469" s="221"/>
      <c r="P469" s="221"/>
      <c r="Q469" s="221"/>
      <c r="R469" s="221"/>
      <c r="S469" s="221"/>
      <c r="T469" s="221"/>
      <c r="U469" s="221"/>
      <c r="V469" s="221"/>
      <c r="W469" s="221"/>
      <c r="X469" s="221"/>
      <c r="Y469" s="221"/>
      <c r="Z469" s="221"/>
    </row>
    <row r="470">
      <c r="A470" s="225" t="s">
        <v>716</v>
      </c>
      <c r="B470" s="226" t="s">
        <v>160</v>
      </c>
      <c r="C470" s="227" t="s">
        <v>332</v>
      </c>
      <c r="D470" s="227" t="s">
        <v>332</v>
      </c>
      <c r="E470" s="227">
        <v>0.0</v>
      </c>
      <c r="F470" s="227">
        <v>0.0</v>
      </c>
      <c r="G470" s="221"/>
      <c r="H470" s="221"/>
      <c r="I470" s="221"/>
      <c r="J470" s="221"/>
      <c r="K470" s="221"/>
      <c r="L470" s="221"/>
      <c r="M470" s="221"/>
      <c r="N470" s="221"/>
      <c r="O470" s="221"/>
      <c r="P470" s="221"/>
      <c r="Q470" s="221"/>
      <c r="R470" s="221"/>
      <c r="S470" s="221"/>
      <c r="T470" s="221"/>
      <c r="U470" s="221"/>
      <c r="V470" s="221"/>
      <c r="W470" s="221"/>
      <c r="X470" s="221"/>
      <c r="Y470" s="221"/>
      <c r="Z470" s="221"/>
    </row>
    <row r="471">
      <c r="A471" s="225" t="s">
        <v>717</v>
      </c>
      <c r="B471" s="226" t="s">
        <v>717</v>
      </c>
      <c r="C471" s="227">
        <v>0.0</v>
      </c>
      <c r="D471" s="227" t="s">
        <v>332</v>
      </c>
      <c r="E471" s="227">
        <v>0.0</v>
      </c>
      <c r="F471" s="227">
        <v>0.0</v>
      </c>
      <c r="G471" s="221"/>
      <c r="H471" s="221"/>
      <c r="I471" s="221"/>
      <c r="J471" s="221"/>
      <c r="K471" s="221"/>
      <c r="L471" s="221"/>
      <c r="M471" s="221"/>
      <c r="N471" s="221"/>
      <c r="O471" s="221"/>
      <c r="P471" s="221"/>
      <c r="Q471" s="221"/>
      <c r="R471" s="221"/>
      <c r="S471" s="221"/>
      <c r="T471" s="221"/>
      <c r="U471" s="221"/>
      <c r="V471" s="221"/>
      <c r="W471" s="221"/>
      <c r="X471" s="221"/>
      <c r="Y471" s="221"/>
      <c r="Z471" s="221"/>
    </row>
    <row r="472">
      <c r="A472" s="225" t="s">
        <v>796</v>
      </c>
      <c r="B472" s="226" t="s">
        <v>719</v>
      </c>
      <c r="C472" s="227" t="s">
        <v>332</v>
      </c>
      <c r="D472" s="227" t="s">
        <v>332</v>
      </c>
      <c r="E472" s="227">
        <v>0.0</v>
      </c>
      <c r="F472" s="227">
        <v>0.0</v>
      </c>
      <c r="G472" s="221"/>
      <c r="H472" s="221"/>
      <c r="I472" s="221"/>
      <c r="J472" s="221"/>
      <c r="K472" s="221"/>
      <c r="L472" s="221"/>
      <c r="M472" s="221"/>
      <c r="N472" s="221"/>
      <c r="O472" s="221"/>
      <c r="P472" s="221"/>
      <c r="Q472" s="221"/>
      <c r="R472" s="221"/>
      <c r="S472" s="221"/>
      <c r="T472" s="221"/>
      <c r="U472" s="221"/>
      <c r="V472" s="221"/>
      <c r="W472" s="221"/>
      <c r="X472" s="221"/>
      <c r="Y472" s="221"/>
      <c r="Z472" s="221"/>
    </row>
    <row r="473">
      <c r="A473" s="225" t="s">
        <v>720</v>
      </c>
      <c r="B473" s="226" t="s">
        <v>161</v>
      </c>
      <c r="C473" s="227">
        <v>0.0</v>
      </c>
      <c r="D473" s="227">
        <v>0.0</v>
      </c>
      <c r="E473" s="227" t="s">
        <v>332</v>
      </c>
      <c r="F473" s="227" t="s">
        <v>332</v>
      </c>
      <c r="G473" s="221"/>
      <c r="H473" s="221"/>
      <c r="I473" s="221"/>
      <c r="J473" s="221"/>
      <c r="K473" s="221"/>
      <c r="L473" s="221"/>
      <c r="M473" s="221"/>
      <c r="N473" s="221"/>
      <c r="O473" s="221"/>
      <c r="P473" s="221"/>
      <c r="Q473" s="221"/>
      <c r="R473" s="221"/>
      <c r="S473" s="221"/>
      <c r="T473" s="221"/>
      <c r="U473" s="221"/>
      <c r="V473" s="221"/>
      <c r="W473" s="221"/>
      <c r="X473" s="221"/>
      <c r="Y473" s="221"/>
      <c r="Z473" s="221"/>
    </row>
    <row r="474">
      <c r="A474" s="225" t="s">
        <v>724</v>
      </c>
      <c r="B474" s="226" t="s">
        <v>161</v>
      </c>
      <c r="C474" s="227" t="s">
        <v>332</v>
      </c>
      <c r="D474" s="227" t="s">
        <v>319</v>
      </c>
      <c r="E474" s="227">
        <v>0.0</v>
      </c>
      <c r="F474" s="227">
        <v>0.0</v>
      </c>
      <c r="G474" s="221"/>
      <c r="H474" s="221"/>
      <c r="I474" s="221"/>
      <c r="J474" s="221"/>
      <c r="K474" s="221"/>
      <c r="L474" s="221"/>
      <c r="M474" s="221"/>
      <c r="N474" s="221"/>
      <c r="O474" s="221"/>
      <c r="P474" s="221"/>
      <c r="Q474" s="221"/>
      <c r="R474" s="221"/>
      <c r="S474" s="221"/>
      <c r="T474" s="221"/>
      <c r="U474" s="221"/>
      <c r="V474" s="221"/>
      <c r="W474" s="221"/>
      <c r="X474" s="221"/>
      <c r="Y474" s="221"/>
      <c r="Z474" s="221"/>
    </row>
    <row r="475">
      <c r="A475" s="225" t="s">
        <v>725</v>
      </c>
      <c r="B475" s="226" t="s">
        <v>161</v>
      </c>
      <c r="C475" s="227">
        <v>0.0</v>
      </c>
      <c r="D475" s="227" t="s">
        <v>332</v>
      </c>
      <c r="E475" s="227">
        <v>0.0</v>
      </c>
      <c r="F475" s="227">
        <v>0.0</v>
      </c>
      <c r="G475" s="221"/>
      <c r="H475" s="221"/>
      <c r="I475" s="221"/>
      <c r="J475" s="221"/>
      <c r="K475" s="221"/>
      <c r="L475" s="221"/>
      <c r="M475" s="221"/>
      <c r="N475" s="221"/>
      <c r="O475" s="221"/>
      <c r="P475" s="221"/>
      <c r="Q475" s="221"/>
      <c r="R475" s="221"/>
      <c r="S475" s="221"/>
      <c r="T475" s="221"/>
      <c r="U475" s="221"/>
      <c r="V475" s="221"/>
      <c r="W475" s="221"/>
      <c r="X475" s="221"/>
      <c r="Y475" s="221"/>
      <c r="Z475" s="221"/>
    </row>
    <row r="476">
      <c r="A476" s="225" t="s">
        <v>726</v>
      </c>
      <c r="B476" s="226" t="s">
        <v>161</v>
      </c>
      <c r="C476" s="227" t="s">
        <v>332</v>
      </c>
      <c r="D476" s="227" t="s">
        <v>332</v>
      </c>
      <c r="E476" s="227">
        <v>0.0</v>
      </c>
      <c r="F476" s="227">
        <v>0.0</v>
      </c>
      <c r="G476" s="221"/>
      <c r="H476" s="221"/>
      <c r="I476" s="221"/>
      <c r="J476" s="221"/>
      <c r="K476" s="221"/>
      <c r="L476" s="221"/>
      <c r="M476" s="221"/>
      <c r="N476" s="221"/>
      <c r="O476" s="221"/>
      <c r="P476" s="221"/>
      <c r="Q476" s="221"/>
      <c r="R476" s="221"/>
      <c r="S476" s="221"/>
      <c r="T476" s="221"/>
      <c r="U476" s="221"/>
      <c r="V476" s="221"/>
      <c r="W476" s="221"/>
      <c r="X476" s="221"/>
      <c r="Y476" s="221"/>
      <c r="Z476" s="221"/>
    </row>
    <row r="477">
      <c r="A477" s="225" t="s">
        <v>733</v>
      </c>
      <c r="B477" s="226" t="s">
        <v>733</v>
      </c>
      <c r="C477" s="227">
        <v>0.0</v>
      </c>
      <c r="D477" s="227" t="s">
        <v>332</v>
      </c>
      <c r="E477" s="227">
        <v>0.0</v>
      </c>
      <c r="F477" s="227">
        <v>0.0</v>
      </c>
      <c r="G477" s="221"/>
      <c r="H477" s="221"/>
      <c r="I477" s="221"/>
      <c r="J477" s="221"/>
      <c r="K477" s="221"/>
      <c r="L477" s="221"/>
      <c r="M477" s="221"/>
      <c r="N477" s="221"/>
      <c r="O477" s="221"/>
      <c r="P477" s="221"/>
      <c r="Q477" s="221"/>
      <c r="R477" s="221"/>
      <c r="S477" s="221"/>
      <c r="T477" s="221"/>
      <c r="U477" s="221"/>
      <c r="V477" s="221"/>
      <c r="W477" s="221"/>
      <c r="X477" s="221"/>
      <c r="Y477" s="221"/>
      <c r="Z477" s="221"/>
    </row>
    <row r="478">
      <c r="A478" s="225" t="s">
        <v>735</v>
      </c>
      <c r="B478" s="226" t="s">
        <v>163</v>
      </c>
      <c r="C478" s="227" t="s">
        <v>332</v>
      </c>
      <c r="D478" s="227" t="s">
        <v>332</v>
      </c>
      <c r="E478" s="227">
        <v>0.0</v>
      </c>
      <c r="F478" s="227">
        <v>0.0</v>
      </c>
      <c r="G478" s="221"/>
      <c r="H478" s="221"/>
      <c r="I478" s="221"/>
      <c r="J478" s="221"/>
      <c r="K478" s="221"/>
      <c r="L478" s="221"/>
      <c r="M478" s="221"/>
      <c r="N478" s="221"/>
      <c r="O478" s="221"/>
      <c r="P478" s="221"/>
      <c r="Q478" s="221"/>
      <c r="R478" s="221"/>
      <c r="S478" s="221"/>
      <c r="T478" s="221"/>
      <c r="U478" s="221"/>
      <c r="V478" s="221"/>
      <c r="W478" s="221"/>
      <c r="X478" s="221"/>
      <c r="Y478" s="221"/>
      <c r="Z478" s="221"/>
    </row>
    <row r="479">
      <c r="A479" s="225" t="s">
        <v>797</v>
      </c>
      <c r="B479" s="226" t="s">
        <v>797</v>
      </c>
      <c r="C479" s="227">
        <v>0.0</v>
      </c>
      <c r="D479" s="227" t="s">
        <v>332</v>
      </c>
      <c r="E479" s="227">
        <v>0.0</v>
      </c>
      <c r="F479" s="227">
        <v>0.0</v>
      </c>
      <c r="G479" s="221"/>
      <c r="H479" s="221"/>
      <c r="I479" s="221"/>
      <c r="J479" s="221"/>
      <c r="K479" s="221"/>
      <c r="L479" s="221"/>
      <c r="M479" s="221"/>
      <c r="N479" s="221"/>
      <c r="O479" s="221"/>
      <c r="P479" s="221"/>
      <c r="Q479" s="221"/>
      <c r="R479" s="221"/>
      <c r="S479" s="221"/>
      <c r="T479" s="221"/>
      <c r="U479" s="221"/>
      <c r="V479" s="221"/>
      <c r="W479" s="221"/>
      <c r="X479" s="221"/>
      <c r="Y479" s="221"/>
      <c r="Z479" s="221"/>
    </row>
    <row r="480">
      <c r="A480" s="225" t="s">
        <v>737</v>
      </c>
      <c r="B480" s="226" t="s">
        <v>738</v>
      </c>
      <c r="C480" s="227">
        <v>0.0</v>
      </c>
      <c r="D480" s="227" t="s">
        <v>332</v>
      </c>
      <c r="E480" s="227">
        <v>0.0</v>
      </c>
      <c r="F480" s="227">
        <v>0.0</v>
      </c>
      <c r="G480" s="221"/>
      <c r="H480" s="221"/>
      <c r="I480" s="221"/>
      <c r="J480" s="221"/>
      <c r="K480" s="221"/>
      <c r="L480" s="221"/>
      <c r="M480" s="221"/>
      <c r="N480" s="221"/>
      <c r="O480" s="221"/>
      <c r="P480" s="221"/>
      <c r="Q480" s="221"/>
      <c r="R480" s="221"/>
      <c r="S480" s="221"/>
      <c r="T480" s="221"/>
      <c r="U480" s="221"/>
      <c r="V480" s="221"/>
      <c r="W480" s="221"/>
      <c r="X480" s="221"/>
      <c r="Y480" s="221"/>
      <c r="Z480" s="221"/>
    </row>
    <row r="481">
      <c r="A481" s="225" t="s">
        <v>739</v>
      </c>
      <c r="B481" s="226" t="s">
        <v>740</v>
      </c>
      <c r="C481" s="227">
        <v>0.0</v>
      </c>
      <c r="D481" s="227" t="s">
        <v>332</v>
      </c>
      <c r="E481" s="227">
        <v>0.0</v>
      </c>
      <c r="F481" s="227">
        <v>0.0</v>
      </c>
      <c r="G481" s="221"/>
      <c r="H481" s="221"/>
      <c r="I481" s="221"/>
      <c r="J481" s="221"/>
      <c r="K481" s="221"/>
      <c r="L481" s="221"/>
      <c r="M481" s="221"/>
      <c r="N481" s="221"/>
      <c r="O481" s="221"/>
      <c r="P481" s="221"/>
      <c r="Q481" s="221"/>
      <c r="R481" s="221"/>
      <c r="S481" s="221"/>
      <c r="T481" s="221"/>
      <c r="U481" s="221"/>
      <c r="V481" s="221"/>
      <c r="W481" s="221"/>
      <c r="X481" s="221"/>
      <c r="Y481" s="221"/>
      <c r="Z481" s="221"/>
    </row>
    <row r="482">
      <c r="A482" s="225" t="s">
        <v>741</v>
      </c>
      <c r="B482" s="226" t="s">
        <v>165</v>
      </c>
      <c r="C482" s="227">
        <v>0.0</v>
      </c>
      <c r="D482" s="227" t="s">
        <v>332</v>
      </c>
      <c r="E482" s="227">
        <v>0.0</v>
      </c>
      <c r="F482" s="227">
        <v>0.0</v>
      </c>
      <c r="G482" s="221"/>
      <c r="H482" s="221"/>
      <c r="I482" s="221"/>
      <c r="J482" s="221"/>
      <c r="K482" s="221"/>
      <c r="L482" s="221"/>
      <c r="M482" s="221"/>
      <c r="N482" s="221"/>
      <c r="O482" s="221"/>
      <c r="P482" s="221"/>
      <c r="Q482" s="221"/>
      <c r="R482" s="221"/>
      <c r="S482" s="221"/>
      <c r="T482" s="221"/>
      <c r="U482" s="221"/>
      <c r="V482" s="221"/>
      <c r="W482" s="221"/>
      <c r="X482" s="221"/>
      <c r="Y482" s="221"/>
      <c r="Z482" s="221"/>
    </row>
    <row r="483">
      <c r="A483" s="225" t="s">
        <v>742</v>
      </c>
      <c r="B483" s="226" t="s">
        <v>165</v>
      </c>
      <c r="C483" s="227">
        <v>0.0</v>
      </c>
      <c r="D483" s="227" t="s">
        <v>332</v>
      </c>
      <c r="E483" s="227">
        <v>0.0</v>
      </c>
      <c r="F483" s="227">
        <v>0.0</v>
      </c>
      <c r="G483" s="221"/>
      <c r="H483" s="221"/>
      <c r="I483" s="221"/>
      <c r="J483" s="221"/>
      <c r="K483" s="221"/>
      <c r="L483" s="221"/>
      <c r="M483" s="221"/>
      <c r="N483" s="221"/>
      <c r="O483" s="221"/>
      <c r="P483" s="221"/>
      <c r="Q483" s="221"/>
      <c r="R483" s="221"/>
      <c r="S483" s="221"/>
      <c r="T483" s="221"/>
      <c r="U483" s="221"/>
      <c r="V483" s="221"/>
      <c r="W483" s="221"/>
      <c r="X483" s="221"/>
      <c r="Y483" s="221"/>
      <c r="Z483" s="221"/>
    </row>
    <row r="484">
      <c r="A484" s="225" t="s">
        <v>798</v>
      </c>
      <c r="B484" s="226" t="s">
        <v>165</v>
      </c>
      <c r="C484" s="227" t="s">
        <v>332</v>
      </c>
      <c r="D484" s="227" t="s">
        <v>332</v>
      </c>
      <c r="E484" s="227">
        <v>0.0</v>
      </c>
      <c r="F484" s="227">
        <v>0.0</v>
      </c>
      <c r="G484" s="221"/>
      <c r="H484" s="221"/>
      <c r="I484" s="221"/>
      <c r="J484" s="221"/>
      <c r="K484" s="221"/>
      <c r="L484" s="221"/>
      <c r="M484" s="221"/>
      <c r="N484" s="221"/>
      <c r="O484" s="221"/>
      <c r="P484" s="221"/>
      <c r="Q484" s="221"/>
      <c r="R484" s="221"/>
      <c r="S484" s="221"/>
      <c r="T484" s="221"/>
      <c r="U484" s="221"/>
      <c r="V484" s="221"/>
      <c r="W484" s="221"/>
      <c r="X484" s="221"/>
      <c r="Y484" s="221"/>
      <c r="Z484" s="221"/>
    </row>
    <row r="485">
      <c r="A485" s="225" t="s">
        <v>799</v>
      </c>
      <c r="B485" s="226" t="s">
        <v>165</v>
      </c>
      <c r="C485" s="227" t="s">
        <v>332</v>
      </c>
      <c r="D485" s="227" t="s">
        <v>332</v>
      </c>
      <c r="E485" s="227">
        <v>0.0</v>
      </c>
      <c r="F485" s="227">
        <v>0.0</v>
      </c>
      <c r="G485" s="221"/>
      <c r="H485" s="221"/>
      <c r="I485" s="221"/>
      <c r="J485" s="221"/>
      <c r="K485" s="221"/>
      <c r="L485" s="221"/>
      <c r="M485" s="221"/>
      <c r="N485" s="221"/>
      <c r="O485" s="221"/>
      <c r="P485" s="221"/>
      <c r="Q485" s="221"/>
      <c r="R485" s="221"/>
      <c r="S485" s="221"/>
      <c r="T485" s="221"/>
      <c r="U485" s="221"/>
      <c r="V485" s="221"/>
      <c r="W485" s="221"/>
      <c r="X485" s="221"/>
      <c r="Y485" s="221"/>
      <c r="Z485" s="221"/>
    </row>
    <row r="486">
      <c r="A486" s="225" t="s">
        <v>800</v>
      </c>
      <c r="B486" s="226" t="s">
        <v>165</v>
      </c>
      <c r="C486" s="227">
        <v>0.0</v>
      </c>
      <c r="D486" s="227" t="s">
        <v>332</v>
      </c>
      <c r="E486" s="227">
        <v>0.0</v>
      </c>
      <c r="F486" s="227">
        <v>0.0</v>
      </c>
      <c r="G486" s="221"/>
      <c r="H486" s="221"/>
      <c r="I486" s="221"/>
      <c r="J486" s="221"/>
      <c r="K486" s="221"/>
      <c r="L486" s="221"/>
      <c r="M486" s="221"/>
      <c r="N486" s="221"/>
      <c r="O486" s="221"/>
      <c r="P486" s="221"/>
      <c r="Q486" s="221"/>
      <c r="R486" s="221"/>
      <c r="S486" s="221"/>
      <c r="T486" s="221"/>
      <c r="U486" s="221"/>
      <c r="V486" s="221"/>
      <c r="W486" s="221"/>
      <c r="X486" s="221"/>
      <c r="Y486" s="221"/>
      <c r="Z486" s="221"/>
    </row>
    <row r="487">
      <c r="A487" s="225" t="s">
        <v>801</v>
      </c>
      <c r="B487" s="226" t="s">
        <v>165</v>
      </c>
      <c r="C487" s="227" t="s">
        <v>332</v>
      </c>
      <c r="D487" s="227" t="s">
        <v>319</v>
      </c>
      <c r="E487" s="227">
        <v>0.0</v>
      </c>
      <c r="F487" s="227">
        <v>0.0</v>
      </c>
      <c r="G487" s="221"/>
      <c r="H487" s="221"/>
      <c r="I487" s="221"/>
      <c r="J487" s="221"/>
      <c r="K487" s="221"/>
      <c r="L487" s="221"/>
      <c r="M487" s="221"/>
      <c r="N487" s="221"/>
      <c r="O487" s="221"/>
      <c r="P487" s="221"/>
      <c r="Q487" s="221"/>
      <c r="R487" s="221"/>
      <c r="S487" s="221"/>
      <c r="T487" s="221"/>
      <c r="U487" s="221"/>
      <c r="V487" s="221"/>
      <c r="W487" s="221"/>
      <c r="X487" s="221"/>
      <c r="Y487" s="221"/>
      <c r="Z487" s="221"/>
    </row>
    <row r="488">
      <c r="A488" s="225" t="s">
        <v>747</v>
      </c>
      <c r="B488" s="226" t="s">
        <v>165</v>
      </c>
      <c r="C488" s="227" t="s">
        <v>332</v>
      </c>
      <c r="D488" s="227" t="s">
        <v>319</v>
      </c>
      <c r="E488" s="227">
        <v>0.0</v>
      </c>
      <c r="F488" s="227">
        <v>0.0</v>
      </c>
      <c r="G488" s="221"/>
      <c r="H488" s="221"/>
      <c r="I488" s="221"/>
      <c r="J488" s="221"/>
      <c r="K488" s="221"/>
      <c r="L488" s="221"/>
      <c r="M488" s="221"/>
      <c r="N488" s="221"/>
      <c r="O488" s="221"/>
      <c r="P488" s="221"/>
      <c r="Q488" s="221"/>
      <c r="R488" s="221"/>
      <c r="S488" s="221"/>
      <c r="T488" s="221"/>
      <c r="U488" s="221"/>
      <c r="V488" s="221"/>
      <c r="W488" s="221"/>
      <c r="X488" s="221"/>
      <c r="Y488" s="221"/>
      <c r="Z488" s="221"/>
    </row>
    <row r="489">
      <c r="A489" s="225" t="s">
        <v>748</v>
      </c>
      <c r="B489" s="226" t="s">
        <v>165</v>
      </c>
      <c r="C489" s="227">
        <v>0.0</v>
      </c>
      <c r="D489" s="227" t="s">
        <v>332</v>
      </c>
      <c r="E489" s="227">
        <v>0.0</v>
      </c>
      <c r="F489" s="227">
        <v>0.0</v>
      </c>
      <c r="G489" s="221"/>
      <c r="H489" s="221"/>
      <c r="I489" s="221"/>
      <c r="J489" s="221"/>
      <c r="K489" s="221"/>
      <c r="L489" s="221"/>
      <c r="M489" s="221"/>
      <c r="N489" s="221"/>
      <c r="O489" s="221"/>
      <c r="P489" s="221"/>
      <c r="Q489" s="221"/>
      <c r="R489" s="221"/>
      <c r="S489" s="221"/>
      <c r="T489" s="221"/>
      <c r="U489" s="221"/>
      <c r="V489" s="221"/>
      <c r="W489" s="221"/>
      <c r="X489" s="221"/>
      <c r="Y489" s="221"/>
      <c r="Z489" s="221"/>
    </row>
    <row r="490">
      <c r="A490" s="225" t="s">
        <v>749</v>
      </c>
      <c r="B490" s="226" t="s">
        <v>165</v>
      </c>
      <c r="C490" s="227" t="s">
        <v>332</v>
      </c>
      <c r="D490" s="227" t="s">
        <v>332</v>
      </c>
      <c r="E490" s="227">
        <v>0.0</v>
      </c>
      <c r="F490" s="227">
        <v>0.0</v>
      </c>
      <c r="G490" s="221"/>
      <c r="H490" s="221"/>
      <c r="I490" s="221"/>
      <c r="J490" s="221"/>
      <c r="K490" s="221"/>
      <c r="L490" s="221"/>
      <c r="M490" s="221"/>
      <c r="N490" s="221"/>
      <c r="O490" s="221"/>
      <c r="P490" s="221"/>
      <c r="Q490" s="221"/>
      <c r="R490" s="221"/>
      <c r="S490" s="221"/>
      <c r="T490" s="221"/>
      <c r="U490" s="221"/>
      <c r="V490" s="221"/>
      <c r="W490" s="221"/>
      <c r="X490" s="221"/>
      <c r="Y490" s="221"/>
      <c r="Z490" s="221"/>
    </row>
    <row r="491">
      <c r="A491" s="225" t="s">
        <v>802</v>
      </c>
      <c r="B491" s="226" t="s">
        <v>165</v>
      </c>
      <c r="C491" s="227" t="s">
        <v>332</v>
      </c>
      <c r="D491" s="227" t="s">
        <v>332</v>
      </c>
      <c r="E491" s="227">
        <v>0.0</v>
      </c>
      <c r="F491" s="227" t="s">
        <v>332</v>
      </c>
      <c r="G491" s="221"/>
      <c r="H491" s="221"/>
      <c r="I491" s="221"/>
      <c r="J491" s="221"/>
      <c r="K491" s="221"/>
      <c r="L491" s="221"/>
      <c r="M491" s="221"/>
      <c r="N491" s="221"/>
      <c r="O491" s="221"/>
      <c r="P491" s="221"/>
      <c r="Q491" s="221"/>
      <c r="R491" s="221"/>
      <c r="S491" s="221"/>
      <c r="T491" s="221"/>
      <c r="U491" s="221"/>
      <c r="V491" s="221"/>
      <c r="W491" s="221"/>
      <c r="X491" s="221"/>
      <c r="Y491" s="221"/>
      <c r="Z491" s="221"/>
    </row>
    <row r="492">
      <c r="A492" s="225" t="s">
        <v>803</v>
      </c>
      <c r="B492" s="226" t="s">
        <v>165</v>
      </c>
      <c r="C492" s="227" t="s">
        <v>332</v>
      </c>
      <c r="D492" s="227" t="s">
        <v>332</v>
      </c>
      <c r="E492" s="227">
        <v>0.0</v>
      </c>
      <c r="F492" s="227">
        <v>0.0</v>
      </c>
      <c r="G492" s="221"/>
      <c r="H492" s="221"/>
      <c r="I492" s="221"/>
      <c r="J492" s="221"/>
      <c r="K492" s="221"/>
      <c r="L492" s="221"/>
      <c r="M492" s="221"/>
      <c r="N492" s="221"/>
      <c r="O492" s="221"/>
      <c r="P492" s="221"/>
      <c r="Q492" s="221"/>
      <c r="R492" s="221"/>
      <c r="S492" s="221"/>
      <c r="T492" s="221"/>
      <c r="U492" s="221"/>
      <c r="V492" s="221"/>
      <c r="W492" s="221"/>
      <c r="X492" s="221"/>
      <c r="Y492" s="221"/>
      <c r="Z492" s="221"/>
    </row>
    <row r="493">
      <c r="A493" s="225" t="s">
        <v>804</v>
      </c>
      <c r="B493" s="226" t="s">
        <v>167</v>
      </c>
      <c r="C493" s="227">
        <v>0.0</v>
      </c>
      <c r="D493" s="227" t="s">
        <v>332</v>
      </c>
      <c r="E493" s="227">
        <v>0.0</v>
      </c>
      <c r="F493" s="227">
        <v>0.0</v>
      </c>
      <c r="G493" s="221"/>
      <c r="H493" s="221"/>
      <c r="I493" s="221"/>
      <c r="J493" s="221"/>
      <c r="K493" s="221"/>
      <c r="L493" s="221"/>
      <c r="M493" s="221"/>
      <c r="N493" s="221"/>
      <c r="O493" s="221"/>
      <c r="P493" s="221"/>
      <c r="Q493" s="221"/>
      <c r="R493" s="221"/>
      <c r="S493" s="221"/>
      <c r="T493" s="221"/>
      <c r="U493" s="221"/>
      <c r="V493" s="221"/>
      <c r="W493" s="221"/>
      <c r="X493" s="221"/>
      <c r="Y493" s="221"/>
      <c r="Z493" s="221"/>
    </row>
    <row r="494">
      <c r="A494" s="225" t="s">
        <v>751</v>
      </c>
      <c r="B494" s="226" t="s">
        <v>167</v>
      </c>
      <c r="C494" s="227" t="s">
        <v>332</v>
      </c>
      <c r="D494" s="227" t="s">
        <v>332</v>
      </c>
      <c r="E494" s="227">
        <v>0.0</v>
      </c>
      <c r="F494" s="227">
        <v>0.0</v>
      </c>
      <c r="G494" s="221"/>
      <c r="H494" s="221"/>
      <c r="I494" s="221"/>
      <c r="J494" s="221"/>
      <c r="K494" s="221"/>
      <c r="L494" s="221"/>
      <c r="M494" s="221"/>
      <c r="N494" s="221"/>
      <c r="O494" s="221"/>
      <c r="P494" s="221"/>
      <c r="Q494" s="221"/>
      <c r="R494" s="221"/>
      <c r="S494" s="221"/>
      <c r="T494" s="221"/>
      <c r="U494" s="221"/>
      <c r="V494" s="221"/>
      <c r="W494" s="221"/>
      <c r="X494" s="221"/>
      <c r="Y494" s="221"/>
      <c r="Z494" s="221"/>
    </row>
    <row r="495">
      <c r="A495" s="225" t="s">
        <v>805</v>
      </c>
      <c r="B495" s="226" t="s">
        <v>167</v>
      </c>
      <c r="C495" s="227">
        <v>0.0</v>
      </c>
      <c r="D495" s="227" t="s">
        <v>332</v>
      </c>
      <c r="E495" s="227">
        <v>0.0</v>
      </c>
      <c r="F495" s="227">
        <v>0.0</v>
      </c>
      <c r="G495" s="221"/>
      <c r="H495" s="221"/>
      <c r="I495" s="221"/>
      <c r="J495" s="221"/>
      <c r="K495" s="221"/>
      <c r="L495" s="221"/>
      <c r="M495" s="221"/>
      <c r="N495" s="221"/>
      <c r="O495" s="221"/>
      <c r="P495" s="221"/>
      <c r="Q495" s="221"/>
      <c r="R495" s="221"/>
      <c r="S495" s="221"/>
      <c r="T495" s="221"/>
      <c r="U495" s="221"/>
      <c r="V495" s="221"/>
      <c r="W495" s="221"/>
      <c r="X495" s="221"/>
      <c r="Y495" s="221"/>
      <c r="Z495" s="221"/>
    </row>
    <row r="496">
      <c r="A496" s="225" t="s">
        <v>758</v>
      </c>
      <c r="B496" s="226" t="s">
        <v>169</v>
      </c>
      <c r="C496" s="227">
        <v>0.0</v>
      </c>
      <c r="D496" s="227" t="s">
        <v>332</v>
      </c>
      <c r="E496" s="227">
        <v>0.0</v>
      </c>
      <c r="F496" s="227">
        <v>0.0</v>
      </c>
      <c r="G496" s="221"/>
      <c r="H496" s="221"/>
      <c r="I496" s="221"/>
      <c r="J496" s="221"/>
      <c r="K496" s="221"/>
      <c r="L496" s="221"/>
      <c r="M496" s="221"/>
      <c r="N496" s="221"/>
      <c r="O496" s="221"/>
      <c r="P496" s="221"/>
      <c r="Q496" s="221"/>
      <c r="R496" s="221"/>
      <c r="S496" s="221"/>
      <c r="T496" s="221"/>
      <c r="U496" s="221"/>
      <c r="V496" s="221"/>
      <c r="W496" s="221"/>
      <c r="X496" s="221"/>
      <c r="Y496" s="221"/>
      <c r="Z496" s="221"/>
    </row>
    <row r="497">
      <c r="A497" s="225" t="s">
        <v>759</v>
      </c>
      <c r="B497" s="226" t="s">
        <v>169</v>
      </c>
      <c r="C497" s="227" t="s">
        <v>332</v>
      </c>
      <c r="D497" s="227" t="s">
        <v>332</v>
      </c>
      <c r="E497" s="227">
        <v>0.0</v>
      </c>
      <c r="F497" s="227">
        <v>0.0</v>
      </c>
      <c r="G497" s="221"/>
      <c r="H497" s="221"/>
      <c r="I497" s="221"/>
      <c r="J497" s="221"/>
      <c r="K497" s="221"/>
      <c r="L497" s="221"/>
      <c r="M497" s="221"/>
      <c r="N497" s="221"/>
      <c r="O497" s="221"/>
      <c r="P497" s="221"/>
      <c r="Q497" s="221"/>
      <c r="R497" s="221"/>
      <c r="S497" s="221"/>
      <c r="T497" s="221"/>
      <c r="U497" s="221"/>
      <c r="V497" s="221"/>
      <c r="W497" s="221"/>
      <c r="X497" s="221"/>
      <c r="Y497" s="221"/>
      <c r="Z497" s="221"/>
    </row>
    <row r="498">
      <c r="A498" s="225" t="s">
        <v>760</v>
      </c>
      <c r="B498" s="226" t="s">
        <v>169</v>
      </c>
      <c r="C498" s="227">
        <v>0.0</v>
      </c>
      <c r="D498" s="227" t="s">
        <v>332</v>
      </c>
      <c r="E498" s="227">
        <v>0.0</v>
      </c>
      <c r="F498" s="227">
        <v>0.0</v>
      </c>
      <c r="G498" s="221"/>
      <c r="H498" s="221"/>
      <c r="I498" s="221"/>
      <c r="J498" s="221"/>
      <c r="K498" s="221"/>
      <c r="L498" s="221"/>
      <c r="M498" s="221"/>
      <c r="N498" s="221"/>
      <c r="O498" s="221"/>
      <c r="P498" s="221"/>
      <c r="Q498" s="221"/>
      <c r="R498" s="221"/>
      <c r="S498" s="221"/>
      <c r="T498" s="221"/>
      <c r="U498" s="221"/>
      <c r="V498" s="221"/>
      <c r="W498" s="221"/>
      <c r="X498" s="221"/>
      <c r="Y498" s="221"/>
      <c r="Z498" s="221"/>
    </row>
    <row r="499">
      <c r="A499" s="225" t="s">
        <v>761</v>
      </c>
      <c r="B499" s="226" t="s">
        <v>169</v>
      </c>
      <c r="C499" s="227">
        <v>0.0</v>
      </c>
      <c r="D499" s="227" t="s">
        <v>332</v>
      </c>
      <c r="E499" s="227">
        <v>0.0</v>
      </c>
      <c r="F499" s="227">
        <v>0.0</v>
      </c>
      <c r="G499" s="221"/>
      <c r="H499" s="221"/>
      <c r="I499" s="221"/>
      <c r="J499" s="221"/>
      <c r="K499" s="221"/>
      <c r="L499" s="221"/>
      <c r="M499" s="221"/>
      <c r="N499" s="221"/>
      <c r="O499" s="221"/>
      <c r="P499" s="221"/>
      <c r="Q499" s="221"/>
      <c r="R499" s="221"/>
      <c r="S499" s="221"/>
      <c r="T499" s="221"/>
      <c r="U499" s="221"/>
      <c r="V499" s="221"/>
      <c r="W499" s="221"/>
      <c r="X499" s="221"/>
      <c r="Y499" s="221"/>
      <c r="Z499" s="221"/>
    </row>
    <row r="500">
      <c r="A500" s="225" t="s">
        <v>763</v>
      </c>
      <c r="B500" s="226" t="s">
        <v>169</v>
      </c>
      <c r="C500" s="227" t="s">
        <v>332</v>
      </c>
      <c r="D500" s="227" t="s">
        <v>332</v>
      </c>
      <c r="E500" s="227">
        <v>0.0</v>
      </c>
      <c r="F500" s="227">
        <v>0.0</v>
      </c>
      <c r="G500" s="221"/>
      <c r="H500" s="221"/>
      <c r="I500" s="221"/>
      <c r="J500" s="221"/>
      <c r="K500" s="221"/>
      <c r="L500" s="221"/>
      <c r="M500" s="221"/>
      <c r="N500" s="221"/>
      <c r="O500" s="221"/>
      <c r="P500" s="221"/>
      <c r="Q500" s="221"/>
      <c r="R500" s="221"/>
      <c r="S500" s="221"/>
      <c r="T500" s="221"/>
      <c r="U500" s="221"/>
      <c r="V500" s="221"/>
      <c r="W500" s="221"/>
      <c r="X500" s="221"/>
      <c r="Y500" s="221"/>
      <c r="Z500" s="221"/>
    </row>
    <row r="501">
      <c r="A501" s="225" t="s">
        <v>764</v>
      </c>
      <c r="B501" s="226" t="s">
        <v>169</v>
      </c>
      <c r="C501" s="227" t="s">
        <v>332</v>
      </c>
      <c r="D501" s="227" t="s">
        <v>319</v>
      </c>
      <c r="E501" s="227">
        <v>0.0</v>
      </c>
      <c r="F501" s="227" t="s">
        <v>332</v>
      </c>
      <c r="G501" s="221"/>
      <c r="H501" s="221"/>
      <c r="I501" s="221"/>
      <c r="J501" s="221"/>
      <c r="K501" s="221"/>
      <c r="L501" s="221"/>
      <c r="M501" s="221"/>
      <c r="N501" s="221"/>
      <c r="O501" s="221"/>
      <c r="P501" s="221"/>
      <c r="Q501" s="221"/>
      <c r="R501" s="221"/>
      <c r="S501" s="221"/>
      <c r="T501" s="221"/>
      <c r="U501" s="221"/>
      <c r="V501" s="221"/>
      <c r="W501" s="221"/>
      <c r="X501" s="221"/>
      <c r="Y501" s="221"/>
      <c r="Z501" s="221"/>
    </row>
    <row r="502">
      <c r="A502" s="225" t="s">
        <v>765</v>
      </c>
      <c r="B502" s="226" t="s">
        <v>169</v>
      </c>
      <c r="C502" s="227" t="s">
        <v>332</v>
      </c>
      <c r="D502" s="227" t="s">
        <v>332</v>
      </c>
      <c r="E502" s="227">
        <v>0.0</v>
      </c>
      <c r="F502" s="227">
        <v>0.0</v>
      </c>
      <c r="G502" s="221"/>
      <c r="H502" s="221"/>
      <c r="I502" s="221"/>
      <c r="J502" s="221"/>
      <c r="K502" s="221"/>
      <c r="L502" s="221"/>
      <c r="M502" s="221"/>
      <c r="N502" s="221"/>
      <c r="O502" s="221"/>
      <c r="P502" s="221"/>
      <c r="Q502" s="221"/>
      <c r="R502" s="221"/>
      <c r="S502" s="221"/>
      <c r="T502" s="221"/>
      <c r="U502" s="221"/>
      <c r="V502" s="221"/>
      <c r="W502" s="221"/>
      <c r="X502" s="221"/>
      <c r="Y502" s="221"/>
      <c r="Z502" s="221"/>
    </row>
    <row r="503">
      <c r="A503" s="225" t="s">
        <v>766</v>
      </c>
      <c r="B503" s="226" t="s">
        <v>169</v>
      </c>
      <c r="C503" s="227">
        <v>0.0</v>
      </c>
      <c r="D503" s="227" t="s">
        <v>332</v>
      </c>
      <c r="E503" s="227">
        <v>0.0</v>
      </c>
      <c r="F503" s="227">
        <v>0.0</v>
      </c>
      <c r="G503" s="221"/>
      <c r="H503" s="221"/>
      <c r="I503" s="221"/>
      <c r="J503" s="221"/>
      <c r="K503" s="221"/>
      <c r="L503" s="221"/>
      <c r="M503" s="221"/>
      <c r="N503" s="221"/>
      <c r="O503" s="221"/>
      <c r="P503" s="221"/>
      <c r="Q503" s="221"/>
      <c r="R503" s="221"/>
      <c r="S503" s="221"/>
      <c r="T503" s="221"/>
      <c r="U503" s="221"/>
      <c r="V503" s="221"/>
      <c r="W503" s="221"/>
      <c r="X503" s="221"/>
      <c r="Y503" s="221"/>
      <c r="Z503" s="221"/>
    </row>
    <row r="504">
      <c r="A504" s="225" t="s">
        <v>767</v>
      </c>
      <c r="B504" s="226" t="s">
        <v>768</v>
      </c>
      <c r="C504" s="227">
        <v>0.0</v>
      </c>
      <c r="D504" s="227" t="s">
        <v>332</v>
      </c>
      <c r="E504" s="227" t="s">
        <v>332</v>
      </c>
      <c r="F504" s="227" t="s">
        <v>332</v>
      </c>
      <c r="G504" s="221"/>
      <c r="H504" s="221"/>
      <c r="I504" s="221"/>
      <c r="J504" s="221"/>
      <c r="K504" s="221"/>
      <c r="L504" s="221"/>
      <c r="M504" s="221"/>
      <c r="N504" s="221"/>
      <c r="O504" s="221"/>
      <c r="P504" s="221"/>
      <c r="Q504" s="221"/>
      <c r="R504" s="221"/>
      <c r="S504" s="221"/>
      <c r="T504" s="221"/>
      <c r="U504" s="221"/>
      <c r="V504" s="221"/>
      <c r="W504" s="221"/>
      <c r="X504" s="221"/>
      <c r="Y504" s="221"/>
      <c r="Z504" s="221"/>
    </row>
    <row r="505">
      <c r="A505" s="229"/>
      <c r="B505" s="230" t="s">
        <v>769</v>
      </c>
      <c r="C505" s="231" t="s">
        <v>806</v>
      </c>
      <c r="D505" s="231" t="s">
        <v>807</v>
      </c>
      <c r="E505" s="231" t="s">
        <v>319</v>
      </c>
      <c r="F505" s="231" t="s">
        <v>350</v>
      </c>
      <c r="G505" s="221"/>
      <c r="H505" s="221"/>
      <c r="I505" s="221"/>
      <c r="J505" s="221"/>
      <c r="K505" s="221"/>
      <c r="L505" s="221"/>
      <c r="M505" s="221"/>
      <c r="N505" s="221"/>
      <c r="O505" s="221"/>
      <c r="P505" s="221"/>
      <c r="Q505" s="221"/>
      <c r="R505" s="221"/>
      <c r="S505" s="221"/>
      <c r="T505" s="221"/>
      <c r="U505" s="221"/>
      <c r="V505" s="221"/>
      <c r="W505" s="221"/>
      <c r="X505" s="221"/>
      <c r="Y505" s="221"/>
      <c r="Z505" s="221"/>
    </row>
    <row r="506">
      <c r="A506" s="233" t="s">
        <v>808</v>
      </c>
      <c r="B506" s="86"/>
      <c r="C506" s="86"/>
      <c r="D506" s="86"/>
      <c r="E506" s="86"/>
      <c r="F506" s="35"/>
      <c r="G506" s="221"/>
      <c r="H506" s="221"/>
      <c r="I506" s="221"/>
      <c r="J506" s="221"/>
      <c r="K506" s="221"/>
      <c r="L506" s="221"/>
      <c r="M506" s="221"/>
      <c r="N506" s="221"/>
      <c r="O506" s="221"/>
      <c r="P506" s="221"/>
      <c r="Q506" s="221"/>
      <c r="R506" s="221"/>
      <c r="S506" s="221"/>
      <c r="T506" s="221"/>
      <c r="U506" s="221"/>
      <c r="V506" s="221"/>
      <c r="W506" s="221"/>
      <c r="X506" s="221"/>
      <c r="Y506" s="221"/>
      <c r="Z506" s="221"/>
    </row>
  </sheetData>
  <mergeCells count="6">
    <mergeCell ref="A1:F1"/>
    <mergeCell ref="A2:F2"/>
    <mergeCell ref="A3:F3"/>
    <mergeCell ref="A5:F5"/>
    <mergeCell ref="A311:F311"/>
    <mergeCell ref="A506:F50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4">
        <f>IFERROR(__xludf.DUMMYFUNCTION("filter( Trends!A1:AO1000, row(Trends!A1:A1000) &gt; counta(Trends!A1:A1000) - 199 )"),43948.0)</f>
        <v>43948</v>
      </c>
      <c r="B1" s="173">
        <f>IFERROR(__xludf.DUMMYFUNCTION("""COMPUTED_VALUE"""),249.0)</f>
        <v>249</v>
      </c>
      <c r="C1" s="173">
        <f>IFERROR(__xludf.DUMMYFUNCTION("""COMPUTED_VALUE"""),319.0)</f>
        <v>319</v>
      </c>
      <c r="D1" s="173">
        <f>IFERROR(__xludf.DUMMYFUNCTION("""COMPUTED_VALUE"""),8658.0)</f>
        <v>8658</v>
      </c>
      <c r="E1" s="173">
        <f>IFERROR(__xludf.DUMMYFUNCTION("""COMPUTED_VALUE"""),1620.0)</f>
        <v>1620</v>
      </c>
      <c r="F1" s="173">
        <f>IFERROR(__xludf.DUMMYFUNCTION("""COMPUTED_VALUE"""),51196.0)</f>
        <v>51196</v>
      </c>
      <c r="G1" s="173">
        <f>IFERROR(__xludf.DUMMYFUNCTION("""COMPUTED_VALUE"""),1869.0)</f>
        <v>1869</v>
      </c>
      <c r="H1" s="173">
        <f>IFERROR(__xludf.DUMMYFUNCTION("""COMPUTED_VALUE"""),59854.0)</f>
        <v>59854</v>
      </c>
      <c r="I1" s="173">
        <f>IFERROR(__xludf.DUMMYFUNCTION("""COMPUTED_VALUE"""),206.0)</f>
        <v>206</v>
      </c>
      <c r="J1" s="173">
        <f>IFERROR(__xludf.DUMMYFUNCTION("""COMPUTED_VALUE"""),260.0)</f>
        <v>260</v>
      </c>
      <c r="K1" s="173">
        <f>IFERROR(__xludf.DUMMYFUNCTION("""COMPUTED_VALUE"""),7921.0)</f>
        <v>7921</v>
      </c>
      <c r="L1" s="173">
        <f>IFERROR(__xludf.DUMMYFUNCTION("""COMPUTED_VALUE"""),1133.0)</f>
        <v>1133</v>
      </c>
      <c r="M1" s="173">
        <f>IFERROR(__xludf.DUMMYFUNCTION("""COMPUTED_VALUE"""),42495.0)</f>
        <v>42495</v>
      </c>
      <c r="N1" s="173">
        <f>IFERROR(__xludf.DUMMYFUNCTION("""COMPUTED_VALUE"""),50416.0)</f>
        <v>50416</v>
      </c>
      <c r="O1" s="173">
        <f>IFERROR(__xludf.DUMMYFUNCTION("""COMPUTED_VALUE"""),29.0)</f>
        <v>29</v>
      </c>
      <c r="P1" s="173">
        <f>IFERROR(__xludf.DUMMYFUNCTION("""COMPUTED_VALUE"""),928.0)</f>
        <v>928</v>
      </c>
      <c r="Q1" s="173">
        <f>IFERROR(__xludf.DUMMYFUNCTION("""COMPUTED_VALUE"""),21.0)</f>
        <v>21</v>
      </c>
      <c r="R1" s="173">
        <f>IFERROR(__xludf.DUMMYFUNCTION("""COMPUTED_VALUE"""),470.0)</f>
        <v>470</v>
      </c>
      <c r="S1" s="173">
        <f>IFERROR(__xludf.DUMMYFUNCTION("""COMPUTED_VALUE"""),4.0)</f>
        <v>4</v>
      </c>
      <c r="T1" s="173">
        <f>IFERROR(__xludf.DUMMYFUNCTION("""COMPUTED_VALUE"""),98.0)</f>
        <v>98</v>
      </c>
      <c r="U1" s="173">
        <f>IFERROR(__xludf.DUMMYFUNCTION("""COMPUTED_VALUE"""),360.0)</f>
        <v>360</v>
      </c>
      <c r="V1" s="173">
        <f>IFERROR(__xludf.DUMMYFUNCTION("""COMPUTED_VALUE"""),352.0)</f>
        <v>352</v>
      </c>
      <c r="W1" s="173">
        <f>IFERROR(__xludf.DUMMYFUNCTION("""COMPUTED_VALUE"""),86.0)</f>
        <v>86</v>
      </c>
      <c r="X1" s="173">
        <f>IFERROR(__xludf.DUMMYFUNCTION("""COMPUTED_VALUE"""),61.0)</f>
        <v>61</v>
      </c>
      <c r="Y1" s="173">
        <f>IFERROR(__xludf.DUMMYFUNCTION("""COMPUTED_VALUE"""),10.0)</f>
        <v>10</v>
      </c>
      <c r="Z1" s="173">
        <f>IFERROR(__xludf.DUMMYFUNCTION("""COMPUTED_VALUE"""),300.0)</f>
        <v>300</v>
      </c>
    </row>
    <row r="2">
      <c r="A2" s="234">
        <f>IFERROR(__xludf.DUMMYFUNCTION("""COMPUTED_VALUE"""),43949.0)</f>
        <v>43949</v>
      </c>
      <c r="B2" s="173">
        <f>IFERROR(__xludf.DUMMYFUNCTION("""COMPUTED_VALUE"""),410.0)</f>
        <v>410</v>
      </c>
      <c r="C2" s="173">
        <f>IFERROR(__xludf.DUMMYFUNCTION("""COMPUTED_VALUE"""),325.0)</f>
        <v>325</v>
      </c>
      <c r="D2" s="173">
        <f>IFERROR(__xludf.DUMMYFUNCTION("""COMPUTED_VALUE"""),9068.0)</f>
        <v>9068</v>
      </c>
      <c r="E2" s="173">
        <f>IFERROR(__xludf.DUMMYFUNCTION("""COMPUTED_VALUE"""),2263.0)</f>
        <v>2263</v>
      </c>
      <c r="F2" s="173">
        <f>IFERROR(__xludf.DUMMYFUNCTION("""COMPUTED_VALUE"""),53459.0)</f>
        <v>53459</v>
      </c>
      <c r="G2" s="173">
        <f>IFERROR(__xludf.DUMMYFUNCTION("""COMPUTED_VALUE"""),2673.0)</f>
        <v>2673</v>
      </c>
      <c r="H2" s="173">
        <f>IFERROR(__xludf.DUMMYFUNCTION("""COMPUTED_VALUE"""),62527.0)</f>
        <v>62527</v>
      </c>
      <c r="I2" s="173">
        <f>IFERROR(__xludf.DUMMYFUNCTION("""COMPUTED_VALUE"""),332.0)</f>
        <v>332</v>
      </c>
      <c r="J2" s="173">
        <f>IFERROR(__xludf.DUMMYFUNCTION("""COMPUTED_VALUE"""),271.0)</f>
        <v>271</v>
      </c>
      <c r="K2" s="173">
        <f>IFERROR(__xludf.DUMMYFUNCTION("""COMPUTED_VALUE"""),8253.0)</f>
        <v>8253</v>
      </c>
      <c r="L2" s="173">
        <f>IFERROR(__xludf.DUMMYFUNCTION("""COMPUTED_VALUE"""),1678.0)</f>
        <v>1678</v>
      </c>
      <c r="M2" s="173">
        <f>IFERROR(__xludf.DUMMYFUNCTION("""COMPUTED_VALUE"""),44173.0)</f>
        <v>44173</v>
      </c>
      <c r="N2" s="173">
        <f>IFERROR(__xludf.DUMMYFUNCTION("""COMPUTED_VALUE"""),52426.0)</f>
        <v>52426</v>
      </c>
      <c r="O2" s="173">
        <f>IFERROR(__xludf.DUMMYFUNCTION("""COMPUTED_VALUE"""),44.0)</f>
        <v>44</v>
      </c>
      <c r="P2" s="173">
        <f>IFERROR(__xludf.DUMMYFUNCTION("""COMPUTED_VALUE"""),972.0)</f>
        <v>972</v>
      </c>
      <c r="Q2" s="173">
        <f>IFERROR(__xludf.DUMMYFUNCTION("""COMPUTED_VALUE"""),24.0)</f>
        <v>24</v>
      </c>
      <c r="R2" s="173">
        <f>IFERROR(__xludf.DUMMYFUNCTION("""COMPUTED_VALUE"""),494.0)</f>
        <v>494</v>
      </c>
      <c r="S2" s="173">
        <f>IFERROR(__xludf.DUMMYFUNCTION("""COMPUTED_VALUE"""),3.0)</f>
        <v>3</v>
      </c>
      <c r="T2" s="173">
        <f>IFERROR(__xludf.DUMMYFUNCTION("""COMPUTED_VALUE"""),101.0)</f>
        <v>101</v>
      </c>
      <c r="U2" s="173">
        <f>IFERROR(__xludf.DUMMYFUNCTION("""COMPUTED_VALUE"""),377.0)</f>
        <v>377</v>
      </c>
      <c r="V2" s="173">
        <f>IFERROR(__xludf.DUMMYFUNCTION("""COMPUTED_VALUE"""),364.0)</f>
        <v>364</v>
      </c>
      <c r="W2" s="173">
        <f>IFERROR(__xludf.DUMMYFUNCTION("""COMPUTED_VALUE"""),88.0)</f>
        <v>88</v>
      </c>
      <c r="X2" s="173">
        <f>IFERROR(__xludf.DUMMYFUNCTION("""COMPUTED_VALUE"""),59.0)</f>
        <v>59</v>
      </c>
      <c r="Y2" s="173">
        <f>IFERROR(__xludf.DUMMYFUNCTION("""COMPUTED_VALUE"""),22.0)</f>
        <v>22</v>
      </c>
      <c r="Z2" s="173">
        <f>IFERROR(__xludf.DUMMYFUNCTION("""COMPUTED_VALUE"""),322.0)</f>
        <v>322</v>
      </c>
    </row>
    <row r="3">
      <c r="A3" s="234">
        <f>IFERROR(__xludf.DUMMYFUNCTION("""COMPUTED_VALUE"""),43950.0)</f>
        <v>43950</v>
      </c>
      <c r="B3" s="173">
        <f>IFERROR(__xludf.DUMMYFUNCTION("""COMPUTED_VALUE"""),476.0)</f>
        <v>476</v>
      </c>
      <c r="C3" s="173">
        <f>IFERROR(__xludf.DUMMYFUNCTION("""COMPUTED_VALUE"""),378.0)</f>
        <v>378</v>
      </c>
      <c r="D3" s="173">
        <f>IFERROR(__xludf.DUMMYFUNCTION("""COMPUTED_VALUE"""),9544.0)</f>
        <v>9544</v>
      </c>
      <c r="E3" s="173">
        <f>IFERROR(__xludf.DUMMYFUNCTION("""COMPUTED_VALUE"""),3343.0)</f>
        <v>3343</v>
      </c>
      <c r="F3" s="173">
        <f>IFERROR(__xludf.DUMMYFUNCTION("""COMPUTED_VALUE"""),56802.0)</f>
        <v>56802</v>
      </c>
      <c r="G3" s="173">
        <f>IFERROR(__xludf.DUMMYFUNCTION("""COMPUTED_VALUE"""),3819.0)</f>
        <v>3819</v>
      </c>
      <c r="H3" s="173">
        <f>IFERROR(__xludf.DUMMYFUNCTION("""COMPUTED_VALUE"""),66346.0)</f>
        <v>66346</v>
      </c>
      <c r="I3" s="173">
        <f>IFERROR(__xludf.DUMMYFUNCTION("""COMPUTED_VALUE"""),370.0)</f>
        <v>370</v>
      </c>
      <c r="J3" s="173">
        <f>IFERROR(__xludf.DUMMYFUNCTION("""COMPUTED_VALUE"""),303.0)</f>
        <v>303</v>
      </c>
      <c r="K3" s="173">
        <f>IFERROR(__xludf.DUMMYFUNCTION("""COMPUTED_VALUE"""),8623.0)</f>
        <v>8623</v>
      </c>
      <c r="L3" s="173">
        <f>IFERROR(__xludf.DUMMYFUNCTION("""COMPUTED_VALUE"""),2332.0)</f>
        <v>2332</v>
      </c>
      <c r="M3" s="173">
        <f>IFERROR(__xludf.DUMMYFUNCTION("""COMPUTED_VALUE"""),46505.0)</f>
        <v>46505</v>
      </c>
      <c r="N3" s="173">
        <f>IFERROR(__xludf.DUMMYFUNCTION("""COMPUTED_VALUE"""),55128.0)</f>
        <v>55128</v>
      </c>
      <c r="O3" s="173">
        <f>IFERROR(__xludf.DUMMYFUNCTION("""COMPUTED_VALUE"""),36.0)</f>
        <v>36</v>
      </c>
      <c r="P3" s="173">
        <f>IFERROR(__xludf.DUMMYFUNCTION("""COMPUTED_VALUE"""),1008.0)</f>
        <v>1008</v>
      </c>
      <c r="Q3" s="173">
        <f>IFERROR(__xludf.DUMMYFUNCTION("""COMPUTED_VALUE"""),38.0)</f>
        <v>38</v>
      </c>
      <c r="R3" s="173">
        <f>IFERROR(__xludf.DUMMYFUNCTION("""COMPUTED_VALUE"""),532.0)</f>
        <v>532</v>
      </c>
      <c r="S3" s="173">
        <f>IFERROR(__xludf.DUMMYFUNCTION("""COMPUTED_VALUE"""),11.0)</f>
        <v>11</v>
      </c>
      <c r="T3" s="173">
        <f>IFERROR(__xludf.DUMMYFUNCTION("""COMPUTED_VALUE"""),112.0)</f>
        <v>112</v>
      </c>
      <c r="U3" s="173">
        <f>IFERROR(__xludf.DUMMYFUNCTION("""COMPUTED_VALUE"""),364.0)</f>
        <v>364</v>
      </c>
      <c r="V3" s="173">
        <f>IFERROR(__xludf.DUMMYFUNCTION("""COMPUTED_VALUE"""),367.0)</f>
        <v>367</v>
      </c>
      <c r="W3" s="173">
        <f>IFERROR(__xludf.DUMMYFUNCTION("""COMPUTED_VALUE"""),78.0)</f>
        <v>78</v>
      </c>
      <c r="X3" s="173">
        <f>IFERROR(__xludf.DUMMYFUNCTION("""COMPUTED_VALUE"""),53.0)</f>
        <v>53</v>
      </c>
      <c r="Y3" s="173">
        <f>IFERROR(__xludf.DUMMYFUNCTION("""COMPUTED_VALUE"""),18.0)</f>
        <v>18</v>
      </c>
      <c r="Z3" s="173">
        <f>IFERROR(__xludf.DUMMYFUNCTION("""COMPUTED_VALUE"""),340.0)</f>
        <v>340</v>
      </c>
    </row>
    <row r="4">
      <c r="A4" s="234">
        <f>IFERROR(__xludf.DUMMYFUNCTION("""COMPUTED_VALUE"""),43951.0)</f>
        <v>43951</v>
      </c>
      <c r="B4" s="173">
        <f>IFERROR(__xludf.DUMMYFUNCTION("""COMPUTED_VALUE"""),432.0)</f>
        <v>432</v>
      </c>
      <c r="C4" s="173">
        <f>IFERROR(__xludf.DUMMYFUNCTION("""COMPUTED_VALUE"""),439.0)</f>
        <v>439</v>
      </c>
      <c r="D4" s="173">
        <f>IFERROR(__xludf.DUMMYFUNCTION("""COMPUTED_VALUE"""),9976.0)</f>
        <v>9976</v>
      </c>
      <c r="E4" s="173">
        <f>IFERROR(__xludf.DUMMYFUNCTION("""COMPUTED_VALUE"""),2769.0)</f>
        <v>2769</v>
      </c>
      <c r="F4" s="173">
        <f>IFERROR(__xludf.DUMMYFUNCTION("""COMPUTED_VALUE"""),59571.0)</f>
        <v>59571</v>
      </c>
      <c r="G4" s="173">
        <f>IFERROR(__xludf.DUMMYFUNCTION("""COMPUTED_VALUE"""),3201.0)</f>
        <v>3201</v>
      </c>
      <c r="H4" s="173">
        <f>IFERROR(__xludf.DUMMYFUNCTION("""COMPUTED_VALUE"""),69547.0)</f>
        <v>69547</v>
      </c>
      <c r="I4" s="173">
        <f>IFERROR(__xludf.DUMMYFUNCTION("""COMPUTED_VALUE"""),349.0)</f>
        <v>349</v>
      </c>
      <c r="J4" s="173">
        <f>IFERROR(__xludf.DUMMYFUNCTION("""COMPUTED_VALUE"""),350.0)</f>
        <v>350</v>
      </c>
      <c r="K4" s="173">
        <f>IFERROR(__xludf.DUMMYFUNCTION("""COMPUTED_VALUE"""),8972.0)</f>
        <v>8972</v>
      </c>
      <c r="L4" s="173">
        <f>IFERROR(__xludf.DUMMYFUNCTION("""COMPUTED_VALUE"""),1854.0)</f>
        <v>1854</v>
      </c>
      <c r="M4" s="173">
        <f>IFERROR(__xludf.DUMMYFUNCTION("""COMPUTED_VALUE"""),48359.0)</f>
        <v>48359</v>
      </c>
      <c r="N4" s="173">
        <f>IFERROR(__xludf.DUMMYFUNCTION("""COMPUTED_VALUE"""),57331.0)</f>
        <v>57331</v>
      </c>
      <c r="O4" s="173">
        <f>IFERROR(__xludf.DUMMYFUNCTION("""COMPUTED_VALUE"""),33.0)</f>
        <v>33</v>
      </c>
      <c r="P4" s="173">
        <f>IFERROR(__xludf.DUMMYFUNCTION("""COMPUTED_VALUE"""),1041.0)</f>
        <v>1041</v>
      </c>
      <c r="Q4" s="173">
        <f>IFERROR(__xludf.DUMMYFUNCTION("""COMPUTED_VALUE"""),38.0)</f>
        <v>38</v>
      </c>
      <c r="R4" s="173">
        <f>IFERROR(__xludf.DUMMYFUNCTION("""COMPUTED_VALUE"""),570.0)</f>
        <v>570</v>
      </c>
      <c r="S4" s="173">
        <f>IFERROR(__xludf.DUMMYFUNCTION("""COMPUTED_VALUE"""),6.0)</f>
        <v>6</v>
      </c>
      <c r="T4" s="173">
        <f>IFERROR(__xludf.DUMMYFUNCTION("""COMPUTED_VALUE"""),118.0)</f>
        <v>118</v>
      </c>
      <c r="U4" s="173">
        <f>IFERROR(__xludf.DUMMYFUNCTION("""COMPUTED_VALUE"""),353.0)</f>
        <v>353</v>
      </c>
      <c r="V4" s="173">
        <f>IFERROR(__xludf.DUMMYFUNCTION("""COMPUTED_VALUE"""),365.0)</f>
        <v>365</v>
      </c>
      <c r="W4" s="173">
        <f>IFERROR(__xludf.DUMMYFUNCTION("""COMPUTED_VALUE"""),83.0)</f>
        <v>83</v>
      </c>
      <c r="X4" s="173">
        <f>IFERROR(__xludf.DUMMYFUNCTION("""COMPUTED_VALUE"""),57.0)</f>
        <v>57</v>
      </c>
      <c r="Y4" s="173">
        <f>IFERROR(__xludf.DUMMYFUNCTION("""COMPUTED_VALUE"""),24.0)</f>
        <v>24</v>
      </c>
      <c r="Z4" s="173">
        <f>IFERROR(__xludf.DUMMYFUNCTION("""COMPUTED_VALUE"""),364.0)</f>
        <v>364</v>
      </c>
    </row>
    <row r="5">
      <c r="A5" s="234">
        <f>IFERROR(__xludf.DUMMYFUNCTION("""COMPUTED_VALUE"""),43952.0)</f>
        <v>43952</v>
      </c>
      <c r="B5" s="173">
        <f>IFERROR(__xludf.DUMMYFUNCTION("""COMPUTED_VALUE"""),454.0)</f>
        <v>454</v>
      </c>
      <c r="C5" s="173">
        <f>IFERROR(__xludf.DUMMYFUNCTION("""COMPUTED_VALUE"""),454.0)</f>
        <v>454</v>
      </c>
      <c r="D5" s="173">
        <f>IFERROR(__xludf.DUMMYFUNCTION("""COMPUTED_VALUE"""),10430.0)</f>
        <v>10430</v>
      </c>
      <c r="E5" s="173">
        <f>IFERROR(__xludf.DUMMYFUNCTION("""COMPUTED_VALUE"""),3086.0)</f>
        <v>3086</v>
      </c>
      <c r="F5" s="173">
        <f>IFERROR(__xludf.DUMMYFUNCTION("""COMPUTED_VALUE"""),62657.0)</f>
        <v>62657</v>
      </c>
      <c r="G5" s="173">
        <f>IFERROR(__xludf.DUMMYFUNCTION("""COMPUTED_VALUE"""),3540.0)</f>
        <v>3540</v>
      </c>
      <c r="H5" s="173">
        <f>IFERROR(__xludf.DUMMYFUNCTION("""COMPUTED_VALUE"""),73087.0)</f>
        <v>73087</v>
      </c>
      <c r="I5" s="173">
        <f>IFERROR(__xludf.DUMMYFUNCTION("""COMPUTED_VALUE"""),323.0)</f>
        <v>323</v>
      </c>
      <c r="J5" s="173">
        <f>IFERROR(__xludf.DUMMYFUNCTION("""COMPUTED_VALUE"""),347.0)</f>
        <v>347</v>
      </c>
      <c r="K5" s="173">
        <f>IFERROR(__xludf.DUMMYFUNCTION("""COMPUTED_VALUE"""),9295.0)</f>
        <v>9295</v>
      </c>
      <c r="L5" s="173">
        <f>IFERROR(__xludf.DUMMYFUNCTION("""COMPUTED_VALUE"""),2110.0)</f>
        <v>2110</v>
      </c>
      <c r="M5" s="173">
        <f>IFERROR(__xludf.DUMMYFUNCTION("""COMPUTED_VALUE"""),50469.0)</f>
        <v>50469</v>
      </c>
      <c r="N5" s="173">
        <f>IFERROR(__xludf.DUMMYFUNCTION("""COMPUTED_VALUE"""),59764.0)</f>
        <v>59764</v>
      </c>
      <c r="O5" s="173">
        <f>IFERROR(__xludf.DUMMYFUNCTION("""COMPUTED_VALUE"""),51.0)</f>
        <v>51</v>
      </c>
      <c r="P5" s="173">
        <f>IFERROR(__xludf.DUMMYFUNCTION("""COMPUTED_VALUE"""),1092.0)</f>
        <v>1092</v>
      </c>
      <c r="Q5" s="173">
        <f>IFERROR(__xludf.DUMMYFUNCTION("""COMPUTED_VALUE"""),39.0)</f>
        <v>39</v>
      </c>
      <c r="R5" s="173">
        <f>IFERROR(__xludf.DUMMYFUNCTION("""COMPUTED_VALUE"""),609.0)</f>
        <v>609</v>
      </c>
      <c r="S5" s="173">
        <f>IFERROR(__xludf.DUMMYFUNCTION("""COMPUTED_VALUE"""),3.0)</f>
        <v>3</v>
      </c>
      <c r="T5" s="173">
        <f>IFERROR(__xludf.DUMMYFUNCTION("""COMPUTED_VALUE"""),121.0)</f>
        <v>121</v>
      </c>
      <c r="U5" s="173">
        <f>IFERROR(__xludf.DUMMYFUNCTION("""COMPUTED_VALUE"""),362.0)</f>
        <v>362</v>
      </c>
      <c r="V5" s="173">
        <f>IFERROR(__xludf.DUMMYFUNCTION("""COMPUTED_VALUE"""),360.0)</f>
        <v>360</v>
      </c>
      <c r="W5" s="173">
        <f>IFERROR(__xludf.DUMMYFUNCTION("""COMPUTED_VALUE"""),84.0)</f>
        <v>84</v>
      </c>
      <c r="X5" s="173">
        <f>IFERROR(__xludf.DUMMYFUNCTION("""COMPUTED_VALUE"""),58.0)</f>
        <v>58</v>
      </c>
      <c r="Y5" s="173">
        <f>IFERROR(__xludf.DUMMYFUNCTION("""COMPUTED_VALUE"""),14.0)</f>
        <v>14</v>
      </c>
      <c r="Z5" s="173">
        <f>IFERROR(__xludf.DUMMYFUNCTION("""COMPUTED_VALUE"""),378.0)</f>
        <v>378</v>
      </c>
    </row>
    <row r="6">
      <c r="A6" s="234">
        <f>IFERROR(__xludf.DUMMYFUNCTION("""COMPUTED_VALUE"""),43953.0)</f>
        <v>43953</v>
      </c>
      <c r="B6" s="173">
        <f>IFERROR(__xludf.DUMMYFUNCTION("""COMPUTED_VALUE"""),257.0)</f>
        <v>257</v>
      </c>
      <c r="C6" s="173">
        <f>IFERROR(__xludf.DUMMYFUNCTION("""COMPUTED_VALUE"""),381.0)</f>
        <v>381</v>
      </c>
      <c r="D6" s="173">
        <f>IFERROR(__xludf.DUMMYFUNCTION("""COMPUTED_VALUE"""),10687.0)</f>
        <v>10687</v>
      </c>
      <c r="E6" s="173">
        <f>IFERROR(__xludf.DUMMYFUNCTION("""COMPUTED_VALUE"""),1926.0)</f>
        <v>1926</v>
      </c>
      <c r="F6" s="173">
        <f>IFERROR(__xludf.DUMMYFUNCTION("""COMPUTED_VALUE"""),64583.0)</f>
        <v>64583</v>
      </c>
      <c r="G6" s="173">
        <f>IFERROR(__xludf.DUMMYFUNCTION("""COMPUTED_VALUE"""),2183.0)</f>
        <v>2183</v>
      </c>
      <c r="H6" s="173">
        <f>IFERROR(__xludf.DUMMYFUNCTION("""COMPUTED_VALUE"""),75270.0)</f>
        <v>75270</v>
      </c>
      <c r="I6" s="173">
        <f>IFERROR(__xludf.DUMMYFUNCTION("""COMPUTED_VALUE"""),192.0)</f>
        <v>192</v>
      </c>
      <c r="J6" s="173">
        <f>IFERROR(__xludf.DUMMYFUNCTION("""COMPUTED_VALUE"""),288.0)</f>
        <v>288</v>
      </c>
      <c r="K6" s="173">
        <f>IFERROR(__xludf.DUMMYFUNCTION("""COMPUTED_VALUE"""),9487.0)</f>
        <v>9487</v>
      </c>
      <c r="L6" s="173">
        <f>IFERROR(__xludf.DUMMYFUNCTION("""COMPUTED_VALUE"""),1243.0)</f>
        <v>1243</v>
      </c>
      <c r="M6" s="173">
        <f>IFERROR(__xludf.DUMMYFUNCTION("""COMPUTED_VALUE"""),51712.0)</f>
        <v>51712</v>
      </c>
      <c r="N6" s="173">
        <f>IFERROR(__xludf.DUMMYFUNCTION("""COMPUTED_VALUE"""),61199.0)</f>
        <v>61199</v>
      </c>
      <c r="O6" s="173">
        <f>IFERROR(__xludf.DUMMYFUNCTION("""COMPUTED_VALUE"""),36.0)</f>
        <v>36</v>
      </c>
      <c r="P6" s="173">
        <f>IFERROR(__xludf.DUMMYFUNCTION("""COMPUTED_VALUE"""),1128.0)</f>
        <v>1128</v>
      </c>
      <c r="Q6" s="173">
        <f>IFERROR(__xludf.DUMMYFUNCTION("""COMPUTED_VALUE"""),38.0)</f>
        <v>38</v>
      </c>
      <c r="R6" s="173">
        <f>IFERROR(__xludf.DUMMYFUNCTION("""COMPUTED_VALUE"""),647.0)</f>
        <v>647</v>
      </c>
      <c r="S6" s="173">
        <f>IFERROR(__xludf.DUMMYFUNCTION("""COMPUTED_VALUE"""),5.0)</f>
        <v>5</v>
      </c>
      <c r="T6" s="173">
        <f>IFERROR(__xludf.DUMMYFUNCTION("""COMPUTED_VALUE"""),126.0)</f>
        <v>126</v>
      </c>
      <c r="U6" s="173">
        <f>IFERROR(__xludf.DUMMYFUNCTION("""COMPUTED_VALUE"""),355.0)</f>
        <v>355</v>
      </c>
      <c r="V6" s="173">
        <f>IFERROR(__xludf.DUMMYFUNCTION("""COMPUTED_VALUE"""),357.0)</f>
        <v>357</v>
      </c>
      <c r="W6" s="173">
        <f>IFERROR(__xludf.DUMMYFUNCTION("""COMPUTED_VALUE"""),93.0)</f>
        <v>93</v>
      </c>
      <c r="X6" s="173">
        <f>IFERROR(__xludf.DUMMYFUNCTION("""COMPUTED_VALUE"""),63.0)</f>
        <v>63</v>
      </c>
      <c r="Y6" s="173">
        <f>IFERROR(__xludf.DUMMYFUNCTION("""COMPUTED_VALUE"""),24.0)</f>
        <v>24</v>
      </c>
      <c r="Z6" s="173">
        <f>IFERROR(__xludf.DUMMYFUNCTION("""COMPUTED_VALUE"""),402.0)</f>
        <v>402</v>
      </c>
    </row>
    <row r="7">
      <c r="A7" s="234">
        <f>IFERROR(__xludf.DUMMYFUNCTION("""COMPUTED_VALUE"""),43954.0)</f>
        <v>43954</v>
      </c>
      <c r="B7" s="173">
        <f>IFERROR(__xludf.DUMMYFUNCTION("""COMPUTED_VALUE"""),283.0)</f>
        <v>283</v>
      </c>
      <c r="C7" s="173">
        <f>IFERROR(__xludf.DUMMYFUNCTION("""COMPUTED_VALUE"""),331.0)</f>
        <v>331</v>
      </c>
      <c r="D7" s="173">
        <f>IFERROR(__xludf.DUMMYFUNCTION("""COMPUTED_VALUE"""),10970.0)</f>
        <v>10970</v>
      </c>
      <c r="E7" s="173">
        <f>IFERROR(__xludf.DUMMYFUNCTION("""COMPUTED_VALUE"""),2160.0)</f>
        <v>2160</v>
      </c>
      <c r="F7" s="173">
        <f>IFERROR(__xludf.DUMMYFUNCTION("""COMPUTED_VALUE"""),66743.0)</f>
        <v>66743</v>
      </c>
      <c r="G7" s="173">
        <f>IFERROR(__xludf.DUMMYFUNCTION("""COMPUTED_VALUE"""),2443.0)</f>
        <v>2443</v>
      </c>
      <c r="H7" s="173">
        <f>IFERROR(__xludf.DUMMYFUNCTION("""COMPUTED_VALUE"""),77713.0)</f>
        <v>77713</v>
      </c>
      <c r="I7" s="173">
        <f>IFERROR(__xludf.DUMMYFUNCTION("""COMPUTED_VALUE"""),183.0)</f>
        <v>183</v>
      </c>
      <c r="J7" s="173">
        <f>IFERROR(__xludf.DUMMYFUNCTION("""COMPUTED_VALUE"""),233.0)</f>
        <v>233</v>
      </c>
      <c r="K7" s="173">
        <f>IFERROR(__xludf.DUMMYFUNCTION("""COMPUTED_VALUE"""),9670.0)</f>
        <v>9670</v>
      </c>
      <c r="L7" s="173">
        <f>IFERROR(__xludf.DUMMYFUNCTION("""COMPUTED_VALUE"""),1530.0)</f>
        <v>1530</v>
      </c>
      <c r="M7" s="173">
        <f>IFERROR(__xludf.DUMMYFUNCTION("""COMPUTED_VALUE"""),53242.0)</f>
        <v>53242</v>
      </c>
      <c r="N7" s="173">
        <f>IFERROR(__xludf.DUMMYFUNCTION("""COMPUTED_VALUE"""),62912.0)</f>
        <v>62912</v>
      </c>
      <c r="O7" s="173">
        <f>IFERROR(__xludf.DUMMYFUNCTION("""COMPUTED_VALUE"""),31.0)</f>
        <v>31</v>
      </c>
      <c r="P7" s="173">
        <f>IFERROR(__xludf.DUMMYFUNCTION("""COMPUTED_VALUE"""),1159.0)</f>
        <v>1159</v>
      </c>
      <c r="Q7" s="173">
        <f>IFERROR(__xludf.DUMMYFUNCTION("""COMPUTED_VALUE"""),26.0)</f>
        <v>26</v>
      </c>
      <c r="R7" s="173">
        <f>IFERROR(__xludf.DUMMYFUNCTION("""COMPUTED_VALUE"""),673.0)</f>
        <v>673</v>
      </c>
      <c r="S7" s="173">
        <f>IFERROR(__xludf.DUMMYFUNCTION("""COMPUTED_VALUE"""),8.0)</f>
        <v>8</v>
      </c>
      <c r="T7" s="173">
        <f>IFERROR(__xludf.DUMMYFUNCTION("""COMPUTED_VALUE"""),134.0)</f>
        <v>134</v>
      </c>
      <c r="U7" s="173">
        <f>IFERROR(__xludf.DUMMYFUNCTION("""COMPUTED_VALUE"""),352.0)</f>
        <v>352</v>
      </c>
      <c r="V7" s="173">
        <f>IFERROR(__xludf.DUMMYFUNCTION("""COMPUTED_VALUE"""),356.0)</f>
        <v>356</v>
      </c>
      <c r="W7" s="173">
        <f>IFERROR(__xludf.DUMMYFUNCTION("""COMPUTED_VALUE"""),91.0)</f>
        <v>91</v>
      </c>
      <c r="X7" s="173">
        <f>IFERROR(__xludf.DUMMYFUNCTION("""COMPUTED_VALUE"""),61.0)</f>
        <v>61</v>
      </c>
      <c r="Y7" s="173">
        <f>IFERROR(__xludf.DUMMYFUNCTION("""COMPUTED_VALUE"""),21.0)</f>
        <v>21</v>
      </c>
      <c r="Z7" s="173">
        <f>IFERROR(__xludf.DUMMYFUNCTION("""COMPUTED_VALUE"""),423.0)</f>
        <v>423</v>
      </c>
    </row>
    <row r="8">
      <c r="A8" s="234">
        <f>IFERROR(__xludf.DUMMYFUNCTION("""COMPUTED_VALUE"""),43955.0)</f>
        <v>43955</v>
      </c>
      <c r="B8" s="173">
        <f>IFERROR(__xludf.DUMMYFUNCTION("""COMPUTED_VALUE"""),387.0)</f>
        <v>387</v>
      </c>
      <c r="C8" s="173">
        <f>IFERROR(__xludf.DUMMYFUNCTION("""COMPUTED_VALUE"""),309.0)</f>
        <v>309</v>
      </c>
      <c r="D8" s="173">
        <f>IFERROR(__xludf.DUMMYFUNCTION("""COMPUTED_VALUE"""),11357.0)</f>
        <v>11357</v>
      </c>
      <c r="E8" s="173">
        <f>IFERROR(__xludf.DUMMYFUNCTION("""COMPUTED_VALUE"""),2098.0)</f>
        <v>2098</v>
      </c>
      <c r="F8" s="173">
        <f>IFERROR(__xludf.DUMMYFUNCTION("""COMPUTED_VALUE"""),68841.0)</f>
        <v>68841</v>
      </c>
      <c r="G8" s="173">
        <f>IFERROR(__xludf.DUMMYFUNCTION("""COMPUTED_VALUE"""),2485.0)</f>
        <v>2485</v>
      </c>
      <c r="H8" s="173">
        <f>IFERROR(__xludf.DUMMYFUNCTION("""COMPUTED_VALUE"""),80198.0)</f>
        <v>80198</v>
      </c>
      <c r="I8" s="173">
        <f>IFERROR(__xludf.DUMMYFUNCTION("""COMPUTED_VALUE"""),290.0)</f>
        <v>290</v>
      </c>
      <c r="J8" s="173">
        <f>IFERROR(__xludf.DUMMYFUNCTION("""COMPUTED_VALUE"""),222.0)</f>
        <v>222</v>
      </c>
      <c r="K8" s="173">
        <f>IFERROR(__xludf.DUMMYFUNCTION("""COMPUTED_VALUE"""),9960.0)</f>
        <v>9960</v>
      </c>
      <c r="L8" s="173">
        <f>IFERROR(__xludf.DUMMYFUNCTION("""COMPUTED_VALUE"""),1527.0)</f>
        <v>1527</v>
      </c>
      <c r="M8" s="173">
        <f>IFERROR(__xludf.DUMMYFUNCTION("""COMPUTED_VALUE"""),54769.0)</f>
        <v>54769</v>
      </c>
      <c r="N8" s="173">
        <f>IFERROR(__xludf.DUMMYFUNCTION("""COMPUTED_VALUE"""),64729.0)</f>
        <v>64729</v>
      </c>
      <c r="O8" s="173">
        <f>IFERROR(__xludf.DUMMYFUNCTION("""COMPUTED_VALUE"""),30.0)</f>
        <v>30</v>
      </c>
      <c r="P8" s="173">
        <f>IFERROR(__xludf.DUMMYFUNCTION("""COMPUTED_VALUE"""),1189.0)</f>
        <v>1189</v>
      </c>
      <c r="Q8" s="173">
        <f>IFERROR(__xludf.DUMMYFUNCTION("""COMPUTED_VALUE"""),31.0)</f>
        <v>31</v>
      </c>
      <c r="R8" s="173">
        <f>IFERROR(__xludf.DUMMYFUNCTION("""COMPUTED_VALUE"""),704.0)</f>
        <v>704</v>
      </c>
      <c r="S8" s="173">
        <f>IFERROR(__xludf.DUMMYFUNCTION("""COMPUTED_VALUE"""),6.0)</f>
        <v>6</v>
      </c>
      <c r="T8" s="173">
        <f>IFERROR(__xludf.DUMMYFUNCTION("""COMPUTED_VALUE"""),140.0)</f>
        <v>140</v>
      </c>
      <c r="U8" s="173">
        <f>IFERROR(__xludf.DUMMYFUNCTION("""COMPUTED_VALUE"""),345.0)</f>
        <v>345</v>
      </c>
      <c r="V8" s="173">
        <f>IFERROR(__xludf.DUMMYFUNCTION("""COMPUTED_VALUE"""),351.0)</f>
        <v>351</v>
      </c>
      <c r="W8" s="173">
        <f>IFERROR(__xludf.DUMMYFUNCTION("""COMPUTED_VALUE"""),89.0)</f>
        <v>89</v>
      </c>
      <c r="X8" s="173">
        <f>IFERROR(__xludf.DUMMYFUNCTION("""COMPUTED_VALUE"""),58.0)</f>
        <v>58</v>
      </c>
      <c r="Y8" s="173">
        <f>IFERROR(__xludf.DUMMYFUNCTION("""COMPUTED_VALUE"""),18.0)</f>
        <v>18</v>
      </c>
      <c r="Z8" s="173">
        <f>IFERROR(__xludf.DUMMYFUNCTION("""COMPUTED_VALUE"""),441.0)</f>
        <v>441</v>
      </c>
    </row>
    <row r="9">
      <c r="A9" s="234">
        <f>IFERROR(__xludf.DUMMYFUNCTION("""COMPUTED_VALUE"""),43956.0)</f>
        <v>43956</v>
      </c>
      <c r="B9" s="173">
        <f>IFERROR(__xludf.DUMMYFUNCTION("""COMPUTED_VALUE"""),433.0)</f>
        <v>433</v>
      </c>
      <c r="C9" s="173">
        <f>IFERROR(__xludf.DUMMYFUNCTION("""COMPUTED_VALUE"""),368.0)</f>
        <v>368</v>
      </c>
      <c r="D9" s="173">
        <f>IFERROR(__xludf.DUMMYFUNCTION("""COMPUTED_VALUE"""),11790.0)</f>
        <v>11790</v>
      </c>
      <c r="E9" s="173">
        <f>IFERROR(__xludf.DUMMYFUNCTION("""COMPUTED_VALUE"""),2873.0)</f>
        <v>2873</v>
      </c>
      <c r="F9" s="173">
        <f>IFERROR(__xludf.DUMMYFUNCTION("""COMPUTED_VALUE"""),71714.0)</f>
        <v>71714</v>
      </c>
      <c r="G9" s="173">
        <f>IFERROR(__xludf.DUMMYFUNCTION("""COMPUTED_VALUE"""),3306.0)</f>
        <v>3306</v>
      </c>
      <c r="H9" s="173">
        <f>IFERROR(__xludf.DUMMYFUNCTION("""COMPUTED_VALUE"""),83504.0)</f>
        <v>83504</v>
      </c>
      <c r="I9" s="173">
        <f>IFERROR(__xludf.DUMMYFUNCTION("""COMPUTED_VALUE"""),300.0)</f>
        <v>300</v>
      </c>
      <c r="J9" s="173">
        <f>IFERROR(__xludf.DUMMYFUNCTION("""COMPUTED_VALUE"""),258.0)</f>
        <v>258</v>
      </c>
      <c r="K9" s="173">
        <f>IFERROR(__xludf.DUMMYFUNCTION("""COMPUTED_VALUE"""),10260.0)</f>
        <v>10260</v>
      </c>
      <c r="L9" s="173">
        <f>IFERROR(__xludf.DUMMYFUNCTION("""COMPUTED_VALUE"""),1921.0)</f>
        <v>1921</v>
      </c>
      <c r="M9" s="173">
        <f>IFERROR(__xludf.DUMMYFUNCTION("""COMPUTED_VALUE"""),56690.0)</f>
        <v>56690</v>
      </c>
      <c r="N9" s="173">
        <f>IFERROR(__xludf.DUMMYFUNCTION("""COMPUTED_VALUE"""),66950.0)</f>
        <v>66950</v>
      </c>
      <c r="O9" s="173">
        <f>IFERROR(__xludf.DUMMYFUNCTION("""COMPUTED_VALUE"""),29.0)</f>
        <v>29</v>
      </c>
      <c r="P9" s="173">
        <f>IFERROR(__xludf.DUMMYFUNCTION("""COMPUTED_VALUE"""),1218.0)</f>
        <v>1218</v>
      </c>
      <c r="Q9" s="173">
        <f>IFERROR(__xludf.DUMMYFUNCTION("""COMPUTED_VALUE"""),32.0)</f>
        <v>32</v>
      </c>
      <c r="R9" s="173">
        <f>IFERROR(__xludf.DUMMYFUNCTION("""COMPUTED_VALUE"""),736.0)</f>
        <v>736</v>
      </c>
      <c r="S9" s="173">
        <f>IFERROR(__xludf.DUMMYFUNCTION("""COMPUTED_VALUE"""),6.0)</f>
        <v>6</v>
      </c>
      <c r="T9" s="173">
        <f>IFERROR(__xludf.DUMMYFUNCTION("""COMPUTED_VALUE"""),146.0)</f>
        <v>146</v>
      </c>
      <c r="U9" s="173">
        <f>IFERROR(__xludf.DUMMYFUNCTION("""COMPUTED_VALUE"""),336.0)</f>
        <v>336</v>
      </c>
      <c r="V9" s="173">
        <f>IFERROR(__xludf.DUMMYFUNCTION("""COMPUTED_VALUE"""),344.0)</f>
        <v>344</v>
      </c>
      <c r="W9" s="173">
        <f>IFERROR(__xludf.DUMMYFUNCTION("""COMPUTED_VALUE"""),83.0)</f>
        <v>83</v>
      </c>
      <c r="X9" s="173">
        <f>IFERROR(__xludf.DUMMYFUNCTION("""COMPUTED_VALUE"""),55.0)</f>
        <v>55</v>
      </c>
      <c r="Y9" s="173">
        <f>IFERROR(__xludf.DUMMYFUNCTION("""COMPUTED_VALUE"""),16.0)</f>
        <v>16</v>
      </c>
      <c r="Z9" s="173">
        <f>IFERROR(__xludf.DUMMYFUNCTION("""COMPUTED_VALUE"""),457.0)</f>
        <v>457</v>
      </c>
    </row>
    <row r="10">
      <c r="A10" s="234">
        <f>IFERROR(__xludf.DUMMYFUNCTION("""COMPUTED_VALUE"""),43957.0)</f>
        <v>43957</v>
      </c>
      <c r="B10" s="173">
        <f>IFERROR(__xludf.DUMMYFUNCTION("""COMPUTED_VALUE"""),488.0)</f>
        <v>488</v>
      </c>
      <c r="C10" s="173">
        <f>IFERROR(__xludf.DUMMYFUNCTION("""COMPUTED_VALUE"""),436.0)</f>
        <v>436</v>
      </c>
      <c r="D10" s="173">
        <f>IFERROR(__xludf.DUMMYFUNCTION("""COMPUTED_VALUE"""),12278.0)</f>
        <v>12278</v>
      </c>
      <c r="E10" s="173">
        <f>IFERROR(__xludf.DUMMYFUNCTION("""COMPUTED_VALUE"""),2830.0)</f>
        <v>2830</v>
      </c>
      <c r="F10" s="173">
        <f>IFERROR(__xludf.DUMMYFUNCTION("""COMPUTED_VALUE"""),74544.0)</f>
        <v>74544</v>
      </c>
      <c r="G10" s="173">
        <f>IFERROR(__xludf.DUMMYFUNCTION("""COMPUTED_VALUE"""),3318.0)</f>
        <v>3318</v>
      </c>
      <c r="H10" s="173">
        <f>IFERROR(__xludf.DUMMYFUNCTION("""COMPUTED_VALUE"""),86822.0)</f>
        <v>86822</v>
      </c>
      <c r="I10" s="173">
        <f>IFERROR(__xludf.DUMMYFUNCTION("""COMPUTED_VALUE"""),340.0)</f>
        <v>340</v>
      </c>
      <c r="J10" s="173">
        <f>IFERROR(__xludf.DUMMYFUNCTION("""COMPUTED_VALUE"""),310.0)</f>
        <v>310</v>
      </c>
      <c r="K10" s="173">
        <f>IFERROR(__xludf.DUMMYFUNCTION("""COMPUTED_VALUE"""),10600.0)</f>
        <v>10600</v>
      </c>
      <c r="L10" s="173">
        <f>IFERROR(__xludf.DUMMYFUNCTION("""COMPUTED_VALUE"""),1885.0)</f>
        <v>1885</v>
      </c>
      <c r="M10" s="173">
        <f>IFERROR(__xludf.DUMMYFUNCTION("""COMPUTED_VALUE"""),58575.0)</f>
        <v>58575</v>
      </c>
      <c r="N10" s="173">
        <f>IFERROR(__xludf.DUMMYFUNCTION("""COMPUTED_VALUE"""),69175.0)</f>
        <v>69175</v>
      </c>
      <c r="O10" s="173">
        <f>IFERROR(__xludf.DUMMYFUNCTION("""COMPUTED_VALUE"""),28.0)</f>
        <v>28</v>
      </c>
      <c r="P10" s="173">
        <f>IFERROR(__xludf.DUMMYFUNCTION("""COMPUTED_VALUE"""),1246.0)</f>
        <v>1246</v>
      </c>
      <c r="Q10" s="173">
        <f>IFERROR(__xludf.DUMMYFUNCTION("""COMPUTED_VALUE"""),44.0)</f>
        <v>44</v>
      </c>
      <c r="R10" s="173">
        <f>IFERROR(__xludf.DUMMYFUNCTION("""COMPUTED_VALUE"""),780.0)</f>
        <v>780</v>
      </c>
      <c r="S10" s="173">
        <f>IFERROR(__xludf.DUMMYFUNCTION("""COMPUTED_VALUE"""),9.0)</f>
        <v>9</v>
      </c>
      <c r="T10" s="173">
        <f>IFERROR(__xludf.DUMMYFUNCTION("""COMPUTED_VALUE"""),155.0)</f>
        <v>155</v>
      </c>
      <c r="U10" s="173">
        <f>IFERROR(__xludf.DUMMYFUNCTION("""COMPUTED_VALUE"""),311.0)</f>
        <v>311</v>
      </c>
      <c r="V10" s="173">
        <f>IFERROR(__xludf.DUMMYFUNCTION("""COMPUTED_VALUE"""),331.0)</f>
        <v>331</v>
      </c>
      <c r="W10" s="173">
        <f>IFERROR(__xludf.DUMMYFUNCTION("""COMPUTED_VALUE"""),80.0)</f>
        <v>80</v>
      </c>
      <c r="X10" s="173">
        <f>IFERROR(__xludf.DUMMYFUNCTION("""COMPUTED_VALUE"""),55.0)</f>
        <v>55</v>
      </c>
      <c r="Y10" s="173">
        <f>IFERROR(__xludf.DUMMYFUNCTION("""COMPUTED_VALUE"""),21.0)</f>
        <v>21</v>
      </c>
      <c r="Z10" s="173">
        <f>IFERROR(__xludf.DUMMYFUNCTION("""COMPUTED_VALUE"""),478.0)</f>
        <v>478</v>
      </c>
    </row>
    <row r="11">
      <c r="A11" s="234">
        <f>IFERROR(__xludf.DUMMYFUNCTION("""COMPUTED_VALUE"""),43958.0)</f>
        <v>43958</v>
      </c>
      <c r="B11" s="173">
        <f>IFERROR(__xludf.DUMMYFUNCTION("""COMPUTED_VALUE"""),425.0)</f>
        <v>425</v>
      </c>
      <c r="C11" s="173">
        <f>IFERROR(__xludf.DUMMYFUNCTION("""COMPUTED_VALUE"""),449.0)</f>
        <v>449</v>
      </c>
      <c r="D11" s="173">
        <f>IFERROR(__xludf.DUMMYFUNCTION("""COMPUTED_VALUE"""),12703.0)</f>
        <v>12703</v>
      </c>
      <c r="E11" s="173">
        <f>IFERROR(__xludf.DUMMYFUNCTION("""COMPUTED_VALUE"""),2969.0)</f>
        <v>2969</v>
      </c>
      <c r="F11" s="173">
        <f>IFERROR(__xludf.DUMMYFUNCTION("""COMPUTED_VALUE"""),77513.0)</f>
        <v>77513</v>
      </c>
      <c r="G11" s="173">
        <f>IFERROR(__xludf.DUMMYFUNCTION("""COMPUTED_VALUE"""),3394.0)</f>
        <v>3394</v>
      </c>
      <c r="H11" s="173">
        <f>IFERROR(__xludf.DUMMYFUNCTION("""COMPUTED_VALUE"""),90216.0)</f>
        <v>90216</v>
      </c>
      <c r="I11" s="173">
        <f>IFERROR(__xludf.DUMMYFUNCTION("""COMPUTED_VALUE"""),269.0)</f>
        <v>269</v>
      </c>
      <c r="J11" s="173">
        <f>IFERROR(__xludf.DUMMYFUNCTION("""COMPUTED_VALUE"""),303.0)</f>
        <v>303</v>
      </c>
      <c r="K11" s="173">
        <f>IFERROR(__xludf.DUMMYFUNCTION("""COMPUTED_VALUE"""),10869.0)</f>
        <v>10869</v>
      </c>
      <c r="L11" s="173">
        <f>IFERROR(__xludf.DUMMYFUNCTION("""COMPUTED_VALUE"""),1927.0)</f>
        <v>1927</v>
      </c>
      <c r="M11" s="173">
        <f>IFERROR(__xludf.DUMMYFUNCTION("""COMPUTED_VALUE"""),60502.0)</f>
        <v>60502</v>
      </c>
      <c r="N11" s="173">
        <f>IFERROR(__xludf.DUMMYFUNCTION("""COMPUTED_VALUE"""),71371.0)</f>
        <v>71371</v>
      </c>
      <c r="O11" s="173">
        <f>IFERROR(__xludf.DUMMYFUNCTION("""COMPUTED_VALUE"""),36.0)</f>
        <v>36</v>
      </c>
      <c r="P11" s="173">
        <f>IFERROR(__xludf.DUMMYFUNCTION("""COMPUTED_VALUE"""),1282.0)</f>
        <v>1282</v>
      </c>
      <c r="Q11" s="173">
        <f>IFERROR(__xludf.DUMMYFUNCTION("""COMPUTED_VALUE"""),43.0)</f>
        <v>43</v>
      </c>
      <c r="R11" s="173">
        <f>IFERROR(__xludf.DUMMYFUNCTION("""COMPUTED_VALUE"""),823.0)</f>
        <v>823</v>
      </c>
      <c r="S11" s="173">
        <f>IFERROR(__xludf.DUMMYFUNCTION("""COMPUTED_VALUE"""),5.0)</f>
        <v>5</v>
      </c>
      <c r="T11" s="173">
        <f>IFERROR(__xludf.DUMMYFUNCTION("""COMPUTED_VALUE"""),160.0)</f>
        <v>160</v>
      </c>
      <c r="U11" s="173">
        <f>IFERROR(__xludf.DUMMYFUNCTION("""COMPUTED_VALUE"""),299.0)</f>
        <v>299</v>
      </c>
      <c r="V11" s="173">
        <f>IFERROR(__xludf.DUMMYFUNCTION("""COMPUTED_VALUE"""),315.0)</f>
        <v>315</v>
      </c>
      <c r="W11" s="173">
        <f>IFERROR(__xludf.DUMMYFUNCTION("""COMPUTED_VALUE"""),72.0)</f>
        <v>72</v>
      </c>
      <c r="X11" s="173">
        <f>IFERROR(__xludf.DUMMYFUNCTION("""COMPUTED_VALUE"""),53.0)</f>
        <v>53</v>
      </c>
      <c r="Y11" s="173">
        <f>IFERROR(__xludf.DUMMYFUNCTION("""COMPUTED_VALUE"""),21.0)</f>
        <v>21</v>
      </c>
      <c r="Z11" s="173">
        <f>IFERROR(__xludf.DUMMYFUNCTION("""COMPUTED_VALUE"""),499.0)</f>
        <v>499</v>
      </c>
    </row>
    <row r="12">
      <c r="A12" s="234">
        <f>IFERROR(__xludf.DUMMYFUNCTION("""COMPUTED_VALUE"""),43959.0)</f>
        <v>43959</v>
      </c>
      <c r="B12" s="173">
        <f>IFERROR(__xludf.DUMMYFUNCTION("""COMPUTED_VALUE"""),359.0)</f>
        <v>359</v>
      </c>
      <c r="C12" s="173">
        <f>IFERROR(__xludf.DUMMYFUNCTION("""COMPUTED_VALUE"""),424.0)</f>
        <v>424</v>
      </c>
      <c r="D12" s="173">
        <f>IFERROR(__xludf.DUMMYFUNCTION("""COMPUTED_VALUE"""),13062.0)</f>
        <v>13062</v>
      </c>
      <c r="E12" s="173">
        <f>IFERROR(__xludf.DUMMYFUNCTION("""COMPUTED_VALUE"""),2598.0)</f>
        <v>2598</v>
      </c>
      <c r="F12" s="173">
        <f>IFERROR(__xludf.DUMMYFUNCTION("""COMPUTED_VALUE"""),80111.0)</f>
        <v>80111</v>
      </c>
      <c r="G12" s="173">
        <f>IFERROR(__xludf.DUMMYFUNCTION("""COMPUTED_VALUE"""),2957.0)</f>
        <v>2957</v>
      </c>
      <c r="H12" s="173">
        <f>IFERROR(__xludf.DUMMYFUNCTION("""COMPUTED_VALUE"""),93173.0)</f>
        <v>93173</v>
      </c>
      <c r="I12" s="173">
        <f>IFERROR(__xludf.DUMMYFUNCTION("""COMPUTED_VALUE"""),229.0)</f>
        <v>229</v>
      </c>
      <c r="J12" s="173">
        <f>IFERROR(__xludf.DUMMYFUNCTION("""COMPUTED_VALUE"""),279.0)</f>
        <v>279</v>
      </c>
      <c r="K12" s="173">
        <f>IFERROR(__xludf.DUMMYFUNCTION("""COMPUTED_VALUE"""),11098.0)</f>
        <v>11098</v>
      </c>
      <c r="L12" s="173">
        <f>IFERROR(__xludf.DUMMYFUNCTION("""COMPUTED_VALUE"""),1706.0)</f>
        <v>1706</v>
      </c>
      <c r="M12" s="173">
        <f>IFERROR(__xludf.DUMMYFUNCTION("""COMPUTED_VALUE"""),62208.0)</f>
        <v>62208</v>
      </c>
      <c r="N12" s="173">
        <f>IFERROR(__xludf.DUMMYFUNCTION("""COMPUTED_VALUE"""),73306.0)</f>
        <v>73306</v>
      </c>
      <c r="O12" s="173">
        <f>IFERROR(__xludf.DUMMYFUNCTION("""COMPUTED_VALUE"""),30.0)</f>
        <v>30</v>
      </c>
      <c r="P12" s="173">
        <f>IFERROR(__xludf.DUMMYFUNCTION("""COMPUTED_VALUE"""),1312.0)</f>
        <v>1312</v>
      </c>
      <c r="Q12" s="173">
        <f>IFERROR(__xludf.DUMMYFUNCTION("""COMPUTED_VALUE"""),29.0)</f>
        <v>29</v>
      </c>
      <c r="R12" s="173">
        <f>IFERROR(__xludf.DUMMYFUNCTION("""COMPUTED_VALUE"""),852.0)</f>
        <v>852</v>
      </c>
      <c r="S12" s="173">
        <f>IFERROR(__xludf.DUMMYFUNCTION("""COMPUTED_VALUE"""),5.0)</f>
        <v>5</v>
      </c>
      <c r="T12" s="173">
        <f>IFERROR(__xludf.DUMMYFUNCTION("""COMPUTED_VALUE"""),165.0)</f>
        <v>165</v>
      </c>
      <c r="U12" s="173">
        <f>IFERROR(__xludf.DUMMYFUNCTION("""COMPUTED_VALUE"""),295.0)</f>
        <v>295</v>
      </c>
      <c r="V12" s="173">
        <f>IFERROR(__xludf.DUMMYFUNCTION("""COMPUTED_VALUE"""),302.0)</f>
        <v>302</v>
      </c>
      <c r="W12" s="173">
        <f>IFERROR(__xludf.DUMMYFUNCTION("""COMPUTED_VALUE"""),72.0)</f>
        <v>72</v>
      </c>
      <c r="X12" s="173">
        <f>IFERROR(__xludf.DUMMYFUNCTION("""COMPUTED_VALUE"""),54.0)</f>
        <v>54</v>
      </c>
      <c r="Y12" s="173">
        <f>IFERROR(__xludf.DUMMYFUNCTION("""COMPUTED_VALUE"""),22.0)</f>
        <v>22</v>
      </c>
      <c r="Z12" s="173">
        <f>IFERROR(__xludf.DUMMYFUNCTION("""COMPUTED_VALUE"""),521.0)</f>
        <v>521</v>
      </c>
    </row>
    <row r="13">
      <c r="A13" s="234">
        <f>IFERROR(__xludf.DUMMYFUNCTION("""COMPUTED_VALUE"""),43960.0)</f>
        <v>43960</v>
      </c>
      <c r="B13" s="173">
        <f>IFERROR(__xludf.DUMMYFUNCTION("""COMPUTED_VALUE"""),467.0)</f>
        <v>467</v>
      </c>
      <c r="C13" s="173">
        <f>IFERROR(__xludf.DUMMYFUNCTION("""COMPUTED_VALUE"""),417.0)</f>
        <v>417</v>
      </c>
      <c r="D13" s="173">
        <f>IFERROR(__xludf.DUMMYFUNCTION("""COMPUTED_VALUE"""),13529.0)</f>
        <v>13529</v>
      </c>
      <c r="E13" s="173">
        <f>IFERROR(__xludf.DUMMYFUNCTION("""COMPUTED_VALUE"""),3346.0)</f>
        <v>3346</v>
      </c>
      <c r="F13" s="173">
        <f>IFERROR(__xludf.DUMMYFUNCTION("""COMPUTED_VALUE"""),83457.0)</f>
        <v>83457</v>
      </c>
      <c r="G13" s="173">
        <f>IFERROR(__xludf.DUMMYFUNCTION("""COMPUTED_VALUE"""),3813.0)</f>
        <v>3813</v>
      </c>
      <c r="H13" s="173">
        <f>IFERROR(__xludf.DUMMYFUNCTION("""COMPUTED_VALUE"""),96986.0)</f>
        <v>96986</v>
      </c>
      <c r="I13" s="173">
        <f>IFERROR(__xludf.DUMMYFUNCTION("""COMPUTED_VALUE"""),290.0)</f>
        <v>290</v>
      </c>
      <c r="J13" s="173">
        <f>IFERROR(__xludf.DUMMYFUNCTION("""COMPUTED_VALUE"""),263.0)</f>
        <v>263</v>
      </c>
      <c r="K13" s="173">
        <f>IFERROR(__xludf.DUMMYFUNCTION("""COMPUTED_VALUE"""),11388.0)</f>
        <v>11388</v>
      </c>
      <c r="L13" s="173">
        <f>IFERROR(__xludf.DUMMYFUNCTION("""COMPUTED_VALUE"""),2200.0)</f>
        <v>2200</v>
      </c>
      <c r="M13" s="173">
        <f>IFERROR(__xludf.DUMMYFUNCTION("""COMPUTED_VALUE"""),64408.0)</f>
        <v>64408</v>
      </c>
      <c r="N13" s="173">
        <f>IFERROR(__xludf.DUMMYFUNCTION("""COMPUTED_VALUE"""),75796.0)</f>
        <v>75796</v>
      </c>
      <c r="O13" s="173">
        <f>IFERROR(__xludf.DUMMYFUNCTION("""COMPUTED_VALUE"""),22.0)</f>
        <v>22</v>
      </c>
      <c r="P13" s="173">
        <f>IFERROR(__xludf.DUMMYFUNCTION("""COMPUTED_VALUE"""),1334.0)</f>
        <v>1334</v>
      </c>
      <c r="Q13" s="173">
        <f>IFERROR(__xludf.DUMMYFUNCTION("""COMPUTED_VALUE"""),21.0)</f>
        <v>21</v>
      </c>
      <c r="R13" s="173">
        <f>IFERROR(__xludf.DUMMYFUNCTION("""COMPUTED_VALUE"""),873.0)</f>
        <v>873</v>
      </c>
      <c r="S13" s="173">
        <f>IFERROR(__xludf.DUMMYFUNCTION("""COMPUTED_VALUE"""),4.0)</f>
        <v>4</v>
      </c>
      <c r="T13" s="173">
        <f>IFERROR(__xludf.DUMMYFUNCTION("""COMPUTED_VALUE"""),169.0)</f>
        <v>169</v>
      </c>
      <c r="U13" s="173">
        <f>IFERROR(__xludf.DUMMYFUNCTION("""COMPUTED_VALUE"""),292.0)</f>
        <v>292</v>
      </c>
      <c r="V13" s="173">
        <f>IFERROR(__xludf.DUMMYFUNCTION("""COMPUTED_VALUE"""),295.0)</f>
        <v>295</v>
      </c>
      <c r="W13" s="173">
        <f>IFERROR(__xludf.DUMMYFUNCTION("""COMPUTED_VALUE"""),70.0)</f>
        <v>70</v>
      </c>
      <c r="X13" s="173">
        <f>IFERROR(__xludf.DUMMYFUNCTION("""COMPUTED_VALUE"""),52.0)</f>
        <v>52</v>
      </c>
      <c r="Y13" s="173">
        <f>IFERROR(__xludf.DUMMYFUNCTION("""COMPUTED_VALUE"""),15.0)</f>
        <v>15</v>
      </c>
      <c r="Z13" s="173">
        <f>IFERROR(__xludf.DUMMYFUNCTION("""COMPUTED_VALUE"""),536.0)</f>
        <v>536</v>
      </c>
    </row>
    <row r="14">
      <c r="A14" s="234">
        <f>IFERROR(__xludf.DUMMYFUNCTION("""COMPUTED_VALUE"""),43961.0)</f>
        <v>43961</v>
      </c>
      <c r="B14" s="173">
        <f>IFERROR(__xludf.DUMMYFUNCTION("""COMPUTED_VALUE"""),285.0)</f>
        <v>285</v>
      </c>
      <c r="C14" s="173">
        <f>IFERROR(__xludf.DUMMYFUNCTION("""COMPUTED_VALUE"""),370.0)</f>
        <v>370</v>
      </c>
      <c r="D14" s="173">
        <f>IFERROR(__xludf.DUMMYFUNCTION("""COMPUTED_VALUE"""),13814.0)</f>
        <v>13814</v>
      </c>
      <c r="E14" s="173">
        <f>IFERROR(__xludf.DUMMYFUNCTION("""COMPUTED_VALUE"""),2117.0)</f>
        <v>2117</v>
      </c>
      <c r="F14" s="173">
        <f>IFERROR(__xludf.DUMMYFUNCTION("""COMPUTED_VALUE"""),85574.0)</f>
        <v>85574</v>
      </c>
      <c r="G14" s="173">
        <f>IFERROR(__xludf.DUMMYFUNCTION("""COMPUTED_VALUE"""),2402.0)</f>
        <v>2402</v>
      </c>
      <c r="H14" s="173">
        <f>IFERROR(__xludf.DUMMYFUNCTION("""COMPUTED_VALUE"""),99388.0)</f>
        <v>99388</v>
      </c>
      <c r="I14" s="173">
        <f>IFERROR(__xludf.DUMMYFUNCTION("""COMPUTED_VALUE"""),189.0)</f>
        <v>189</v>
      </c>
      <c r="J14" s="173">
        <f>IFERROR(__xludf.DUMMYFUNCTION("""COMPUTED_VALUE"""),236.0)</f>
        <v>236</v>
      </c>
      <c r="K14" s="173">
        <f>IFERROR(__xludf.DUMMYFUNCTION("""COMPUTED_VALUE"""),11577.0)</f>
        <v>11577</v>
      </c>
      <c r="L14" s="173">
        <f>IFERROR(__xludf.DUMMYFUNCTION("""COMPUTED_VALUE"""),1486.0)</f>
        <v>1486</v>
      </c>
      <c r="M14" s="173">
        <f>IFERROR(__xludf.DUMMYFUNCTION("""COMPUTED_VALUE"""),65894.0)</f>
        <v>65894</v>
      </c>
      <c r="N14" s="173">
        <f>IFERROR(__xludf.DUMMYFUNCTION("""COMPUTED_VALUE"""),77471.0)</f>
        <v>77471</v>
      </c>
      <c r="O14" s="173">
        <f>IFERROR(__xludf.DUMMYFUNCTION("""COMPUTED_VALUE"""),20.0)</f>
        <v>20</v>
      </c>
      <c r="P14" s="173">
        <f>IFERROR(__xludf.DUMMYFUNCTION("""COMPUTED_VALUE"""),1354.0)</f>
        <v>1354</v>
      </c>
      <c r="Q14" s="173">
        <f>IFERROR(__xludf.DUMMYFUNCTION("""COMPUTED_VALUE"""),23.0)</f>
        <v>23</v>
      </c>
      <c r="R14" s="173">
        <f>IFERROR(__xludf.DUMMYFUNCTION("""COMPUTED_VALUE"""),896.0)</f>
        <v>896</v>
      </c>
      <c r="S14" s="173">
        <f>IFERROR(__xludf.DUMMYFUNCTION("""COMPUTED_VALUE"""),6.0)</f>
        <v>6</v>
      </c>
      <c r="T14" s="173">
        <f>IFERROR(__xludf.DUMMYFUNCTION("""COMPUTED_VALUE"""),175.0)</f>
        <v>175</v>
      </c>
      <c r="U14" s="173">
        <f>IFERROR(__xludf.DUMMYFUNCTION("""COMPUTED_VALUE"""),283.0)</f>
        <v>283</v>
      </c>
      <c r="V14" s="173">
        <f>IFERROR(__xludf.DUMMYFUNCTION("""COMPUTED_VALUE"""),290.0)</f>
        <v>290</v>
      </c>
      <c r="W14" s="173">
        <f>IFERROR(__xludf.DUMMYFUNCTION("""COMPUTED_VALUE"""),71.0)</f>
        <v>71</v>
      </c>
      <c r="X14" s="173">
        <f>IFERROR(__xludf.DUMMYFUNCTION("""COMPUTED_VALUE"""),50.0)</f>
        <v>50</v>
      </c>
      <c r="Y14" s="173">
        <f>IFERROR(__xludf.DUMMYFUNCTION("""COMPUTED_VALUE"""),14.0)</f>
        <v>14</v>
      </c>
      <c r="Z14" s="173">
        <f>IFERROR(__xludf.DUMMYFUNCTION("""COMPUTED_VALUE"""),550.0)</f>
        <v>550</v>
      </c>
    </row>
    <row r="15">
      <c r="A15" s="234">
        <f>IFERROR(__xludf.DUMMYFUNCTION("""COMPUTED_VALUE"""),43962.0)</f>
        <v>43962</v>
      </c>
      <c r="B15" s="173">
        <f>IFERROR(__xludf.DUMMYFUNCTION("""COMPUTED_VALUE"""),257.0)</f>
        <v>257</v>
      </c>
      <c r="C15" s="173">
        <f>IFERROR(__xludf.DUMMYFUNCTION("""COMPUTED_VALUE"""),336.0)</f>
        <v>336</v>
      </c>
      <c r="D15" s="173">
        <f>IFERROR(__xludf.DUMMYFUNCTION("""COMPUTED_VALUE"""),14071.0)</f>
        <v>14071</v>
      </c>
      <c r="E15" s="173">
        <f>IFERROR(__xludf.DUMMYFUNCTION("""COMPUTED_VALUE"""),1857.0)</f>
        <v>1857</v>
      </c>
      <c r="F15" s="173">
        <f>IFERROR(__xludf.DUMMYFUNCTION("""COMPUTED_VALUE"""),87431.0)</f>
        <v>87431</v>
      </c>
      <c r="G15" s="173">
        <f>IFERROR(__xludf.DUMMYFUNCTION("""COMPUTED_VALUE"""),2114.0)</f>
        <v>2114</v>
      </c>
      <c r="H15" s="173">
        <f>IFERROR(__xludf.DUMMYFUNCTION("""COMPUTED_VALUE"""),101502.0)</f>
        <v>101502</v>
      </c>
      <c r="I15" s="173">
        <f>IFERROR(__xludf.DUMMYFUNCTION("""COMPUTED_VALUE"""),174.0)</f>
        <v>174</v>
      </c>
      <c r="J15" s="173">
        <f>IFERROR(__xludf.DUMMYFUNCTION("""COMPUTED_VALUE"""),218.0)</f>
        <v>218</v>
      </c>
      <c r="K15" s="173">
        <f>IFERROR(__xludf.DUMMYFUNCTION("""COMPUTED_VALUE"""),11751.0)</f>
        <v>11751</v>
      </c>
      <c r="L15" s="173">
        <f>IFERROR(__xludf.DUMMYFUNCTION("""COMPUTED_VALUE"""),1272.0)</f>
        <v>1272</v>
      </c>
      <c r="M15" s="173">
        <f>IFERROR(__xludf.DUMMYFUNCTION("""COMPUTED_VALUE"""),67166.0)</f>
        <v>67166</v>
      </c>
      <c r="N15" s="173">
        <f>IFERROR(__xludf.DUMMYFUNCTION("""COMPUTED_VALUE"""),78917.0)</f>
        <v>78917</v>
      </c>
      <c r="O15" s="173">
        <f>IFERROR(__xludf.DUMMYFUNCTION("""COMPUTED_VALUE"""),31.0)</f>
        <v>31</v>
      </c>
      <c r="P15" s="173">
        <f>IFERROR(__xludf.DUMMYFUNCTION("""COMPUTED_VALUE"""),1385.0)</f>
        <v>1385</v>
      </c>
      <c r="Q15" s="173">
        <f>IFERROR(__xludf.DUMMYFUNCTION("""COMPUTED_VALUE"""),16.0)</f>
        <v>16</v>
      </c>
      <c r="R15" s="173">
        <f>IFERROR(__xludf.DUMMYFUNCTION("""COMPUTED_VALUE"""),912.0)</f>
        <v>912</v>
      </c>
      <c r="S15" s="173">
        <f>IFERROR(__xludf.DUMMYFUNCTION("""COMPUTED_VALUE"""),6.0)</f>
        <v>6</v>
      </c>
      <c r="T15" s="173">
        <f>IFERROR(__xludf.DUMMYFUNCTION("""COMPUTED_VALUE"""),181.0)</f>
        <v>181</v>
      </c>
      <c r="U15" s="173">
        <f>IFERROR(__xludf.DUMMYFUNCTION("""COMPUTED_VALUE"""),292.0)</f>
        <v>292</v>
      </c>
      <c r="V15" s="173">
        <f>IFERROR(__xludf.DUMMYFUNCTION("""COMPUTED_VALUE"""),289.0)</f>
        <v>289</v>
      </c>
      <c r="W15" s="173">
        <f>IFERROR(__xludf.DUMMYFUNCTION("""COMPUTED_VALUE"""),72.0)</f>
        <v>72</v>
      </c>
      <c r="X15" s="173">
        <f>IFERROR(__xludf.DUMMYFUNCTION("""COMPUTED_VALUE"""),50.0)</f>
        <v>50</v>
      </c>
      <c r="Y15" s="173">
        <f>IFERROR(__xludf.DUMMYFUNCTION("""COMPUTED_VALUE"""),15.0)</f>
        <v>15</v>
      </c>
      <c r="Z15" s="173">
        <f>IFERROR(__xludf.DUMMYFUNCTION("""COMPUTED_VALUE"""),565.0)</f>
        <v>565</v>
      </c>
    </row>
    <row r="16">
      <c r="A16" s="234">
        <f>IFERROR(__xludf.DUMMYFUNCTION("""COMPUTED_VALUE"""),43963.0)</f>
        <v>43963</v>
      </c>
      <c r="B16" s="173">
        <f>IFERROR(__xludf.DUMMYFUNCTION("""COMPUTED_VALUE"""),387.0)</f>
        <v>387</v>
      </c>
      <c r="C16" s="173">
        <f>IFERROR(__xludf.DUMMYFUNCTION("""COMPUTED_VALUE"""),310.0)</f>
        <v>310</v>
      </c>
      <c r="D16" s="173">
        <f>IFERROR(__xludf.DUMMYFUNCTION("""COMPUTED_VALUE"""),14458.0)</f>
        <v>14458</v>
      </c>
      <c r="E16" s="173">
        <f>IFERROR(__xludf.DUMMYFUNCTION("""COMPUTED_VALUE"""),2611.0)</f>
        <v>2611</v>
      </c>
      <c r="F16" s="173">
        <f>IFERROR(__xludf.DUMMYFUNCTION("""COMPUTED_VALUE"""),90042.0)</f>
        <v>90042</v>
      </c>
      <c r="G16" s="173">
        <f>IFERROR(__xludf.DUMMYFUNCTION("""COMPUTED_VALUE"""),2998.0)</f>
        <v>2998</v>
      </c>
      <c r="H16" s="173">
        <f>IFERROR(__xludf.DUMMYFUNCTION("""COMPUTED_VALUE"""),104500.0)</f>
        <v>104500</v>
      </c>
      <c r="I16" s="173">
        <f>IFERROR(__xludf.DUMMYFUNCTION("""COMPUTED_VALUE"""),224.0)</f>
        <v>224</v>
      </c>
      <c r="J16" s="173">
        <f>IFERROR(__xludf.DUMMYFUNCTION("""COMPUTED_VALUE"""),196.0)</f>
        <v>196</v>
      </c>
      <c r="K16" s="173">
        <f>IFERROR(__xludf.DUMMYFUNCTION("""COMPUTED_VALUE"""),11975.0)</f>
        <v>11975</v>
      </c>
      <c r="L16" s="173">
        <f>IFERROR(__xludf.DUMMYFUNCTION("""COMPUTED_VALUE"""),1631.0)</f>
        <v>1631</v>
      </c>
      <c r="M16" s="173">
        <f>IFERROR(__xludf.DUMMYFUNCTION("""COMPUTED_VALUE"""),68797.0)</f>
        <v>68797</v>
      </c>
      <c r="N16" s="173">
        <f>IFERROR(__xludf.DUMMYFUNCTION("""COMPUTED_VALUE"""),80772.0)</f>
        <v>80772</v>
      </c>
      <c r="O16" s="173">
        <f>IFERROR(__xludf.DUMMYFUNCTION("""COMPUTED_VALUE"""),23.0)</f>
        <v>23</v>
      </c>
      <c r="P16" s="173">
        <f>IFERROR(__xludf.DUMMYFUNCTION("""COMPUTED_VALUE"""),1408.0)</f>
        <v>1408</v>
      </c>
      <c r="Q16" s="173">
        <f>IFERROR(__xludf.DUMMYFUNCTION("""COMPUTED_VALUE"""),18.0)</f>
        <v>18</v>
      </c>
      <c r="R16" s="173">
        <f>IFERROR(__xludf.DUMMYFUNCTION("""COMPUTED_VALUE"""),930.0)</f>
        <v>930</v>
      </c>
      <c r="S16" s="173">
        <f>IFERROR(__xludf.DUMMYFUNCTION("""COMPUTED_VALUE"""),4.0)</f>
        <v>4</v>
      </c>
      <c r="T16" s="173">
        <f>IFERROR(__xludf.DUMMYFUNCTION("""COMPUTED_VALUE"""),185.0)</f>
        <v>185</v>
      </c>
      <c r="U16" s="173">
        <f>IFERROR(__xludf.DUMMYFUNCTION("""COMPUTED_VALUE"""),293.0)</f>
        <v>293</v>
      </c>
      <c r="V16" s="173">
        <f>IFERROR(__xludf.DUMMYFUNCTION("""COMPUTED_VALUE"""),289.0)</f>
        <v>289</v>
      </c>
      <c r="W16" s="173">
        <f>IFERROR(__xludf.DUMMYFUNCTION("""COMPUTED_VALUE"""),70.0)</f>
        <v>70</v>
      </c>
      <c r="X16" s="173">
        <f>IFERROR(__xludf.DUMMYFUNCTION("""COMPUTED_VALUE"""),49.0)</f>
        <v>49</v>
      </c>
      <c r="Y16" s="173">
        <f>IFERROR(__xludf.DUMMYFUNCTION("""COMPUTED_VALUE"""),22.0)</f>
        <v>22</v>
      </c>
      <c r="Z16" s="173">
        <f>IFERROR(__xludf.DUMMYFUNCTION("""COMPUTED_VALUE"""),587.0)</f>
        <v>587</v>
      </c>
    </row>
    <row r="17">
      <c r="A17" s="234">
        <f>IFERROR(__xludf.DUMMYFUNCTION("""COMPUTED_VALUE"""),43964.0)</f>
        <v>43964</v>
      </c>
      <c r="B17" s="173">
        <f>IFERROR(__xludf.DUMMYFUNCTION("""COMPUTED_VALUE"""),351.0)</f>
        <v>351</v>
      </c>
      <c r="C17" s="173">
        <f>IFERROR(__xludf.DUMMYFUNCTION("""COMPUTED_VALUE"""),332.0)</f>
        <v>332</v>
      </c>
      <c r="D17" s="173">
        <f>IFERROR(__xludf.DUMMYFUNCTION("""COMPUTED_VALUE"""),14809.0)</f>
        <v>14809</v>
      </c>
      <c r="E17" s="173">
        <f>IFERROR(__xludf.DUMMYFUNCTION("""COMPUTED_VALUE"""),3630.0)</f>
        <v>3630</v>
      </c>
      <c r="F17" s="173">
        <f>IFERROR(__xludf.DUMMYFUNCTION("""COMPUTED_VALUE"""),93672.0)</f>
        <v>93672</v>
      </c>
      <c r="G17" s="173">
        <f>IFERROR(__xludf.DUMMYFUNCTION("""COMPUTED_VALUE"""),3981.0)</f>
        <v>3981</v>
      </c>
      <c r="H17" s="173">
        <f>IFERROR(__xludf.DUMMYFUNCTION("""COMPUTED_VALUE"""),108481.0)</f>
        <v>108481</v>
      </c>
      <c r="I17" s="173">
        <f>IFERROR(__xludf.DUMMYFUNCTION("""COMPUTED_VALUE"""),199.0)</f>
        <v>199</v>
      </c>
      <c r="J17" s="173">
        <f>IFERROR(__xludf.DUMMYFUNCTION("""COMPUTED_VALUE"""),199.0)</f>
        <v>199</v>
      </c>
      <c r="K17" s="173">
        <f>IFERROR(__xludf.DUMMYFUNCTION("""COMPUTED_VALUE"""),12174.0)</f>
        <v>12174</v>
      </c>
      <c r="L17" s="173">
        <f>IFERROR(__xludf.DUMMYFUNCTION("""COMPUTED_VALUE"""),1914.0)</f>
        <v>1914</v>
      </c>
      <c r="M17" s="173">
        <f>IFERROR(__xludf.DUMMYFUNCTION("""COMPUTED_VALUE"""),70711.0)</f>
        <v>70711</v>
      </c>
      <c r="N17" s="173">
        <f>IFERROR(__xludf.DUMMYFUNCTION("""COMPUTED_VALUE"""),82885.0)</f>
        <v>82885</v>
      </c>
      <c r="O17" s="173">
        <f>IFERROR(__xludf.DUMMYFUNCTION("""COMPUTED_VALUE"""),23.0)</f>
        <v>23</v>
      </c>
      <c r="P17" s="173">
        <f>IFERROR(__xludf.DUMMYFUNCTION("""COMPUTED_VALUE"""),1431.0)</f>
        <v>1431</v>
      </c>
      <c r="Q17" s="173">
        <f>IFERROR(__xludf.DUMMYFUNCTION("""COMPUTED_VALUE"""),25.0)</f>
        <v>25</v>
      </c>
      <c r="R17" s="173">
        <f>IFERROR(__xludf.DUMMYFUNCTION("""COMPUTED_VALUE"""),955.0)</f>
        <v>955</v>
      </c>
      <c r="S17" s="173">
        <f>IFERROR(__xludf.DUMMYFUNCTION("""COMPUTED_VALUE"""),1.0)</f>
        <v>1</v>
      </c>
      <c r="T17" s="173">
        <f>IFERROR(__xludf.DUMMYFUNCTION("""COMPUTED_VALUE"""),186.0)</f>
        <v>186</v>
      </c>
      <c r="U17" s="173">
        <f>IFERROR(__xludf.DUMMYFUNCTION("""COMPUTED_VALUE"""),290.0)</f>
        <v>290</v>
      </c>
      <c r="V17" s="173">
        <f>IFERROR(__xludf.DUMMYFUNCTION("""COMPUTED_VALUE"""),292.0)</f>
        <v>292</v>
      </c>
      <c r="W17" s="173">
        <f>IFERROR(__xludf.DUMMYFUNCTION("""COMPUTED_VALUE"""),70.0)</f>
        <v>70</v>
      </c>
      <c r="X17" s="173">
        <f>IFERROR(__xludf.DUMMYFUNCTION("""COMPUTED_VALUE"""),50.0)</f>
        <v>50</v>
      </c>
      <c r="Y17" s="173">
        <f>IFERROR(__xludf.DUMMYFUNCTION("""COMPUTED_VALUE"""),13.0)</f>
        <v>13</v>
      </c>
      <c r="Z17" s="173">
        <f>IFERROR(__xludf.DUMMYFUNCTION("""COMPUTED_VALUE"""),600.0)</f>
        <v>600</v>
      </c>
    </row>
    <row r="18">
      <c r="A18" s="234">
        <f>IFERROR(__xludf.DUMMYFUNCTION("""COMPUTED_VALUE"""),43965.0)</f>
        <v>43965</v>
      </c>
      <c r="B18" s="173">
        <f>IFERROR(__xludf.DUMMYFUNCTION("""COMPUTED_VALUE"""),329.0)</f>
        <v>329</v>
      </c>
      <c r="C18" s="173">
        <f>IFERROR(__xludf.DUMMYFUNCTION("""COMPUTED_VALUE"""),356.0)</f>
        <v>356</v>
      </c>
      <c r="D18" s="173">
        <f>IFERROR(__xludf.DUMMYFUNCTION("""COMPUTED_VALUE"""),15138.0)</f>
        <v>15138</v>
      </c>
      <c r="E18" s="173">
        <f>IFERROR(__xludf.DUMMYFUNCTION("""COMPUTED_VALUE"""),3408.0)</f>
        <v>3408</v>
      </c>
      <c r="F18" s="173">
        <f>IFERROR(__xludf.DUMMYFUNCTION("""COMPUTED_VALUE"""),97080.0)</f>
        <v>97080</v>
      </c>
      <c r="G18" s="173">
        <f>IFERROR(__xludf.DUMMYFUNCTION("""COMPUTED_VALUE"""),3737.0)</f>
        <v>3737</v>
      </c>
      <c r="H18" s="173">
        <f>IFERROR(__xludf.DUMMYFUNCTION("""COMPUTED_VALUE"""),112218.0)</f>
        <v>112218</v>
      </c>
      <c r="I18" s="173">
        <f>IFERROR(__xludf.DUMMYFUNCTION("""COMPUTED_VALUE"""),232.0)</f>
        <v>232</v>
      </c>
      <c r="J18" s="173">
        <f>IFERROR(__xludf.DUMMYFUNCTION("""COMPUTED_VALUE"""),218.0)</f>
        <v>218</v>
      </c>
      <c r="K18" s="173">
        <f>IFERROR(__xludf.DUMMYFUNCTION("""COMPUTED_VALUE"""),12406.0)</f>
        <v>12406</v>
      </c>
      <c r="L18" s="173">
        <f>IFERROR(__xludf.DUMMYFUNCTION("""COMPUTED_VALUE"""),1952.0)</f>
        <v>1952</v>
      </c>
      <c r="M18" s="173">
        <f>IFERROR(__xludf.DUMMYFUNCTION("""COMPUTED_VALUE"""),72663.0)</f>
        <v>72663</v>
      </c>
      <c r="N18" s="173">
        <f>IFERROR(__xludf.DUMMYFUNCTION("""COMPUTED_VALUE"""),85069.0)</f>
        <v>85069</v>
      </c>
      <c r="O18" s="173">
        <f>IFERROR(__xludf.DUMMYFUNCTION("""COMPUTED_VALUE"""),19.0)</f>
        <v>19</v>
      </c>
      <c r="P18" s="173">
        <f>IFERROR(__xludf.DUMMYFUNCTION("""COMPUTED_VALUE"""),1450.0)</f>
        <v>1450</v>
      </c>
      <c r="Q18" s="173">
        <f>IFERROR(__xludf.DUMMYFUNCTION("""COMPUTED_VALUE"""),27.0)</f>
        <v>27</v>
      </c>
      <c r="R18" s="173">
        <f>IFERROR(__xludf.DUMMYFUNCTION("""COMPUTED_VALUE"""),982.0)</f>
        <v>982</v>
      </c>
      <c r="S18" s="173">
        <f>IFERROR(__xludf.DUMMYFUNCTION("""COMPUTED_VALUE"""),3.0)</f>
        <v>3</v>
      </c>
      <c r="T18" s="173">
        <f>IFERROR(__xludf.DUMMYFUNCTION("""COMPUTED_VALUE"""),189.0)</f>
        <v>189</v>
      </c>
      <c r="U18" s="173">
        <f>IFERROR(__xludf.DUMMYFUNCTION("""COMPUTED_VALUE"""),279.0)</f>
        <v>279</v>
      </c>
      <c r="V18" s="173">
        <f>IFERROR(__xludf.DUMMYFUNCTION("""COMPUTED_VALUE"""),287.0)</f>
        <v>287</v>
      </c>
      <c r="W18" s="173">
        <f>IFERROR(__xludf.DUMMYFUNCTION("""COMPUTED_VALUE"""),65.0)</f>
        <v>65</v>
      </c>
      <c r="X18" s="173">
        <f>IFERROR(__xludf.DUMMYFUNCTION("""COMPUTED_VALUE"""),46.0)</f>
        <v>46</v>
      </c>
      <c r="Y18" s="173">
        <f>IFERROR(__xludf.DUMMYFUNCTION("""COMPUTED_VALUE"""),15.0)</f>
        <v>15</v>
      </c>
      <c r="Z18" s="173">
        <f>IFERROR(__xludf.DUMMYFUNCTION("""COMPUTED_VALUE"""),615.0)</f>
        <v>615</v>
      </c>
    </row>
    <row r="19">
      <c r="A19" s="234">
        <f>IFERROR(__xludf.DUMMYFUNCTION("""COMPUTED_VALUE"""),43966.0)</f>
        <v>43966</v>
      </c>
      <c r="B19" s="173">
        <f>IFERROR(__xludf.DUMMYFUNCTION("""COMPUTED_VALUE"""),381.0)</f>
        <v>381</v>
      </c>
      <c r="C19" s="173">
        <f>IFERROR(__xludf.DUMMYFUNCTION("""COMPUTED_VALUE"""),354.0)</f>
        <v>354</v>
      </c>
      <c r="D19" s="173">
        <f>IFERROR(__xludf.DUMMYFUNCTION("""COMPUTED_VALUE"""),15519.0)</f>
        <v>15519</v>
      </c>
      <c r="E19" s="173">
        <f>IFERROR(__xludf.DUMMYFUNCTION("""COMPUTED_VALUE"""),3458.0)</f>
        <v>3458</v>
      </c>
      <c r="F19" s="173">
        <f>IFERROR(__xludf.DUMMYFUNCTION("""COMPUTED_VALUE"""),100538.0)</f>
        <v>100538</v>
      </c>
      <c r="G19" s="173">
        <f>IFERROR(__xludf.DUMMYFUNCTION("""COMPUTED_VALUE"""),3839.0)</f>
        <v>3839</v>
      </c>
      <c r="H19" s="173">
        <f>IFERROR(__xludf.DUMMYFUNCTION("""COMPUTED_VALUE"""),116057.0)</f>
        <v>116057</v>
      </c>
      <c r="I19" s="173">
        <f>IFERROR(__xludf.DUMMYFUNCTION("""COMPUTED_VALUE"""),232.0)</f>
        <v>232</v>
      </c>
      <c r="J19" s="173">
        <f>IFERROR(__xludf.DUMMYFUNCTION("""COMPUTED_VALUE"""),221.0)</f>
        <v>221</v>
      </c>
      <c r="K19" s="173">
        <f>IFERROR(__xludf.DUMMYFUNCTION("""COMPUTED_VALUE"""),12638.0)</f>
        <v>12638</v>
      </c>
      <c r="L19" s="173">
        <f>IFERROR(__xludf.DUMMYFUNCTION("""COMPUTED_VALUE"""),1763.0)</f>
        <v>1763</v>
      </c>
      <c r="M19" s="173">
        <f>IFERROR(__xludf.DUMMYFUNCTION("""COMPUTED_VALUE"""),74426.0)</f>
        <v>74426</v>
      </c>
      <c r="N19" s="173">
        <f>IFERROR(__xludf.DUMMYFUNCTION("""COMPUTED_VALUE"""),87064.0)</f>
        <v>87064</v>
      </c>
      <c r="O19" s="173">
        <f>IFERROR(__xludf.DUMMYFUNCTION("""COMPUTED_VALUE"""),24.0)</f>
        <v>24</v>
      </c>
      <c r="P19" s="173">
        <f>IFERROR(__xludf.DUMMYFUNCTION("""COMPUTED_VALUE"""),1474.0)</f>
        <v>1474</v>
      </c>
      <c r="Q19" s="173">
        <f>IFERROR(__xludf.DUMMYFUNCTION("""COMPUTED_VALUE"""),41.0)</f>
        <v>41</v>
      </c>
      <c r="R19" s="173">
        <f>IFERROR(__xludf.DUMMYFUNCTION("""COMPUTED_VALUE"""),1023.0)</f>
        <v>1023</v>
      </c>
      <c r="S19" s="173">
        <f>IFERROR(__xludf.DUMMYFUNCTION("""COMPUTED_VALUE"""),5.0)</f>
        <v>5</v>
      </c>
      <c r="T19" s="173">
        <f>IFERROR(__xludf.DUMMYFUNCTION("""COMPUTED_VALUE"""),194.0)</f>
        <v>194</v>
      </c>
      <c r="U19" s="173">
        <f>IFERROR(__xludf.DUMMYFUNCTION("""COMPUTED_VALUE"""),257.0)</f>
        <v>257</v>
      </c>
      <c r="V19" s="173">
        <f>IFERROR(__xludf.DUMMYFUNCTION("""COMPUTED_VALUE"""),275.0)</f>
        <v>275</v>
      </c>
      <c r="W19" s="173">
        <f>IFERROR(__xludf.DUMMYFUNCTION("""COMPUTED_VALUE"""),63.0)</f>
        <v>63</v>
      </c>
      <c r="X19" s="173">
        <f>IFERROR(__xludf.DUMMYFUNCTION("""COMPUTED_VALUE"""),46.0)</f>
        <v>46</v>
      </c>
      <c r="Y19" s="173">
        <f>IFERROR(__xludf.DUMMYFUNCTION("""COMPUTED_VALUE"""),14.0)</f>
        <v>14</v>
      </c>
      <c r="Z19" s="173">
        <f>IFERROR(__xludf.DUMMYFUNCTION("""COMPUTED_VALUE"""),629.0)</f>
        <v>629</v>
      </c>
    </row>
    <row r="20">
      <c r="A20" s="234">
        <f>IFERROR(__xludf.DUMMYFUNCTION("""COMPUTED_VALUE"""),43967.0)</f>
        <v>43967</v>
      </c>
      <c r="B20" s="173">
        <f>IFERROR(__xludf.DUMMYFUNCTION("""COMPUTED_VALUE"""),449.0)</f>
        <v>449</v>
      </c>
      <c r="C20" s="173">
        <f>IFERROR(__xludf.DUMMYFUNCTION("""COMPUTED_VALUE"""),386.0)</f>
        <v>386</v>
      </c>
      <c r="D20" s="173">
        <f>IFERROR(__xludf.DUMMYFUNCTION("""COMPUTED_VALUE"""),15968.0)</f>
        <v>15968</v>
      </c>
      <c r="E20" s="173">
        <f>IFERROR(__xludf.DUMMYFUNCTION("""COMPUTED_VALUE"""),4156.0)</f>
        <v>4156</v>
      </c>
      <c r="F20" s="173">
        <f>IFERROR(__xludf.DUMMYFUNCTION("""COMPUTED_VALUE"""),104694.0)</f>
        <v>104694</v>
      </c>
      <c r="G20" s="173">
        <f>IFERROR(__xludf.DUMMYFUNCTION("""COMPUTED_VALUE"""),4605.0)</f>
        <v>4605</v>
      </c>
      <c r="H20" s="173">
        <f>IFERROR(__xludf.DUMMYFUNCTION("""COMPUTED_VALUE"""),120662.0)</f>
        <v>120662</v>
      </c>
      <c r="I20" s="173">
        <f>IFERROR(__xludf.DUMMYFUNCTION("""COMPUTED_VALUE"""),247.0)</f>
        <v>247</v>
      </c>
      <c r="J20" s="173">
        <f>IFERROR(__xludf.DUMMYFUNCTION("""COMPUTED_VALUE"""),237.0)</f>
        <v>237</v>
      </c>
      <c r="K20" s="173">
        <f>IFERROR(__xludf.DUMMYFUNCTION("""COMPUTED_VALUE"""),12885.0)</f>
        <v>12885</v>
      </c>
      <c r="L20" s="173">
        <f>IFERROR(__xludf.DUMMYFUNCTION("""COMPUTED_VALUE"""),1906.0)</f>
        <v>1906</v>
      </c>
      <c r="M20" s="173">
        <f>IFERROR(__xludf.DUMMYFUNCTION("""COMPUTED_VALUE"""),76332.0)</f>
        <v>76332</v>
      </c>
      <c r="N20" s="173">
        <f>IFERROR(__xludf.DUMMYFUNCTION("""COMPUTED_VALUE"""),89217.0)</f>
        <v>89217</v>
      </c>
      <c r="O20" s="173">
        <f>IFERROR(__xludf.DUMMYFUNCTION("""COMPUTED_VALUE"""),25.0)</f>
        <v>25</v>
      </c>
      <c r="P20" s="173">
        <f>IFERROR(__xludf.DUMMYFUNCTION("""COMPUTED_VALUE"""),1499.0)</f>
        <v>1499</v>
      </c>
      <c r="Q20" s="173">
        <f>IFERROR(__xludf.DUMMYFUNCTION("""COMPUTED_VALUE"""),15.0)</f>
        <v>15</v>
      </c>
      <c r="R20" s="173">
        <f>IFERROR(__xludf.DUMMYFUNCTION("""COMPUTED_VALUE"""),1038.0)</f>
        <v>1038</v>
      </c>
      <c r="S20" s="173">
        <f>IFERROR(__xludf.DUMMYFUNCTION("""COMPUTED_VALUE"""),5.0)</f>
        <v>5</v>
      </c>
      <c r="T20" s="173">
        <f>IFERROR(__xludf.DUMMYFUNCTION("""COMPUTED_VALUE"""),199.0)</f>
        <v>199</v>
      </c>
      <c r="U20" s="173">
        <f>IFERROR(__xludf.DUMMYFUNCTION("""COMPUTED_VALUE"""),262.0)</f>
        <v>262</v>
      </c>
      <c r="V20" s="173">
        <f>IFERROR(__xludf.DUMMYFUNCTION("""COMPUTED_VALUE"""),266.0)</f>
        <v>266</v>
      </c>
      <c r="W20" s="173">
        <f>IFERROR(__xludf.DUMMYFUNCTION("""COMPUTED_VALUE"""),62.0)</f>
        <v>62</v>
      </c>
      <c r="X20" s="173">
        <f>IFERROR(__xludf.DUMMYFUNCTION("""COMPUTED_VALUE"""),47.0)</f>
        <v>47</v>
      </c>
      <c r="Y20" s="173">
        <f>IFERROR(__xludf.DUMMYFUNCTION("""COMPUTED_VALUE"""),15.0)</f>
        <v>15</v>
      </c>
      <c r="Z20" s="173">
        <f>IFERROR(__xludf.DUMMYFUNCTION("""COMPUTED_VALUE"""),644.0)</f>
        <v>644</v>
      </c>
    </row>
    <row r="21">
      <c r="A21" s="234">
        <f>IFERROR(__xludf.DUMMYFUNCTION("""COMPUTED_VALUE"""),43968.0)</f>
        <v>43968</v>
      </c>
      <c r="B21" s="173">
        <f>IFERROR(__xludf.DUMMYFUNCTION("""COMPUTED_VALUE"""),240.0)</f>
        <v>240</v>
      </c>
      <c r="C21" s="173">
        <f>IFERROR(__xludf.DUMMYFUNCTION("""COMPUTED_VALUE"""),357.0)</f>
        <v>357</v>
      </c>
      <c r="D21" s="173">
        <f>IFERROR(__xludf.DUMMYFUNCTION("""COMPUTED_VALUE"""),16208.0)</f>
        <v>16208</v>
      </c>
      <c r="E21" s="173">
        <f>IFERROR(__xludf.DUMMYFUNCTION("""COMPUTED_VALUE"""),2768.0)</f>
        <v>2768</v>
      </c>
      <c r="F21" s="173">
        <f>IFERROR(__xludf.DUMMYFUNCTION("""COMPUTED_VALUE"""),107462.0)</f>
        <v>107462</v>
      </c>
      <c r="G21" s="173">
        <f>IFERROR(__xludf.DUMMYFUNCTION("""COMPUTED_VALUE"""),3008.0)</f>
        <v>3008</v>
      </c>
      <c r="H21" s="173">
        <f>IFERROR(__xludf.DUMMYFUNCTION("""COMPUTED_VALUE"""),123670.0)</f>
        <v>123670</v>
      </c>
      <c r="I21" s="173">
        <f>IFERROR(__xludf.DUMMYFUNCTION("""COMPUTED_VALUE"""),126.0)</f>
        <v>126</v>
      </c>
      <c r="J21" s="173">
        <f>IFERROR(__xludf.DUMMYFUNCTION("""COMPUTED_VALUE"""),202.0)</f>
        <v>202</v>
      </c>
      <c r="K21" s="173">
        <f>IFERROR(__xludf.DUMMYFUNCTION("""COMPUTED_VALUE"""),13011.0)</f>
        <v>13011</v>
      </c>
      <c r="L21" s="173">
        <f>IFERROR(__xludf.DUMMYFUNCTION("""COMPUTED_VALUE"""),1514.0)</f>
        <v>1514</v>
      </c>
      <c r="M21" s="173">
        <f>IFERROR(__xludf.DUMMYFUNCTION("""COMPUTED_VALUE"""),77846.0)</f>
        <v>77846</v>
      </c>
      <c r="N21" s="173">
        <f>IFERROR(__xludf.DUMMYFUNCTION("""COMPUTED_VALUE"""),90857.0)</f>
        <v>90857</v>
      </c>
      <c r="O21" s="173">
        <f>IFERROR(__xludf.DUMMYFUNCTION("""COMPUTED_VALUE"""),17.0)</f>
        <v>17</v>
      </c>
      <c r="P21" s="173">
        <f>IFERROR(__xludf.DUMMYFUNCTION("""COMPUTED_VALUE"""),1516.0)</f>
        <v>1516</v>
      </c>
      <c r="Q21" s="173">
        <f>IFERROR(__xludf.DUMMYFUNCTION("""COMPUTED_VALUE"""),9.0)</f>
        <v>9</v>
      </c>
      <c r="R21" s="173">
        <f>IFERROR(__xludf.DUMMYFUNCTION("""COMPUTED_VALUE"""),1047.0)</f>
        <v>1047</v>
      </c>
      <c r="S21" s="173">
        <f>IFERROR(__xludf.DUMMYFUNCTION("""COMPUTED_VALUE"""),5.0)</f>
        <v>5</v>
      </c>
      <c r="T21" s="173">
        <f>IFERROR(__xludf.DUMMYFUNCTION("""COMPUTED_VALUE"""),204.0)</f>
        <v>204</v>
      </c>
      <c r="U21" s="173">
        <f>IFERROR(__xludf.DUMMYFUNCTION("""COMPUTED_VALUE"""),265.0)</f>
        <v>265</v>
      </c>
      <c r="V21" s="173">
        <f>IFERROR(__xludf.DUMMYFUNCTION("""COMPUTED_VALUE"""),261.0)</f>
        <v>261</v>
      </c>
      <c r="W21" s="173">
        <f>IFERROR(__xludf.DUMMYFUNCTION("""COMPUTED_VALUE"""),60.0)</f>
        <v>60</v>
      </c>
      <c r="X21" s="173">
        <f>IFERROR(__xludf.DUMMYFUNCTION("""COMPUTED_VALUE"""),46.0)</f>
        <v>46</v>
      </c>
      <c r="Y21" s="173">
        <f>IFERROR(__xludf.DUMMYFUNCTION("""COMPUTED_VALUE"""),10.0)</f>
        <v>10</v>
      </c>
      <c r="Z21" s="173">
        <f>IFERROR(__xludf.DUMMYFUNCTION("""COMPUTED_VALUE"""),654.0)</f>
        <v>654</v>
      </c>
    </row>
    <row r="22">
      <c r="A22" s="234">
        <f>IFERROR(__xludf.DUMMYFUNCTION("""COMPUTED_VALUE"""),43969.0)</f>
        <v>43969</v>
      </c>
      <c r="B22" s="173">
        <f>IFERROR(__xludf.DUMMYFUNCTION("""COMPUTED_VALUE"""),250.0)</f>
        <v>250</v>
      </c>
      <c r="C22" s="173">
        <f>IFERROR(__xludf.DUMMYFUNCTION("""COMPUTED_VALUE"""),313.0)</f>
        <v>313</v>
      </c>
      <c r="D22" s="173">
        <f>IFERROR(__xludf.DUMMYFUNCTION("""COMPUTED_VALUE"""),16458.0)</f>
        <v>16458</v>
      </c>
      <c r="E22" s="173">
        <f>IFERROR(__xludf.DUMMYFUNCTION("""COMPUTED_VALUE"""),2001.0)</f>
        <v>2001</v>
      </c>
      <c r="F22" s="173">
        <f>IFERROR(__xludf.DUMMYFUNCTION("""COMPUTED_VALUE"""),109463.0)</f>
        <v>109463</v>
      </c>
      <c r="G22" s="173">
        <f>IFERROR(__xludf.DUMMYFUNCTION("""COMPUTED_VALUE"""),2251.0)</f>
        <v>2251</v>
      </c>
      <c r="H22" s="173">
        <f>IFERROR(__xludf.DUMMYFUNCTION("""COMPUTED_VALUE"""),125921.0)</f>
        <v>125921</v>
      </c>
      <c r="I22" s="173">
        <f>IFERROR(__xludf.DUMMYFUNCTION("""COMPUTED_VALUE"""),135.0)</f>
        <v>135</v>
      </c>
      <c r="J22" s="173">
        <f>IFERROR(__xludf.DUMMYFUNCTION("""COMPUTED_VALUE"""),169.0)</f>
        <v>169</v>
      </c>
      <c r="K22" s="173">
        <f>IFERROR(__xludf.DUMMYFUNCTION("""COMPUTED_VALUE"""),13146.0)</f>
        <v>13146</v>
      </c>
      <c r="L22" s="173">
        <f>IFERROR(__xludf.DUMMYFUNCTION("""COMPUTED_VALUE"""),1349.0)</f>
        <v>1349</v>
      </c>
      <c r="M22" s="173">
        <f>IFERROR(__xludf.DUMMYFUNCTION("""COMPUTED_VALUE"""),79195.0)</f>
        <v>79195</v>
      </c>
      <c r="N22" s="173">
        <f>IFERROR(__xludf.DUMMYFUNCTION("""COMPUTED_VALUE"""),92341.0)</f>
        <v>92341</v>
      </c>
      <c r="O22" s="173">
        <f>IFERROR(__xludf.DUMMYFUNCTION("""COMPUTED_VALUE"""),19.0)</f>
        <v>19</v>
      </c>
      <c r="P22" s="173">
        <f>IFERROR(__xludf.DUMMYFUNCTION("""COMPUTED_VALUE"""),1535.0)</f>
        <v>1535</v>
      </c>
      <c r="Q22" s="173">
        <f>IFERROR(__xludf.DUMMYFUNCTION("""COMPUTED_VALUE"""),16.0)</f>
        <v>16</v>
      </c>
      <c r="R22" s="173">
        <f>IFERROR(__xludf.DUMMYFUNCTION("""COMPUTED_VALUE"""),1063.0)</f>
        <v>1063</v>
      </c>
      <c r="S22" s="173">
        <f>IFERROR(__xludf.DUMMYFUNCTION("""COMPUTED_VALUE"""),5.0)</f>
        <v>5</v>
      </c>
      <c r="T22" s="173">
        <f>IFERROR(__xludf.DUMMYFUNCTION("""COMPUTED_VALUE"""),209.0)</f>
        <v>209</v>
      </c>
      <c r="U22" s="173">
        <f>IFERROR(__xludf.DUMMYFUNCTION("""COMPUTED_VALUE"""),263.0)</f>
        <v>263</v>
      </c>
      <c r="V22" s="173">
        <f>IFERROR(__xludf.DUMMYFUNCTION("""COMPUTED_VALUE"""),263.0)</f>
        <v>263</v>
      </c>
      <c r="W22" s="173">
        <f>IFERROR(__xludf.DUMMYFUNCTION("""COMPUTED_VALUE"""),58.0)</f>
        <v>58</v>
      </c>
      <c r="X22" s="173">
        <f>IFERROR(__xludf.DUMMYFUNCTION("""COMPUTED_VALUE"""),41.0)</f>
        <v>41</v>
      </c>
      <c r="Y22" s="173">
        <f>IFERROR(__xludf.DUMMYFUNCTION("""COMPUTED_VALUE"""),18.0)</f>
        <v>18</v>
      </c>
      <c r="Z22" s="173">
        <f>IFERROR(__xludf.DUMMYFUNCTION("""COMPUTED_VALUE"""),672.0)</f>
        <v>672</v>
      </c>
    </row>
    <row r="23">
      <c r="A23" s="234">
        <f>IFERROR(__xludf.DUMMYFUNCTION("""COMPUTED_VALUE"""),43970.0)</f>
        <v>43970</v>
      </c>
      <c r="B23" s="173">
        <f>IFERROR(__xludf.DUMMYFUNCTION("""COMPUTED_VALUE"""),415.0)</f>
        <v>415</v>
      </c>
      <c r="C23" s="173">
        <f>IFERROR(__xludf.DUMMYFUNCTION("""COMPUTED_VALUE"""),302.0)</f>
        <v>302</v>
      </c>
      <c r="D23" s="173">
        <f>IFERROR(__xludf.DUMMYFUNCTION("""COMPUTED_VALUE"""),16873.0)</f>
        <v>16873</v>
      </c>
      <c r="E23" s="173">
        <f>IFERROR(__xludf.DUMMYFUNCTION("""COMPUTED_VALUE"""),3168.0)</f>
        <v>3168</v>
      </c>
      <c r="F23" s="173">
        <f>IFERROR(__xludf.DUMMYFUNCTION("""COMPUTED_VALUE"""),112631.0)</f>
        <v>112631</v>
      </c>
      <c r="G23" s="173">
        <f>IFERROR(__xludf.DUMMYFUNCTION("""COMPUTED_VALUE"""),3583.0)</f>
        <v>3583</v>
      </c>
      <c r="H23" s="173">
        <f>IFERROR(__xludf.DUMMYFUNCTION("""COMPUTED_VALUE"""),129504.0)</f>
        <v>129504</v>
      </c>
      <c r="I23" s="173">
        <f>IFERROR(__xludf.DUMMYFUNCTION("""COMPUTED_VALUE"""),215.0)</f>
        <v>215</v>
      </c>
      <c r="J23" s="173">
        <f>IFERROR(__xludf.DUMMYFUNCTION("""COMPUTED_VALUE"""),159.0)</f>
        <v>159</v>
      </c>
      <c r="K23" s="173">
        <f>IFERROR(__xludf.DUMMYFUNCTION("""COMPUTED_VALUE"""),13361.0)</f>
        <v>13361</v>
      </c>
      <c r="L23" s="173">
        <f>IFERROR(__xludf.DUMMYFUNCTION("""COMPUTED_VALUE"""),1894.0)</f>
        <v>1894</v>
      </c>
      <c r="M23" s="173">
        <f>IFERROR(__xludf.DUMMYFUNCTION("""COMPUTED_VALUE"""),81089.0)</f>
        <v>81089</v>
      </c>
      <c r="N23" s="173">
        <f>IFERROR(__xludf.DUMMYFUNCTION("""COMPUTED_VALUE"""),94450.0)</f>
        <v>94450</v>
      </c>
      <c r="O23" s="173">
        <f>IFERROR(__xludf.DUMMYFUNCTION("""COMPUTED_VALUE"""),23.0)</f>
        <v>23</v>
      </c>
      <c r="P23" s="173">
        <f>IFERROR(__xludf.DUMMYFUNCTION("""COMPUTED_VALUE"""),1558.0)</f>
        <v>1558</v>
      </c>
      <c r="Q23" s="173">
        <f>IFERROR(__xludf.DUMMYFUNCTION("""COMPUTED_VALUE"""),33.0)</f>
        <v>33</v>
      </c>
      <c r="R23" s="173">
        <f>IFERROR(__xludf.DUMMYFUNCTION("""COMPUTED_VALUE"""),1096.0)</f>
        <v>1096</v>
      </c>
      <c r="S23" s="173">
        <f>IFERROR(__xludf.DUMMYFUNCTION("""COMPUTED_VALUE"""),5.0)</f>
        <v>5</v>
      </c>
      <c r="T23" s="173">
        <f>IFERROR(__xludf.DUMMYFUNCTION("""COMPUTED_VALUE"""),214.0)</f>
        <v>214</v>
      </c>
      <c r="U23" s="173">
        <f>IFERROR(__xludf.DUMMYFUNCTION("""COMPUTED_VALUE"""),248.0)</f>
        <v>248</v>
      </c>
      <c r="V23" s="173">
        <f>IFERROR(__xludf.DUMMYFUNCTION("""COMPUTED_VALUE"""),259.0)</f>
        <v>259</v>
      </c>
      <c r="W23" s="173">
        <f>IFERROR(__xludf.DUMMYFUNCTION("""COMPUTED_VALUE"""),57.0)</f>
        <v>57</v>
      </c>
      <c r="X23" s="173">
        <f>IFERROR(__xludf.DUMMYFUNCTION("""COMPUTED_VALUE"""),39.0)</f>
        <v>39</v>
      </c>
      <c r="Y23" s="173">
        <f>IFERROR(__xludf.DUMMYFUNCTION("""COMPUTED_VALUE"""),11.0)</f>
        <v>11</v>
      </c>
      <c r="Z23" s="173">
        <f>IFERROR(__xludf.DUMMYFUNCTION("""COMPUTED_VALUE"""),683.0)</f>
        <v>683</v>
      </c>
    </row>
    <row r="24">
      <c r="A24" s="234">
        <f>IFERROR(__xludf.DUMMYFUNCTION("""COMPUTED_VALUE"""),43971.0)</f>
        <v>43971</v>
      </c>
      <c r="B24" s="173">
        <f>IFERROR(__xludf.DUMMYFUNCTION("""COMPUTED_VALUE"""),326.0)</f>
        <v>326</v>
      </c>
      <c r="C24" s="173">
        <f>IFERROR(__xludf.DUMMYFUNCTION("""COMPUTED_VALUE"""),330.0)</f>
        <v>330</v>
      </c>
      <c r="D24" s="173">
        <f>IFERROR(__xludf.DUMMYFUNCTION("""COMPUTED_VALUE"""),17199.0)</f>
        <v>17199</v>
      </c>
      <c r="E24" s="173">
        <f>IFERROR(__xludf.DUMMYFUNCTION("""COMPUTED_VALUE"""),2771.0)</f>
        <v>2771</v>
      </c>
      <c r="F24" s="173">
        <f>IFERROR(__xludf.DUMMYFUNCTION("""COMPUTED_VALUE"""),115402.0)</f>
        <v>115402</v>
      </c>
      <c r="G24" s="173">
        <f>IFERROR(__xludf.DUMMYFUNCTION("""COMPUTED_VALUE"""),3097.0)</f>
        <v>3097</v>
      </c>
      <c r="H24" s="173">
        <f>IFERROR(__xludf.DUMMYFUNCTION("""COMPUTED_VALUE"""),132601.0)</f>
        <v>132601</v>
      </c>
      <c r="I24" s="173">
        <f>IFERROR(__xludf.DUMMYFUNCTION("""COMPUTED_VALUE"""),184.0)</f>
        <v>184</v>
      </c>
      <c r="J24" s="173">
        <f>IFERROR(__xludf.DUMMYFUNCTION("""COMPUTED_VALUE"""),178.0)</f>
        <v>178</v>
      </c>
      <c r="K24" s="173">
        <f>IFERROR(__xludf.DUMMYFUNCTION("""COMPUTED_VALUE"""),13545.0)</f>
        <v>13545</v>
      </c>
      <c r="L24" s="173">
        <f>IFERROR(__xludf.DUMMYFUNCTION("""COMPUTED_VALUE"""),1497.0)</f>
        <v>1497</v>
      </c>
      <c r="M24" s="173">
        <f>IFERROR(__xludf.DUMMYFUNCTION("""COMPUTED_VALUE"""),82586.0)</f>
        <v>82586</v>
      </c>
      <c r="N24" s="173">
        <f>IFERROR(__xludf.DUMMYFUNCTION("""COMPUTED_VALUE"""),96131.0)</f>
        <v>96131</v>
      </c>
      <c r="O24" s="173">
        <f>IFERROR(__xludf.DUMMYFUNCTION("""COMPUTED_VALUE"""),19.0)</f>
        <v>19</v>
      </c>
      <c r="P24" s="173">
        <f>IFERROR(__xludf.DUMMYFUNCTION("""COMPUTED_VALUE"""),1577.0)</f>
        <v>1577</v>
      </c>
      <c r="Q24" s="173">
        <f>IFERROR(__xludf.DUMMYFUNCTION("""COMPUTED_VALUE"""),23.0)</f>
        <v>23</v>
      </c>
      <c r="R24" s="173">
        <f>IFERROR(__xludf.DUMMYFUNCTION("""COMPUTED_VALUE"""),1119.0)</f>
        <v>1119</v>
      </c>
      <c r="S24" s="173">
        <f>IFERROR(__xludf.DUMMYFUNCTION("""COMPUTED_VALUE"""),7.0)</f>
        <v>7</v>
      </c>
      <c r="T24" s="173">
        <f>IFERROR(__xludf.DUMMYFUNCTION("""COMPUTED_VALUE"""),221.0)</f>
        <v>221</v>
      </c>
      <c r="U24" s="173">
        <f>IFERROR(__xludf.DUMMYFUNCTION("""COMPUTED_VALUE"""),237.0)</f>
        <v>237</v>
      </c>
      <c r="V24" s="173">
        <f>IFERROR(__xludf.DUMMYFUNCTION("""COMPUTED_VALUE"""),249.0)</f>
        <v>249</v>
      </c>
      <c r="W24" s="173">
        <f>IFERROR(__xludf.DUMMYFUNCTION("""COMPUTED_VALUE"""),53.0)</f>
        <v>53</v>
      </c>
      <c r="X24" s="173">
        <f>IFERROR(__xludf.DUMMYFUNCTION("""COMPUTED_VALUE"""),34.0)</f>
        <v>34</v>
      </c>
      <c r="Y24" s="173">
        <f>IFERROR(__xludf.DUMMYFUNCTION("""COMPUTED_VALUE"""),22.0)</f>
        <v>22</v>
      </c>
      <c r="Z24" s="173">
        <f>IFERROR(__xludf.DUMMYFUNCTION("""COMPUTED_VALUE"""),705.0)</f>
        <v>705</v>
      </c>
    </row>
    <row r="25">
      <c r="A25" s="234">
        <f>IFERROR(__xludf.DUMMYFUNCTION("""COMPUTED_VALUE"""),43972.0)</f>
        <v>43972</v>
      </c>
      <c r="B25" s="173">
        <f>IFERROR(__xludf.DUMMYFUNCTION("""COMPUTED_VALUE"""),374.0)</f>
        <v>374</v>
      </c>
      <c r="C25" s="173">
        <f>IFERROR(__xludf.DUMMYFUNCTION("""COMPUTED_VALUE"""),372.0)</f>
        <v>372</v>
      </c>
      <c r="D25" s="173">
        <f>IFERROR(__xludf.DUMMYFUNCTION("""COMPUTED_VALUE"""),17573.0)</f>
        <v>17573</v>
      </c>
      <c r="E25" s="173">
        <f>IFERROR(__xludf.DUMMYFUNCTION("""COMPUTED_VALUE"""),3757.0)</f>
        <v>3757</v>
      </c>
      <c r="F25" s="173">
        <f>IFERROR(__xludf.DUMMYFUNCTION("""COMPUTED_VALUE"""),119159.0)</f>
        <v>119159</v>
      </c>
      <c r="G25" s="173">
        <f>IFERROR(__xludf.DUMMYFUNCTION("""COMPUTED_VALUE"""),4131.0)</f>
        <v>4131</v>
      </c>
      <c r="H25" s="173">
        <f>IFERROR(__xludf.DUMMYFUNCTION("""COMPUTED_VALUE"""),136732.0)</f>
        <v>136732</v>
      </c>
      <c r="I25" s="173">
        <f>IFERROR(__xludf.DUMMYFUNCTION("""COMPUTED_VALUE"""),168.0)</f>
        <v>168</v>
      </c>
      <c r="J25" s="173">
        <f>IFERROR(__xludf.DUMMYFUNCTION("""COMPUTED_VALUE"""),189.0)</f>
        <v>189</v>
      </c>
      <c r="K25" s="173">
        <f>IFERROR(__xludf.DUMMYFUNCTION("""COMPUTED_VALUE"""),13713.0)</f>
        <v>13713</v>
      </c>
      <c r="L25" s="173">
        <f>IFERROR(__xludf.DUMMYFUNCTION("""COMPUTED_VALUE"""),1912.0)</f>
        <v>1912</v>
      </c>
      <c r="M25" s="173">
        <f>IFERROR(__xludf.DUMMYFUNCTION("""COMPUTED_VALUE"""),84498.0)</f>
        <v>84498</v>
      </c>
      <c r="N25" s="173">
        <f>IFERROR(__xludf.DUMMYFUNCTION("""COMPUTED_VALUE"""),98211.0)</f>
        <v>98211</v>
      </c>
      <c r="O25" s="173">
        <f>IFERROR(__xludf.DUMMYFUNCTION("""COMPUTED_VALUE"""),25.0)</f>
        <v>25</v>
      </c>
      <c r="P25" s="173">
        <f>IFERROR(__xludf.DUMMYFUNCTION("""COMPUTED_VALUE"""),1602.0)</f>
        <v>1602</v>
      </c>
      <c r="Q25" s="173">
        <f>IFERROR(__xludf.DUMMYFUNCTION("""COMPUTED_VALUE"""),15.0)</f>
        <v>15</v>
      </c>
      <c r="R25" s="173">
        <f>IFERROR(__xludf.DUMMYFUNCTION("""COMPUTED_VALUE"""),1134.0)</f>
        <v>1134</v>
      </c>
      <c r="S25" s="173">
        <f>IFERROR(__xludf.DUMMYFUNCTION("""COMPUTED_VALUE"""),3.0)</f>
        <v>3</v>
      </c>
      <c r="T25" s="173">
        <f>IFERROR(__xludf.DUMMYFUNCTION("""COMPUTED_VALUE"""),224.0)</f>
        <v>224</v>
      </c>
      <c r="U25" s="173">
        <f>IFERROR(__xludf.DUMMYFUNCTION("""COMPUTED_VALUE"""),244.0)</f>
        <v>244</v>
      </c>
      <c r="V25" s="173">
        <f>IFERROR(__xludf.DUMMYFUNCTION("""COMPUTED_VALUE"""),243.0)</f>
        <v>243</v>
      </c>
      <c r="W25" s="173">
        <f>IFERROR(__xludf.DUMMYFUNCTION("""COMPUTED_VALUE"""),54.0)</f>
        <v>54</v>
      </c>
      <c r="X25" s="173">
        <f>IFERROR(__xludf.DUMMYFUNCTION("""COMPUTED_VALUE"""),30.0)</f>
        <v>30</v>
      </c>
      <c r="Y25" s="173">
        <f>IFERROR(__xludf.DUMMYFUNCTION("""COMPUTED_VALUE"""),20.0)</f>
        <v>20</v>
      </c>
      <c r="Z25" s="173">
        <f>IFERROR(__xludf.DUMMYFUNCTION("""COMPUTED_VALUE"""),725.0)</f>
        <v>725</v>
      </c>
    </row>
    <row r="26">
      <c r="A26" s="234">
        <f>IFERROR(__xludf.DUMMYFUNCTION("""COMPUTED_VALUE"""),43973.0)</f>
        <v>43973</v>
      </c>
      <c r="B26" s="173">
        <f>IFERROR(__xludf.DUMMYFUNCTION("""COMPUTED_VALUE"""),351.0)</f>
        <v>351</v>
      </c>
      <c r="C26" s="173">
        <f>IFERROR(__xludf.DUMMYFUNCTION("""COMPUTED_VALUE"""),350.0)</f>
        <v>350</v>
      </c>
      <c r="D26" s="173">
        <f>IFERROR(__xludf.DUMMYFUNCTION("""COMPUTED_VALUE"""),17924.0)</f>
        <v>17924</v>
      </c>
      <c r="E26" s="173">
        <f>IFERROR(__xludf.DUMMYFUNCTION("""COMPUTED_VALUE"""),3161.0)</f>
        <v>3161</v>
      </c>
      <c r="F26" s="173">
        <f>IFERROR(__xludf.DUMMYFUNCTION("""COMPUTED_VALUE"""),122320.0)</f>
        <v>122320</v>
      </c>
      <c r="G26" s="173">
        <f>IFERROR(__xludf.DUMMYFUNCTION("""COMPUTED_VALUE"""),3512.0)</f>
        <v>3512</v>
      </c>
      <c r="H26" s="173">
        <f>IFERROR(__xludf.DUMMYFUNCTION("""COMPUTED_VALUE"""),140244.0)</f>
        <v>140244</v>
      </c>
      <c r="I26" s="173">
        <f>IFERROR(__xludf.DUMMYFUNCTION("""COMPUTED_VALUE"""),206.0)</f>
        <v>206</v>
      </c>
      <c r="J26" s="173">
        <f>IFERROR(__xludf.DUMMYFUNCTION("""COMPUTED_VALUE"""),186.0)</f>
        <v>186</v>
      </c>
      <c r="K26" s="173">
        <f>IFERROR(__xludf.DUMMYFUNCTION("""COMPUTED_VALUE"""),13919.0)</f>
        <v>13919</v>
      </c>
      <c r="L26" s="173">
        <f>IFERROR(__xludf.DUMMYFUNCTION("""COMPUTED_VALUE"""),1576.0)</f>
        <v>1576</v>
      </c>
      <c r="M26" s="173">
        <f>IFERROR(__xludf.DUMMYFUNCTION("""COMPUTED_VALUE"""),86074.0)</f>
        <v>86074</v>
      </c>
      <c r="N26" s="173">
        <f>IFERROR(__xludf.DUMMYFUNCTION("""COMPUTED_VALUE"""),99993.0)</f>
        <v>99993</v>
      </c>
      <c r="O26" s="173">
        <f>IFERROR(__xludf.DUMMYFUNCTION("""COMPUTED_VALUE"""),20.0)</f>
        <v>20</v>
      </c>
      <c r="P26" s="173">
        <f>IFERROR(__xludf.DUMMYFUNCTION("""COMPUTED_VALUE"""),1622.0)</f>
        <v>1622</v>
      </c>
      <c r="Q26" s="173">
        <f>IFERROR(__xludf.DUMMYFUNCTION("""COMPUTED_VALUE"""),28.0)</f>
        <v>28</v>
      </c>
      <c r="R26" s="173">
        <f>IFERROR(__xludf.DUMMYFUNCTION("""COMPUTED_VALUE"""),1162.0)</f>
        <v>1162</v>
      </c>
      <c r="S26" s="173">
        <f>IFERROR(__xludf.DUMMYFUNCTION("""COMPUTED_VALUE"""),5.0)</f>
        <v>5</v>
      </c>
      <c r="T26" s="173">
        <f>IFERROR(__xludf.DUMMYFUNCTION("""COMPUTED_VALUE"""),229.0)</f>
        <v>229</v>
      </c>
      <c r="U26" s="173">
        <f>IFERROR(__xludf.DUMMYFUNCTION("""COMPUTED_VALUE"""),231.0)</f>
        <v>231</v>
      </c>
      <c r="V26" s="173">
        <f>IFERROR(__xludf.DUMMYFUNCTION("""COMPUTED_VALUE"""),237.0)</f>
        <v>237</v>
      </c>
      <c r="W26" s="173">
        <f>IFERROR(__xludf.DUMMYFUNCTION("""COMPUTED_VALUE"""),53.0)</f>
        <v>53</v>
      </c>
      <c r="X26" s="173">
        <f>IFERROR(__xludf.DUMMYFUNCTION("""COMPUTED_VALUE"""),30.0)</f>
        <v>30</v>
      </c>
      <c r="Y26" s="173">
        <f>IFERROR(__xludf.DUMMYFUNCTION("""COMPUTED_VALUE"""),11.0)</f>
        <v>11</v>
      </c>
      <c r="Z26" s="173">
        <f>IFERROR(__xludf.DUMMYFUNCTION("""COMPUTED_VALUE"""),736.0)</f>
        <v>736</v>
      </c>
    </row>
    <row r="27">
      <c r="A27" s="234">
        <f>IFERROR(__xludf.DUMMYFUNCTION("""COMPUTED_VALUE"""),43974.0)</f>
        <v>43974</v>
      </c>
      <c r="B27" s="173">
        <f>IFERROR(__xludf.DUMMYFUNCTION("""COMPUTED_VALUE"""),253.0)</f>
        <v>253</v>
      </c>
      <c r="C27" s="173">
        <f>IFERROR(__xludf.DUMMYFUNCTION("""COMPUTED_VALUE"""),326.0)</f>
        <v>326</v>
      </c>
      <c r="D27" s="173">
        <f>IFERROR(__xludf.DUMMYFUNCTION("""COMPUTED_VALUE"""),18177.0)</f>
        <v>18177</v>
      </c>
      <c r="E27" s="173">
        <f>IFERROR(__xludf.DUMMYFUNCTION("""COMPUTED_VALUE"""),2742.0)</f>
        <v>2742</v>
      </c>
      <c r="F27" s="173">
        <f>IFERROR(__xludf.DUMMYFUNCTION("""COMPUTED_VALUE"""),125062.0)</f>
        <v>125062</v>
      </c>
      <c r="G27" s="173">
        <f>IFERROR(__xludf.DUMMYFUNCTION("""COMPUTED_VALUE"""),2995.0)</f>
        <v>2995</v>
      </c>
      <c r="H27" s="173">
        <f>IFERROR(__xludf.DUMMYFUNCTION("""COMPUTED_VALUE"""),143239.0)</f>
        <v>143239</v>
      </c>
      <c r="I27" s="173">
        <f>IFERROR(__xludf.DUMMYFUNCTION("""COMPUTED_VALUE"""),109.0)</f>
        <v>109</v>
      </c>
      <c r="J27" s="173">
        <f>IFERROR(__xludf.DUMMYFUNCTION("""COMPUTED_VALUE"""),161.0)</f>
        <v>161</v>
      </c>
      <c r="K27" s="173">
        <f>IFERROR(__xludf.DUMMYFUNCTION("""COMPUTED_VALUE"""),14028.0)</f>
        <v>14028</v>
      </c>
      <c r="L27" s="173">
        <f>IFERROR(__xludf.DUMMYFUNCTION("""COMPUTED_VALUE"""),1248.0)</f>
        <v>1248</v>
      </c>
      <c r="M27" s="173">
        <f>IFERROR(__xludf.DUMMYFUNCTION("""COMPUTED_VALUE"""),87322.0)</f>
        <v>87322</v>
      </c>
      <c r="N27" s="173">
        <f>IFERROR(__xludf.DUMMYFUNCTION("""COMPUTED_VALUE"""),101350.0)</f>
        <v>101350</v>
      </c>
      <c r="O27" s="173">
        <f>IFERROR(__xludf.DUMMYFUNCTION("""COMPUTED_VALUE"""),19.0)</f>
        <v>19</v>
      </c>
      <c r="P27" s="173">
        <f>IFERROR(__xludf.DUMMYFUNCTION("""COMPUTED_VALUE"""),1641.0)</f>
        <v>1641</v>
      </c>
      <c r="Q27" s="173">
        <f>IFERROR(__xludf.DUMMYFUNCTION("""COMPUTED_VALUE"""),11.0)</f>
        <v>11</v>
      </c>
      <c r="R27" s="173">
        <f>IFERROR(__xludf.DUMMYFUNCTION("""COMPUTED_VALUE"""),1173.0)</f>
        <v>1173</v>
      </c>
      <c r="S27" s="173">
        <f>IFERROR(__xludf.DUMMYFUNCTION("""COMPUTED_VALUE"""),3.0)</f>
        <v>3</v>
      </c>
      <c r="T27" s="173">
        <f>IFERROR(__xludf.DUMMYFUNCTION("""COMPUTED_VALUE"""),232.0)</f>
        <v>232</v>
      </c>
      <c r="U27" s="173">
        <f>IFERROR(__xludf.DUMMYFUNCTION("""COMPUTED_VALUE"""),236.0)</f>
        <v>236</v>
      </c>
      <c r="V27" s="173">
        <f>IFERROR(__xludf.DUMMYFUNCTION("""COMPUTED_VALUE"""),237.0)</f>
        <v>237</v>
      </c>
      <c r="W27" s="173">
        <f>IFERROR(__xludf.DUMMYFUNCTION("""COMPUTED_VALUE"""),53.0)</f>
        <v>53</v>
      </c>
      <c r="X27" s="173">
        <f>IFERROR(__xludf.DUMMYFUNCTION("""COMPUTED_VALUE"""),33.0)</f>
        <v>33</v>
      </c>
      <c r="Y27" s="173">
        <f>IFERROR(__xludf.DUMMYFUNCTION("""COMPUTED_VALUE"""),13.0)</f>
        <v>13</v>
      </c>
      <c r="Z27" s="173">
        <f>IFERROR(__xludf.DUMMYFUNCTION("""COMPUTED_VALUE"""),749.0)</f>
        <v>749</v>
      </c>
    </row>
    <row r="28">
      <c r="A28" s="234">
        <f>IFERROR(__xludf.DUMMYFUNCTION("""COMPUTED_VALUE"""),43975.0)</f>
        <v>43975</v>
      </c>
      <c r="B28" s="173">
        <f>IFERROR(__xludf.DUMMYFUNCTION("""COMPUTED_VALUE"""),163.0)</f>
        <v>163</v>
      </c>
      <c r="C28" s="173">
        <f>IFERROR(__xludf.DUMMYFUNCTION("""COMPUTED_VALUE"""),256.0)</f>
        <v>256</v>
      </c>
      <c r="D28" s="173">
        <f>IFERROR(__xludf.DUMMYFUNCTION("""COMPUTED_VALUE"""),18340.0)</f>
        <v>18340</v>
      </c>
      <c r="E28" s="173">
        <f>IFERROR(__xludf.DUMMYFUNCTION("""COMPUTED_VALUE"""),1370.0)</f>
        <v>1370</v>
      </c>
      <c r="F28" s="173">
        <f>IFERROR(__xludf.DUMMYFUNCTION("""COMPUTED_VALUE"""),126432.0)</f>
        <v>126432</v>
      </c>
      <c r="G28" s="173">
        <f>IFERROR(__xludf.DUMMYFUNCTION("""COMPUTED_VALUE"""),1533.0)</f>
        <v>1533</v>
      </c>
      <c r="H28" s="173">
        <f>IFERROR(__xludf.DUMMYFUNCTION("""COMPUTED_VALUE"""),144772.0)</f>
        <v>144772</v>
      </c>
      <c r="I28" s="173">
        <f>IFERROR(__xludf.DUMMYFUNCTION("""COMPUTED_VALUE"""),83.0)</f>
        <v>83</v>
      </c>
      <c r="J28" s="173">
        <f>IFERROR(__xludf.DUMMYFUNCTION("""COMPUTED_VALUE"""),133.0)</f>
        <v>133</v>
      </c>
      <c r="K28" s="173">
        <f>IFERROR(__xludf.DUMMYFUNCTION("""COMPUTED_VALUE"""),14111.0)</f>
        <v>14111</v>
      </c>
      <c r="L28" s="173">
        <f>IFERROR(__xludf.DUMMYFUNCTION("""COMPUTED_VALUE"""),764.0)</f>
        <v>764</v>
      </c>
      <c r="M28" s="173">
        <f>IFERROR(__xludf.DUMMYFUNCTION("""COMPUTED_VALUE"""),88086.0)</f>
        <v>88086</v>
      </c>
      <c r="N28" s="173">
        <f>IFERROR(__xludf.DUMMYFUNCTION("""COMPUTED_VALUE"""),102197.0)</f>
        <v>102197</v>
      </c>
      <c r="O28" s="173">
        <f>IFERROR(__xludf.DUMMYFUNCTION("""COMPUTED_VALUE"""),13.0)</f>
        <v>13</v>
      </c>
      <c r="P28" s="173">
        <f>IFERROR(__xludf.DUMMYFUNCTION("""COMPUTED_VALUE"""),1654.0)</f>
        <v>1654</v>
      </c>
      <c r="Q28" s="173">
        <f>IFERROR(__xludf.DUMMYFUNCTION("""COMPUTED_VALUE"""),14.0)</f>
        <v>14</v>
      </c>
      <c r="R28" s="173">
        <f>IFERROR(__xludf.DUMMYFUNCTION("""COMPUTED_VALUE"""),1187.0)</f>
        <v>1187</v>
      </c>
      <c r="S28" s="173">
        <f>IFERROR(__xludf.DUMMYFUNCTION("""COMPUTED_VALUE"""),2.0)</f>
        <v>2</v>
      </c>
      <c r="T28" s="173">
        <f>IFERROR(__xludf.DUMMYFUNCTION("""COMPUTED_VALUE"""),234.0)</f>
        <v>234</v>
      </c>
      <c r="U28" s="173">
        <f>IFERROR(__xludf.DUMMYFUNCTION("""COMPUTED_VALUE"""),233.0)</f>
        <v>233</v>
      </c>
      <c r="V28" s="173">
        <f>IFERROR(__xludf.DUMMYFUNCTION("""COMPUTED_VALUE"""),233.0)</f>
        <v>233</v>
      </c>
      <c r="W28" s="173">
        <f>IFERROR(__xludf.DUMMYFUNCTION("""COMPUTED_VALUE"""),54.0)</f>
        <v>54</v>
      </c>
      <c r="X28" s="173">
        <f>IFERROR(__xludf.DUMMYFUNCTION("""COMPUTED_VALUE"""),36.0)</f>
        <v>36</v>
      </c>
      <c r="Y28" s="173">
        <f>IFERROR(__xludf.DUMMYFUNCTION("""COMPUTED_VALUE"""),8.0)</f>
        <v>8</v>
      </c>
      <c r="Z28" s="173">
        <f>IFERROR(__xludf.DUMMYFUNCTION("""COMPUTED_VALUE"""),757.0)</f>
        <v>757</v>
      </c>
    </row>
    <row r="29">
      <c r="A29" s="234">
        <f>IFERROR(__xludf.DUMMYFUNCTION("""COMPUTED_VALUE"""),43976.0)</f>
        <v>43976</v>
      </c>
      <c r="B29" s="173">
        <f>IFERROR(__xludf.DUMMYFUNCTION("""COMPUTED_VALUE"""),147.0)</f>
        <v>147</v>
      </c>
      <c r="C29" s="173">
        <f>IFERROR(__xludf.DUMMYFUNCTION("""COMPUTED_VALUE"""),188.0)</f>
        <v>188</v>
      </c>
      <c r="D29" s="173">
        <f>IFERROR(__xludf.DUMMYFUNCTION("""COMPUTED_VALUE"""),18487.0)</f>
        <v>18487</v>
      </c>
      <c r="E29" s="173">
        <f>IFERROR(__xludf.DUMMYFUNCTION("""COMPUTED_VALUE"""),1385.0)</f>
        <v>1385</v>
      </c>
      <c r="F29" s="173">
        <f>IFERROR(__xludf.DUMMYFUNCTION("""COMPUTED_VALUE"""),127817.0)</f>
        <v>127817</v>
      </c>
      <c r="G29" s="173">
        <f>IFERROR(__xludf.DUMMYFUNCTION("""COMPUTED_VALUE"""),1532.0)</f>
        <v>1532</v>
      </c>
      <c r="H29" s="173">
        <f>IFERROR(__xludf.DUMMYFUNCTION("""COMPUTED_VALUE"""),146304.0)</f>
        <v>146304</v>
      </c>
      <c r="I29" s="173">
        <f>IFERROR(__xludf.DUMMYFUNCTION("""COMPUTED_VALUE"""),76.0)</f>
        <v>76</v>
      </c>
      <c r="J29" s="173">
        <f>IFERROR(__xludf.DUMMYFUNCTION("""COMPUTED_VALUE"""),89.0)</f>
        <v>89</v>
      </c>
      <c r="K29" s="173">
        <f>IFERROR(__xludf.DUMMYFUNCTION("""COMPUTED_VALUE"""),14187.0)</f>
        <v>14187</v>
      </c>
      <c r="L29" s="173">
        <f>IFERROR(__xludf.DUMMYFUNCTION("""COMPUTED_VALUE"""),746.0)</f>
        <v>746</v>
      </c>
      <c r="M29" s="173">
        <f>IFERROR(__xludf.DUMMYFUNCTION("""COMPUTED_VALUE"""),88832.0)</f>
        <v>88832</v>
      </c>
      <c r="N29" s="173">
        <f>IFERROR(__xludf.DUMMYFUNCTION("""COMPUTED_VALUE"""),103019.0)</f>
        <v>103019</v>
      </c>
      <c r="O29" s="173">
        <f>IFERROR(__xludf.DUMMYFUNCTION("""COMPUTED_VALUE"""),14.0)</f>
        <v>14</v>
      </c>
      <c r="P29" s="173">
        <f>IFERROR(__xludf.DUMMYFUNCTION("""COMPUTED_VALUE"""),1668.0)</f>
        <v>1668</v>
      </c>
      <c r="Q29" s="173">
        <f>IFERROR(__xludf.DUMMYFUNCTION("""COMPUTED_VALUE"""),14.0)</f>
        <v>14</v>
      </c>
      <c r="R29" s="173">
        <f>IFERROR(__xludf.DUMMYFUNCTION("""COMPUTED_VALUE"""),1201.0)</f>
        <v>1201</v>
      </c>
      <c r="S29" s="173">
        <f>IFERROR(__xludf.DUMMYFUNCTION("""COMPUTED_VALUE"""),0.0)</f>
        <v>0</v>
      </c>
      <c r="T29" s="173">
        <f>IFERROR(__xludf.DUMMYFUNCTION("""COMPUTED_VALUE"""),234.0)</f>
        <v>234</v>
      </c>
      <c r="U29" s="173">
        <f>IFERROR(__xludf.DUMMYFUNCTION("""COMPUTED_VALUE"""),233.0)</f>
        <v>233</v>
      </c>
      <c r="V29" s="173">
        <f>IFERROR(__xludf.DUMMYFUNCTION("""COMPUTED_VALUE"""),234.0)</f>
        <v>234</v>
      </c>
      <c r="W29" s="173">
        <f>IFERROR(__xludf.DUMMYFUNCTION("""COMPUTED_VALUE"""),54.0)</f>
        <v>54</v>
      </c>
      <c r="X29" s="173">
        <f>IFERROR(__xludf.DUMMYFUNCTION("""COMPUTED_VALUE"""),34.0)</f>
        <v>34</v>
      </c>
      <c r="Y29" s="173">
        <f>IFERROR(__xludf.DUMMYFUNCTION("""COMPUTED_VALUE"""),10.0)</f>
        <v>10</v>
      </c>
      <c r="Z29" s="173">
        <f>IFERROR(__xludf.DUMMYFUNCTION("""COMPUTED_VALUE"""),767.0)</f>
        <v>767</v>
      </c>
    </row>
    <row r="30">
      <c r="A30" s="234">
        <f>IFERROR(__xludf.DUMMYFUNCTION("""COMPUTED_VALUE"""),43977.0)</f>
        <v>43977</v>
      </c>
      <c r="B30" s="173">
        <f>IFERROR(__xludf.DUMMYFUNCTION("""COMPUTED_VALUE"""),285.0)</f>
        <v>285</v>
      </c>
      <c r="C30" s="173">
        <f>IFERROR(__xludf.DUMMYFUNCTION("""COMPUTED_VALUE"""),198.0)</f>
        <v>198</v>
      </c>
      <c r="D30" s="173">
        <f>IFERROR(__xludf.DUMMYFUNCTION("""COMPUTED_VALUE"""),18772.0)</f>
        <v>18772</v>
      </c>
      <c r="E30" s="173">
        <f>IFERROR(__xludf.DUMMYFUNCTION("""COMPUTED_VALUE"""),2620.0)</f>
        <v>2620</v>
      </c>
      <c r="F30" s="173">
        <f>IFERROR(__xludf.DUMMYFUNCTION("""COMPUTED_VALUE"""),130437.0)</f>
        <v>130437</v>
      </c>
      <c r="G30" s="173">
        <f>IFERROR(__xludf.DUMMYFUNCTION("""COMPUTED_VALUE"""),2905.0)</f>
        <v>2905</v>
      </c>
      <c r="H30" s="173">
        <f>IFERROR(__xludf.DUMMYFUNCTION("""COMPUTED_VALUE"""),149209.0)</f>
        <v>149209</v>
      </c>
      <c r="I30" s="173">
        <f>IFERROR(__xludf.DUMMYFUNCTION("""COMPUTED_VALUE"""),158.0)</f>
        <v>158</v>
      </c>
      <c r="J30" s="173">
        <f>IFERROR(__xludf.DUMMYFUNCTION("""COMPUTED_VALUE"""),106.0)</f>
        <v>106</v>
      </c>
      <c r="K30" s="173">
        <f>IFERROR(__xludf.DUMMYFUNCTION("""COMPUTED_VALUE"""),14345.0)</f>
        <v>14345</v>
      </c>
      <c r="L30" s="173">
        <f>IFERROR(__xludf.DUMMYFUNCTION("""COMPUTED_VALUE"""),1734.0)</f>
        <v>1734</v>
      </c>
      <c r="M30" s="173">
        <f>IFERROR(__xludf.DUMMYFUNCTION("""COMPUTED_VALUE"""),90566.0)</f>
        <v>90566</v>
      </c>
      <c r="N30" s="173">
        <f>IFERROR(__xludf.DUMMYFUNCTION("""COMPUTED_VALUE"""),104911.0)</f>
        <v>104911</v>
      </c>
      <c r="O30" s="173">
        <f>IFERROR(__xludf.DUMMYFUNCTION("""COMPUTED_VALUE"""),24.0)</f>
        <v>24</v>
      </c>
      <c r="P30" s="173">
        <f>IFERROR(__xludf.DUMMYFUNCTION("""COMPUTED_VALUE"""),1692.0)</f>
        <v>1692</v>
      </c>
      <c r="Q30" s="173">
        <f>IFERROR(__xludf.DUMMYFUNCTION("""COMPUTED_VALUE"""),21.0)</f>
        <v>21</v>
      </c>
      <c r="R30" s="173">
        <f>IFERROR(__xludf.DUMMYFUNCTION("""COMPUTED_VALUE"""),1222.0)</f>
        <v>1222</v>
      </c>
      <c r="S30" s="173">
        <f>IFERROR(__xludf.DUMMYFUNCTION("""COMPUTED_VALUE"""),5.0)</f>
        <v>5</v>
      </c>
      <c r="T30" s="173">
        <f>IFERROR(__xludf.DUMMYFUNCTION("""COMPUTED_VALUE"""),239.0)</f>
        <v>239</v>
      </c>
      <c r="U30" s="173">
        <f>IFERROR(__xludf.DUMMYFUNCTION("""COMPUTED_VALUE"""),231.0)</f>
        <v>231</v>
      </c>
      <c r="V30" s="173">
        <f>IFERROR(__xludf.DUMMYFUNCTION("""COMPUTED_VALUE"""),232.0)</f>
        <v>232</v>
      </c>
      <c r="W30" s="173">
        <f>IFERROR(__xludf.DUMMYFUNCTION("""COMPUTED_VALUE"""),49.0)</f>
        <v>49</v>
      </c>
      <c r="X30" s="173">
        <f>IFERROR(__xludf.DUMMYFUNCTION("""COMPUTED_VALUE"""),33.0)</f>
        <v>33</v>
      </c>
      <c r="Y30" s="173">
        <f>IFERROR(__xludf.DUMMYFUNCTION("""COMPUTED_VALUE"""),15.0)</f>
        <v>15</v>
      </c>
      <c r="Z30" s="173">
        <f>IFERROR(__xludf.DUMMYFUNCTION("""COMPUTED_VALUE"""),782.0)</f>
        <v>782</v>
      </c>
    </row>
    <row r="31">
      <c r="A31" s="234">
        <f>IFERROR(__xludf.DUMMYFUNCTION("""COMPUTED_VALUE"""),43978.0)</f>
        <v>43978</v>
      </c>
      <c r="B31" s="173">
        <f>IFERROR(__xludf.DUMMYFUNCTION("""COMPUTED_VALUE"""),276.0)</f>
        <v>276</v>
      </c>
      <c r="C31" s="173">
        <f>IFERROR(__xludf.DUMMYFUNCTION("""COMPUTED_VALUE"""),236.0)</f>
        <v>236</v>
      </c>
      <c r="D31" s="173">
        <f>IFERROR(__xludf.DUMMYFUNCTION("""COMPUTED_VALUE"""),19048.0)</f>
        <v>19048</v>
      </c>
      <c r="E31" s="173">
        <f>IFERROR(__xludf.DUMMYFUNCTION("""COMPUTED_VALUE"""),2057.0)</f>
        <v>2057</v>
      </c>
      <c r="F31" s="173">
        <f>IFERROR(__xludf.DUMMYFUNCTION("""COMPUTED_VALUE"""),132494.0)</f>
        <v>132494</v>
      </c>
      <c r="G31" s="173">
        <f>IFERROR(__xludf.DUMMYFUNCTION("""COMPUTED_VALUE"""),2333.0)</f>
        <v>2333</v>
      </c>
      <c r="H31" s="173">
        <f>IFERROR(__xludf.DUMMYFUNCTION("""COMPUTED_VALUE"""),151542.0)</f>
        <v>151542</v>
      </c>
      <c r="I31" s="173">
        <f>IFERROR(__xludf.DUMMYFUNCTION("""COMPUTED_VALUE"""),132.0)</f>
        <v>132</v>
      </c>
      <c r="J31" s="173">
        <f>IFERROR(__xludf.DUMMYFUNCTION("""COMPUTED_VALUE"""),122.0)</f>
        <v>122</v>
      </c>
      <c r="K31" s="173">
        <f>IFERROR(__xludf.DUMMYFUNCTION("""COMPUTED_VALUE"""),14477.0)</f>
        <v>14477</v>
      </c>
      <c r="L31" s="173">
        <f>IFERROR(__xludf.DUMMYFUNCTION("""COMPUTED_VALUE"""),1119.0)</f>
        <v>1119</v>
      </c>
      <c r="M31" s="173">
        <f>IFERROR(__xludf.DUMMYFUNCTION("""COMPUTED_VALUE"""),91685.0)</f>
        <v>91685</v>
      </c>
      <c r="N31" s="173">
        <f>IFERROR(__xludf.DUMMYFUNCTION("""COMPUTED_VALUE"""),106162.0)</f>
        <v>106162</v>
      </c>
      <c r="O31" s="173">
        <f>IFERROR(__xludf.DUMMYFUNCTION("""COMPUTED_VALUE"""),20.0)</f>
        <v>20</v>
      </c>
      <c r="P31" s="173">
        <f>IFERROR(__xludf.DUMMYFUNCTION("""COMPUTED_VALUE"""),1712.0)</f>
        <v>1712</v>
      </c>
      <c r="Q31" s="173">
        <f>IFERROR(__xludf.DUMMYFUNCTION("""COMPUTED_VALUE"""),18.0)</f>
        <v>18</v>
      </c>
      <c r="R31" s="173">
        <f>IFERROR(__xludf.DUMMYFUNCTION("""COMPUTED_VALUE"""),1240.0)</f>
        <v>1240</v>
      </c>
      <c r="S31" s="173">
        <f>IFERROR(__xludf.DUMMYFUNCTION("""COMPUTED_VALUE"""),3.0)</f>
        <v>3</v>
      </c>
      <c r="T31" s="173">
        <f>IFERROR(__xludf.DUMMYFUNCTION("""COMPUTED_VALUE"""),242.0)</f>
        <v>242</v>
      </c>
      <c r="U31" s="173">
        <f>IFERROR(__xludf.DUMMYFUNCTION("""COMPUTED_VALUE"""),230.0)</f>
        <v>230</v>
      </c>
      <c r="V31" s="173">
        <f>IFERROR(__xludf.DUMMYFUNCTION("""COMPUTED_VALUE"""),231.0)</f>
        <v>231</v>
      </c>
      <c r="W31" s="173">
        <f>IFERROR(__xludf.DUMMYFUNCTION("""COMPUTED_VALUE"""),51.0)</f>
        <v>51</v>
      </c>
      <c r="X31" s="173">
        <f>IFERROR(__xludf.DUMMYFUNCTION("""COMPUTED_VALUE"""),33.0)</f>
        <v>33</v>
      </c>
      <c r="Y31" s="173">
        <f>IFERROR(__xludf.DUMMYFUNCTION("""COMPUTED_VALUE"""),10.0)</f>
        <v>10</v>
      </c>
      <c r="Z31" s="173">
        <f>IFERROR(__xludf.DUMMYFUNCTION("""COMPUTED_VALUE"""),792.0)</f>
        <v>792</v>
      </c>
    </row>
    <row r="32">
      <c r="A32" s="234">
        <f>IFERROR(__xludf.DUMMYFUNCTION("""COMPUTED_VALUE"""),43979.0)</f>
        <v>43979</v>
      </c>
      <c r="B32" s="173">
        <f>IFERROR(__xludf.DUMMYFUNCTION("""COMPUTED_VALUE"""),348.0)</f>
        <v>348</v>
      </c>
      <c r="C32" s="173">
        <f>IFERROR(__xludf.DUMMYFUNCTION("""COMPUTED_VALUE"""),303.0)</f>
        <v>303</v>
      </c>
      <c r="D32" s="173">
        <f>IFERROR(__xludf.DUMMYFUNCTION("""COMPUTED_VALUE"""),19396.0)</f>
        <v>19396</v>
      </c>
      <c r="E32" s="173">
        <f>IFERROR(__xludf.DUMMYFUNCTION("""COMPUTED_VALUE"""),3359.0)</f>
        <v>3359</v>
      </c>
      <c r="F32" s="173">
        <f>IFERROR(__xludf.DUMMYFUNCTION("""COMPUTED_VALUE"""),135853.0)</f>
        <v>135853</v>
      </c>
      <c r="G32" s="173">
        <f>IFERROR(__xludf.DUMMYFUNCTION("""COMPUTED_VALUE"""),3707.0)</f>
        <v>3707</v>
      </c>
      <c r="H32" s="173">
        <f>IFERROR(__xludf.DUMMYFUNCTION("""COMPUTED_VALUE"""),155249.0)</f>
        <v>155249</v>
      </c>
      <c r="I32" s="173">
        <f>IFERROR(__xludf.DUMMYFUNCTION("""COMPUTED_VALUE"""),130.0)</f>
        <v>130</v>
      </c>
      <c r="J32" s="173">
        <f>IFERROR(__xludf.DUMMYFUNCTION("""COMPUTED_VALUE"""),140.0)</f>
        <v>140</v>
      </c>
      <c r="K32" s="173">
        <f>IFERROR(__xludf.DUMMYFUNCTION("""COMPUTED_VALUE"""),14607.0)</f>
        <v>14607</v>
      </c>
      <c r="L32" s="173">
        <f>IFERROR(__xludf.DUMMYFUNCTION("""COMPUTED_VALUE"""),1105.0)</f>
        <v>1105</v>
      </c>
      <c r="M32" s="173">
        <f>IFERROR(__xludf.DUMMYFUNCTION("""COMPUTED_VALUE"""),92790.0)</f>
        <v>92790</v>
      </c>
      <c r="N32" s="173">
        <f>IFERROR(__xludf.DUMMYFUNCTION("""COMPUTED_VALUE"""),107397.0)</f>
        <v>107397</v>
      </c>
      <c r="O32" s="173">
        <f>IFERROR(__xludf.DUMMYFUNCTION("""COMPUTED_VALUE"""),17.0)</f>
        <v>17</v>
      </c>
      <c r="P32" s="173">
        <f>IFERROR(__xludf.DUMMYFUNCTION("""COMPUTED_VALUE"""),1729.0)</f>
        <v>1729</v>
      </c>
      <c r="Q32" s="173">
        <f>IFERROR(__xludf.DUMMYFUNCTION("""COMPUTED_VALUE"""),29.0)</f>
        <v>29</v>
      </c>
      <c r="R32" s="173">
        <f>IFERROR(__xludf.DUMMYFUNCTION("""COMPUTED_VALUE"""),1269.0)</f>
        <v>1269</v>
      </c>
      <c r="S32" s="173">
        <f>IFERROR(__xludf.DUMMYFUNCTION("""COMPUTED_VALUE"""),4.0)</f>
        <v>4</v>
      </c>
      <c r="T32" s="173">
        <f>IFERROR(__xludf.DUMMYFUNCTION("""COMPUTED_VALUE"""),246.0)</f>
        <v>246</v>
      </c>
      <c r="U32" s="173">
        <f>IFERROR(__xludf.DUMMYFUNCTION("""COMPUTED_VALUE"""),214.0)</f>
        <v>214</v>
      </c>
      <c r="V32" s="173">
        <f>IFERROR(__xludf.DUMMYFUNCTION("""COMPUTED_VALUE"""),225.0)</f>
        <v>225</v>
      </c>
      <c r="W32" s="173">
        <f>IFERROR(__xludf.DUMMYFUNCTION("""COMPUTED_VALUE"""),47.0)</f>
        <v>47</v>
      </c>
      <c r="X32" s="173">
        <f>IFERROR(__xludf.DUMMYFUNCTION("""COMPUTED_VALUE"""),32.0)</f>
        <v>32</v>
      </c>
      <c r="Y32" s="173">
        <f>IFERROR(__xludf.DUMMYFUNCTION("""COMPUTED_VALUE"""),8.0)</f>
        <v>8</v>
      </c>
      <c r="Z32" s="173">
        <f>IFERROR(__xludf.DUMMYFUNCTION("""COMPUTED_VALUE"""),800.0)</f>
        <v>800</v>
      </c>
    </row>
    <row r="33">
      <c r="A33" s="234">
        <f>IFERROR(__xludf.DUMMYFUNCTION("""COMPUTED_VALUE"""),43980.0)</f>
        <v>43980</v>
      </c>
      <c r="B33" s="173">
        <f>IFERROR(__xludf.DUMMYFUNCTION("""COMPUTED_VALUE"""),410.0)</f>
        <v>410</v>
      </c>
      <c r="C33" s="173">
        <f>IFERROR(__xludf.DUMMYFUNCTION("""COMPUTED_VALUE"""),345.0)</f>
        <v>345</v>
      </c>
      <c r="D33" s="173">
        <f>IFERROR(__xludf.DUMMYFUNCTION("""COMPUTED_VALUE"""),19806.0)</f>
        <v>19806</v>
      </c>
      <c r="E33" s="173">
        <f>IFERROR(__xludf.DUMMYFUNCTION("""COMPUTED_VALUE"""),3915.0)</f>
        <v>3915</v>
      </c>
      <c r="F33" s="173">
        <f>IFERROR(__xludf.DUMMYFUNCTION("""COMPUTED_VALUE"""),139768.0)</f>
        <v>139768</v>
      </c>
      <c r="G33" s="173">
        <f>IFERROR(__xludf.DUMMYFUNCTION("""COMPUTED_VALUE"""),4325.0)</f>
        <v>4325</v>
      </c>
      <c r="H33" s="173">
        <f>IFERROR(__xludf.DUMMYFUNCTION("""COMPUTED_VALUE"""),159574.0)</f>
        <v>159574</v>
      </c>
      <c r="I33" s="173">
        <f>IFERROR(__xludf.DUMMYFUNCTION("""COMPUTED_VALUE"""),174.0)</f>
        <v>174</v>
      </c>
      <c r="J33" s="173">
        <f>IFERROR(__xludf.DUMMYFUNCTION("""COMPUTED_VALUE"""),145.0)</f>
        <v>145</v>
      </c>
      <c r="K33" s="173">
        <f>IFERROR(__xludf.DUMMYFUNCTION("""COMPUTED_VALUE"""),14781.0)</f>
        <v>14781</v>
      </c>
      <c r="L33" s="173">
        <f>IFERROR(__xludf.DUMMYFUNCTION("""COMPUTED_VALUE"""),1549.0)</f>
        <v>1549</v>
      </c>
      <c r="M33" s="173">
        <f>IFERROR(__xludf.DUMMYFUNCTION("""COMPUTED_VALUE"""),94339.0)</f>
        <v>94339</v>
      </c>
      <c r="N33" s="173">
        <f>IFERROR(__xludf.DUMMYFUNCTION("""COMPUTED_VALUE"""),109120.0)</f>
        <v>109120</v>
      </c>
      <c r="O33" s="173">
        <f>IFERROR(__xludf.DUMMYFUNCTION("""COMPUTED_VALUE"""),19.0)</f>
        <v>19</v>
      </c>
      <c r="P33" s="173">
        <f>IFERROR(__xludf.DUMMYFUNCTION("""COMPUTED_VALUE"""),1748.0)</f>
        <v>1748</v>
      </c>
      <c r="Q33" s="173">
        <f>IFERROR(__xludf.DUMMYFUNCTION("""COMPUTED_VALUE"""),26.0)</f>
        <v>26</v>
      </c>
      <c r="R33" s="173">
        <f>IFERROR(__xludf.DUMMYFUNCTION("""COMPUTED_VALUE"""),1295.0)</f>
        <v>1295</v>
      </c>
      <c r="S33" s="173">
        <f>IFERROR(__xludf.DUMMYFUNCTION("""COMPUTED_VALUE"""),7.0)</f>
        <v>7</v>
      </c>
      <c r="T33" s="173">
        <f>IFERROR(__xludf.DUMMYFUNCTION("""COMPUTED_VALUE"""),253.0)</f>
        <v>253</v>
      </c>
      <c r="U33" s="173">
        <f>IFERROR(__xludf.DUMMYFUNCTION("""COMPUTED_VALUE"""),200.0)</f>
        <v>200</v>
      </c>
      <c r="V33" s="173">
        <f>IFERROR(__xludf.DUMMYFUNCTION("""COMPUTED_VALUE"""),215.0)</f>
        <v>215</v>
      </c>
      <c r="W33" s="173">
        <f>IFERROR(__xludf.DUMMYFUNCTION("""COMPUTED_VALUE"""),43.0)</f>
        <v>43</v>
      </c>
      <c r="X33" s="173">
        <f>IFERROR(__xludf.DUMMYFUNCTION("""COMPUTED_VALUE"""),31.0)</f>
        <v>31</v>
      </c>
      <c r="Y33" s="173">
        <f>IFERROR(__xludf.DUMMYFUNCTION("""COMPUTED_VALUE"""),12.0)</f>
        <v>12</v>
      </c>
      <c r="Z33" s="173">
        <f>IFERROR(__xludf.DUMMYFUNCTION("""COMPUTED_VALUE"""),812.0)</f>
        <v>812</v>
      </c>
    </row>
    <row r="34">
      <c r="A34" s="234">
        <f>IFERROR(__xludf.DUMMYFUNCTION("""COMPUTED_VALUE"""),43981.0)</f>
        <v>43981</v>
      </c>
      <c r="B34" s="173">
        <f>IFERROR(__xludf.DUMMYFUNCTION("""COMPUTED_VALUE"""),225.0)</f>
        <v>225</v>
      </c>
      <c r="C34" s="173">
        <f>IFERROR(__xludf.DUMMYFUNCTION("""COMPUTED_VALUE"""),328.0)</f>
        <v>328</v>
      </c>
      <c r="D34" s="173">
        <f>IFERROR(__xludf.DUMMYFUNCTION("""COMPUTED_VALUE"""),20031.0)</f>
        <v>20031</v>
      </c>
      <c r="E34" s="173">
        <f>IFERROR(__xludf.DUMMYFUNCTION("""COMPUTED_VALUE"""),3915.0)</f>
        <v>3915</v>
      </c>
      <c r="F34" s="173">
        <f>IFERROR(__xludf.DUMMYFUNCTION("""COMPUTED_VALUE"""),143683.0)</f>
        <v>143683</v>
      </c>
      <c r="G34" s="173">
        <f>IFERROR(__xludf.DUMMYFUNCTION("""COMPUTED_VALUE"""),4140.0)</f>
        <v>4140</v>
      </c>
      <c r="H34" s="173">
        <f>IFERROR(__xludf.DUMMYFUNCTION("""COMPUTED_VALUE"""),163714.0)</f>
        <v>163714</v>
      </c>
      <c r="I34" s="173">
        <f>IFERROR(__xludf.DUMMYFUNCTION("""COMPUTED_VALUE"""),109.0)</f>
        <v>109</v>
      </c>
      <c r="J34" s="173">
        <f>IFERROR(__xludf.DUMMYFUNCTION("""COMPUTED_VALUE"""),138.0)</f>
        <v>138</v>
      </c>
      <c r="K34" s="173">
        <f>IFERROR(__xludf.DUMMYFUNCTION("""COMPUTED_VALUE"""),14890.0)</f>
        <v>14890</v>
      </c>
      <c r="L34" s="173">
        <f>IFERROR(__xludf.DUMMYFUNCTION("""COMPUTED_VALUE"""),1782.0)</f>
        <v>1782</v>
      </c>
      <c r="M34" s="173">
        <f>IFERROR(__xludf.DUMMYFUNCTION("""COMPUTED_VALUE"""),96121.0)</f>
        <v>96121</v>
      </c>
      <c r="N34" s="173">
        <f>IFERROR(__xludf.DUMMYFUNCTION("""COMPUTED_VALUE"""),111011.0)</f>
        <v>111011</v>
      </c>
      <c r="O34" s="173">
        <f>IFERROR(__xludf.DUMMYFUNCTION("""COMPUTED_VALUE"""),16.0)</f>
        <v>16</v>
      </c>
      <c r="P34" s="173">
        <f>IFERROR(__xludf.DUMMYFUNCTION("""COMPUTED_VALUE"""),1764.0)</f>
        <v>1764</v>
      </c>
      <c r="Q34" s="173">
        <f>IFERROR(__xludf.DUMMYFUNCTION("""COMPUTED_VALUE"""),19.0)</f>
        <v>19</v>
      </c>
      <c r="R34" s="173">
        <f>IFERROR(__xludf.DUMMYFUNCTION("""COMPUTED_VALUE"""),1314.0)</f>
        <v>1314</v>
      </c>
      <c r="S34" s="173">
        <f>IFERROR(__xludf.DUMMYFUNCTION("""COMPUTED_VALUE"""),4.0)</f>
        <v>4</v>
      </c>
      <c r="T34" s="173">
        <f>IFERROR(__xludf.DUMMYFUNCTION("""COMPUTED_VALUE"""),257.0)</f>
        <v>257</v>
      </c>
      <c r="U34" s="173">
        <f>IFERROR(__xludf.DUMMYFUNCTION("""COMPUTED_VALUE"""),193.0)</f>
        <v>193</v>
      </c>
      <c r="V34" s="173">
        <f>IFERROR(__xludf.DUMMYFUNCTION("""COMPUTED_VALUE"""),202.0)</f>
        <v>202</v>
      </c>
      <c r="W34" s="173">
        <f>IFERROR(__xludf.DUMMYFUNCTION("""COMPUTED_VALUE"""),41.0)</f>
        <v>41</v>
      </c>
      <c r="X34" s="173">
        <f>IFERROR(__xludf.DUMMYFUNCTION("""COMPUTED_VALUE"""),29.0)</f>
        <v>29</v>
      </c>
      <c r="Y34" s="173">
        <f>IFERROR(__xludf.DUMMYFUNCTION("""COMPUTED_VALUE"""),12.0)</f>
        <v>12</v>
      </c>
      <c r="Z34" s="173">
        <f>IFERROR(__xludf.DUMMYFUNCTION("""COMPUTED_VALUE"""),824.0)</f>
        <v>824</v>
      </c>
    </row>
    <row r="35">
      <c r="A35" s="234">
        <f>IFERROR(__xludf.DUMMYFUNCTION("""COMPUTED_VALUE"""),43982.0)</f>
        <v>43982</v>
      </c>
      <c r="B35" s="173">
        <f>IFERROR(__xludf.DUMMYFUNCTION("""COMPUTED_VALUE"""),155.0)</f>
        <v>155</v>
      </c>
      <c r="C35" s="173">
        <f>IFERROR(__xludf.DUMMYFUNCTION("""COMPUTED_VALUE"""),263.0)</f>
        <v>263</v>
      </c>
      <c r="D35" s="173">
        <f>IFERROR(__xludf.DUMMYFUNCTION("""COMPUTED_VALUE"""),20186.0)</f>
        <v>20186</v>
      </c>
      <c r="E35" s="173">
        <f>IFERROR(__xludf.DUMMYFUNCTION("""COMPUTED_VALUE"""),1690.0)</f>
        <v>1690</v>
      </c>
      <c r="F35" s="173">
        <f>IFERROR(__xludf.DUMMYFUNCTION("""COMPUTED_VALUE"""),145373.0)</f>
        <v>145373</v>
      </c>
      <c r="G35" s="173">
        <f>IFERROR(__xludf.DUMMYFUNCTION("""COMPUTED_VALUE"""),1845.0)</f>
        <v>1845</v>
      </c>
      <c r="H35" s="173">
        <f>IFERROR(__xludf.DUMMYFUNCTION("""COMPUTED_VALUE"""),165559.0)</f>
        <v>165559</v>
      </c>
      <c r="I35" s="173">
        <f>IFERROR(__xludf.DUMMYFUNCTION("""COMPUTED_VALUE"""),78.0)</f>
        <v>78</v>
      </c>
      <c r="J35" s="173">
        <f>IFERROR(__xludf.DUMMYFUNCTION("""COMPUTED_VALUE"""),120.0)</f>
        <v>120</v>
      </c>
      <c r="K35" s="173">
        <f>IFERROR(__xludf.DUMMYFUNCTION("""COMPUTED_VALUE"""),14968.0)</f>
        <v>14968</v>
      </c>
      <c r="L35" s="173">
        <f>IFERROR(__xludf.DUMMYFUNCTION("""COMPUTED_VALUE"""),840.0)</f>
        <v>840</v>
      </c>
      <c r="M35" s="173">
        <f>IFERROR(__xludf.DUMMYFUNCTION("""COMPUTED_VALUE"""),96961.0)</f>
        <v>96961</v>
      </c>
      <c r="N35" s="173">
        <f>IFERROR(__xludf.DUMMYFUNCTION("""COMPUTED_VALUE"""),111929.0)</f>
        <v>111929</v>
      </c>
      <c r="O35" s="173">
        <f>IFERROR(__xludf.DUMMYFUNCTION("""COMPUTED_VALUE"""),11.0)</f>
        <v>11</v>
      </c>
      <c r="P35" s="173">
        <f>IFERROR(__xludf.DUMMYFUNCTION("""COMPUTED_VALUE"""),1775.0)</f>
        <v>1775</v>
      </c>
      <c r="Q35" s="173">
        <f>IFERROR(__xludf.DUMMYFUNCTION("""COMPUTED_VALUE"""),11.0)</f>
        <v>11</v>
      </c>
      <c r="R35" s="173">
        <f>IFERROR(__xludf.DUMMYFUNCTION("""COMPUTED_VALUE"""),1325.0)</f>
        <v>1325</v>
      </c>
      <c r="S35" s="173">
        <f>IFERROR(__xludf.DUMMYFUNCTION("""COMPUTED_VALUE"""),1.0)</f>
        <v>1</v>
      </c>
      <c r="T35" s="173">
        <f>IFERROR(__xludf.DUMMYFUNCTION("""COMPUTED_VALUE"""),258.0)</f>
        <v>258</v>
      </c>
      <c r="U35" s="173">
        <f>IFERROR(__xludf.DUMMYFUNCTION("""COMPUTED_VALUE"""),192.0)</f>
        <v>192</v>
      </c>
      <c r="V35" s="173">
        <f>IFERROR(__xludf.DUMMYFUNCTION("""COMPUTED_VALUE"""),195.0)</f>
        <v>195</v>
      </c>
      <c r="W35" s="173">
        <f>IFERROR(__xludf.DUMMYFUNCTION("""COMPUTED_VALUE"""),44.0)</f>
        <v>44</v>
      </c>
      <c r="X35" s="173">
        <f>IFERROR(__xludf.DUMMYFUNCTION("""COMPUTED_VALUE"""),26.0)</f>
        <v>26</v>
      </c>
      <c r="Y35" s="173">
        <f>IFERROR(__xludf.DUMMYFUNCTION("""COMPUTED_VALUE"""),3.0)</f>
        <v>3</v>
      </c>
      <c r="Z35" s="173">
        <f>IFERROR(__xludf.DUMMYFUNCTION("""COMPUTED_VALUE"""),827.0)</f>
        <v>827</v>
      </c>
    </row>
    <row r="36">
      <c r="A36" s="234">
        <f>IFERROR(__xludf.DUMMYFUNCTION("""COMPUTED_VALUE"""),43983.0)</f>
        <v>43983</v>
      </c>
      <c r="B36" s="173">
        <f>IFERROR(__xludf.DUMMYFUNCTION("""COMPUTED_VALUE"""),212.0)</f>
        <v>212</v>
      </c>
      <c r="C36" s="173">
        <f>IFERROR(__xludf.DUMMYFUNCTION("""COMPUTED_VALUE"""),197.0)</f>
        <v>197</v>
      </c>
      <c r="D36" s="173">
        <f>IFERROR(__xludf.DUMMYFUNCTION("""COMPUTED_VALUE"""),20398.0)</f>
        <v>20398</v>
      </c>
      <c r="E36" s="173">
        <f>IFERROR(__xludf.DUMMYFUNCTION("""COMPUTED_VALUE"""),2792.0)</f>
        <v>2792</v>
      </c>
      <c r="F36" s="173">
        <f>IFERROR(__xludf.DUMMYFUNCTION("""COMPUTED_VALUE"""),148165.0)</f>
        <v>148165</v>
      </c>
      <c r="G36" s="173">
        <f>IFERROR(__xludf.DUMMYFUNCTION("""COMPUTED_VALUE"""),3004.0)</f>
        <v>3004</v>
      </c>
      <c r="H36" s="173">
        <f>IFERROR(__xludf.DUMMYFUNCTION("""COMPUTED_VALUE"""),168563.0)</f>
        <v>168563</v>
      </c>
      <c r="I36" s="173">
        <f>IFERROR(__xludf.DUMMYFUNCTION("""COMPUTED_VALUE"""),93.0)</f>
        <v>93</v>
      </c>
      <c r="J36" s="173">
        <f>IFERROR(__xludf.DUMMYFUNCTION("""COMPUTED_VALUE"""),93.0)</f>
        <v>93</v>
      </c>
      <c r="K36" s="173">
        <f>IFERROR(__xludf.DUMMYFUNCTION("""COMPUTED_VALUE"""),15061.0)</f>
        <v>15061</v>
      </c>
      <c r="L36" s="173">
        <f>IFERROR(__xludf.DUMMYFUNCTION("""COMPUTED_VALUE"""),1362.0)</f>
        <v>1362</v>
      </c>
      <c r="M36" s="173">
        <f>IFERROR(__xludf.DUMMYFUNCTION("""COMPUTED_VALUE"""),98323.0)</f>
        <v>98323</v>
      </c>
      <c r="N36" s="173">
        <f>IFERROR(__xludf.DUMMYFUNCTION("""COMPUTED_VALUE"""),113384.0)</f>
        <v>113384</v>
      </c>
      <c r="O36" s="173">
        <f>IFERROR(__xludf.DUMMYFUNCTION("""COMPUTED_VALUE"""),8.0)</f>
        <v>8</v>
      </c>
      <c r="P36" s="173">
        <f>IFERROR(__xludf.DUMMYFUNCTION("""COMPUTED_VALUE"""),1783.0)</f>
        <v>1783</v>
      </c>
      <c r="Q36" s="173">
        <f>IFERROR(__xludf.DUMMYFUNCTION("""COMPUTED_VALUE"""),14.0)</f>
        <v>14</v>
      </c>
      <c r="R36" s="173">
        <f>IFERROR(__xludf.DUMMYFUNCTION("""COMPUTED_VALUE"""),1339.0)</f>
        <v>1339</v>
      </c>
      <c r="S36" s="173">
        <f>IFERROR(__xludf.DUMMYFUNCTION("""COMPUTED_VALUE"""),1.0)</f>
        <v>1</v>
      </c>
      <c r="T36" s="173">
        <f>IFERROR(__xludf.DUMMYFUNCTION("""COMPUTED_VALUE"""),259.0)</f>
        <v>259</v>
      </c>
      <c r="U36" s="173">
        <f>IFERROR(__xludf.DUMMYFUNCTION("""COMPUTED_VALUE"""),185.0)</f>
        <v>185</v>
      </c>
      <c r="V36" s="173">
        <f>IFERROR(__xludf.DUMMYFUNCTION("""COMPUTED_VALUE"""),190.0)</f>
        <v>190</v>
      </c>
      <c r="W36" s="173">
        <f>IFERROR(__xludf.DUMMYFUNCTION("""COMPUTED_VALUE"""),45.0)</f>
        <v>45</v>
      </c>
      <c r="X36" s="173">
        <f>IFERROR(__xludf.DUMMYFUNCTION("""COMPUTED_VALUE"""),29.0)</f>
        <v>29</v>
      </c>
      <c r="Y36" s="173">
        <f>IFERROR(__xludf.DUMMYFUNCTION("""COMPUTED_VALUE"""),5.0)</f>
        <v>5</v>
      </c>
      <c r="Z36" s="173">
        <f>IFERROR(__xludf.DUMMYFUNCTION("""COMPUTED_VALUE"""),832.0)</f>
        <v>832</v>
      </c>
    </row>
    <row r="37">
      <c r="A37" s="234">
        <f>IFERROR(__xludf.DUMMYFUNCTION("""COMPUTED_VALUE"""),43984.0)</f>
        <v>43984</v>
      </c>
      <c r="B37" s="173">
        <f>IFERROR(__xludf.DUMMYFUNCTION("""COMPUTED_VALUE"""),273.0)</f>
        <v>273</v>
      </c>
      <c r="C37" s="173">
        <f>IFERROR(__xludf.DUMMYFUNCTION("""COMPUTED_VALUE"""),213.0)</f>
        <v>213</v>
      </c>
      <c r="D37" s="173">
        <f>IFERROR(__xludf.DUMMYFUNCTION("""COMPUTED_VALUE"""),20671.0)</f>
        <v>20671</v>
      </c>
      <c r="E37" s="173">
        <f>IFERROR(__xludf.DUMMYFUNCTION("""COMPUTED_VALUE"""),3022.0)</f>
        <v>3022</v>
      </c>
      <c r="F37" s="173">
        <f>IFERROR(__xludf.DUMMYFUNCTION("""COMPUTED_VALUE"""),151187.0)</f>
        <v>151187</v>
      </c>
      <c r="G37" s="173">
        <f>IFERROR(__xludf.DUMMYFUNCTION("""COMPUTED_VALUE"""),3295.0)</f>
        <v>3295</v>
      </c>
      <c r="H37" s="173">
        <f>IFERROR(__xludf.DUMMYFUNCTION("""COMPUTED_VALUE"""),171858.0)</f>
        <v>171858</v>
      </c>
      <c r="I37" s="173">
        <f>IFERROR(__xludf.DUMMYFUNCTION("""COMPUTED_VALUE"""),98.0)</f>
        <v>98</v>
      </c>
      <c r="J37" s="173">
        <f>IFERROR(__xludf.DUMMYFUNCTION("""COMPUTED_VALUE"""),90.0)</f>
        <v>90</v>
      </c>
      <c r="K37" s="173">
        <f>IFERROR(__xludf.DUMMYFUNCTION("""COMPUTED_VALUE"""),15159.0)</f>
        <v>15159</v>
      </c>
      <c r="L37" s="173">
        <f>IFERROR(__xludf.DUMMYFUNCTION("""COMPUTED_VALUE"""),1413.0)</f>
        <v>1413</v>
      </c>
      <c r="M37" s="173">
        <f>IFERROR(__xludf.DUMMYFUNCTION("""COMPUTED_VALUE"""),99736.0)</f>
        <v>99736</v>
      </c>
      <c r="N37" s="173">
        <f>IFERROR(__xludf.DUMMYFUNCTION("""COMPUTED_VALUE"""),114895.0)</f>
        <v>114895</v>
      </c>
      <c r="O37" s="173">
        <f>IFERROR(__xludf.DUMMYFUNCTION("""COMPUTED_VALUE"""),8.0)</f>
        <v>8</v>
      </c>
      <c r="P37" s="173">
        <f>IFERROR(__xludf.DUMMYFUNCTION("""COMPUTED_VALUE"""),1791.0)</f>
        <v>1791</v>
      </c>
      <c r="Q37" s="173">
        <f>IFERROR(__xludf.DUMMYFUNCTION("""COMPUTED_VALUE"""),10.0)</f>
        <v>10</v>
      </c>
      <c r="R37" s="173">
        <f>IFERROR(__xludf.DUMMYFUNCTION("""COMPUTED_VALUE"""),1349.0)</f>
        <v>1349</v>
      </c>
      <c r="S37" s="173">
        <f>IFERROR(__xludf.DUMMYFUNCTION("""COMPUTED_VALUE"""),3.0)</f>
        <v>3</v>
      </c>
      <c r="T37" s="173">
        <f>IFERROR(__xludf.DUMMYFUNCTION("""COMPUTED_VALUE"""),262.0)</f>
        <v>262</v>
      </c>
      <c r="U37" s="173">
        <f>IFERROR(__xludf.DUMMYFUNCTION("""COMPUTED_VALUE"""),180.0)</f>
        <v>180</v>
      </c>
      <c r="V37" s="173">
        <f>IFERROR(__xludf.DUMMYFUNCTION("""COMPUTED_VALUE"""),186.0)</f>
        <v>186</v>
      </c>
      <c r="W37" s="173">
        <f>IFERROR(__xludf.DUMMYFUNCTION("""COMPUTED_VALUE"""),38.0)</f>
        <v>38</v>
      </c>
      <c r="X37" s="173">
        <f>IFERROR(__xludf.DUMMYFUNCTION("""COMPUTED_VALUE"""),25.0)</f>
        <v>25</v>
      </c>
      <c r="Y37" s="173">
        <f>IFERROR(__xludf.DUMMYFUNCTION("""COMPUTED_VALUE"""),10.0)</f>
        <v>10</v>
      </c>
      <c r="Z37" s="173">
        <f>IFERROR(__xludf.DUMMYFUNCTION("""COMPUTED_VALUE"""),842.0)</f>
        <v>842</v>
      </c>
    </row>
    <row r="38">
      <c r="A38" s="234">
        <f>IFERROR(__xludf.DUMMYFUNCTION("""COMPUTED_VALUE"""),43985.0)</f>
        <v>43985</v>
      </c>
      <c r="B38" s="173">
        <f>IFERROR(__xludf.DUMMYFUNCTION("""COMPUTED_VALUE"""),254.0)</f>
        <v>254</v>
      </c>
      <c r="C38" s="173">
        <f>IFERROR(__xludf.DUMMYFUNCTION("""COMPUTED_VALUE"""),246.0)</f>
        <v>246</v>
      </c>
      <c r="D38" s="173">
        <f>IFERROR(__xludf.DUMMYFUNCTION("""COMPUTED_VALUE"""),20925.0)</f>
        <v>20925</v>
      </c>
      <c r="E38" s="173">
        <f>IFERROR(__xludf.DUMMYFUNCTION("""COMPUTED_VALUE"""),3486.0)</f>
        <v>3486</v>
      </c>
      <c r="F38" s="173">
        <f>IFERROR(__xludf.DUMMYFUNCTION("""COMPUTED_VALUE"""),154673.0)</f>
        <v>154673</v>
      </c>
      <c r="G38" s="173">
        <f>IFERROR(__xludf.DUMMYFUNCTION("""COMPUTED_VALUE"""),3740.0)</f>
        <v>3740</v>
      </c>
      <c r="H38" s="173">
        <f>IFERROR(__xludf.DUMMYFUNCTION("""COMPUTED_VALUE"""),175598.0)</f>
        <v>175598</v>
      </c>
      <c r="I38" s="173">
        <f>IFERROR(__xludf.DUMMYFUNCTION("""COMPUTED_VALUE"""),99.0)</f>
        <v>99</v>
      </c>
      <c r="J38" s="173">
        <f>IFERROR(__xludf.DUMMYFUNCTION("""COMPUTED_VALUE"""),97.0)</f>
        <v>97</v>
      </c>
      <c r="K38" s="173">
        <f>IFERROR(__xludf.DUMMYFUNCTION("""COMPUTED_VALUE"""),15258.0)</f>
        <v>15258</v>
      </c>
      <c r="L38" s="173">
        <f>IFERROR(__xludf.DUMMYFUNCTION("""COMPUTED_VALUE"""),1637.0)</f>
        <v>1637</v>
      </c>
      <c r="M38" s="173">
        <f>IFERROR(__xludf.DUMMYFUNCTION("""COMPUTED_VALUE"""),101373.0)</f>
        <v>101373</v>
      </c>
      <c r="N38" s="173">
        <f>IFERROR(__xludf.DUMMYFUNCTION("""COMPUTED_VALUE"""),116631.0)</f>
        <v>116631</v>
      </c>
      <c r="O38" s="173">
        <f>IFERROR(__xludf.DUMMYFUNCTION("""COMPUTED_VALUE"""),14.0)</f>
        <v>14</v>
      </c>
      <c r="P38" s="173">
        <f>IFERROR(__xludf.DUMMYFUNCTION("""COMPUTED_VALUE"""),1805.0)</f>
        <v>1805</v>
      </c>
      <c r="Q38" s="173">
        <f>IFERROR(__xludf.DUMMYFUNCTION("""COMPUTED_VALUE"""),18.0)</f>
        <v>18</v>
      </c>
      <c r="R38" s="173">
        <f>IFERROR(__xludf.DUMMYFUNCTION("""COMPUTED_VALUE"""),1367.0)</f>
        <v>1367</v>
      </c>
      <c r="S38" s="173">
        <f>IFERROR(__xludf.DUMMYFUNCTION("""COMPUTED_VALUE"""),6.0)</f>
        <v>6</v>
      </c>
      <c r="T38" s="173">
        <f>IFERROR(__xludf.DUMMYFUNCTION("""COMPUTED_VALUE"""),268.0)</f>
        <v>268</v>
      </c>
      <c r="U38" s="173">
        <f>IFERROR(__xludf.DUMMYFUNCTION("""COMPUTED_VALUE"""),170.0)</f>
        <v>170</v>
      </c>
      <c r="V38" s="173">
        <f>IFERROR(__xludf.DUMMYFUNCTION("""COMPUTED_VALUE"""),178.0)</f>
        <v>178</v>
      </c>
      <c r="W38" s="173">
        <f>IFERROR(__xludf.DUMMYFUNCTION("""COMPUTED_VALUE"""),34.0)</f>
        <v>34</v>
      </c>
      <c r="X38" s="173">
        <f>IFERROR(__xludf.DUMMYFUNCTION("""COMPUTED_VALUE"""),25.0)</f>
        <v>25</v>
      </c>
      <c r="Y38" s="173">
        <f>IFERROR(__xludf.DUMMYFUNCTION("""COMPUTED_VALUE"""),11.0)</f>
        <v>11</v>
      </c>
      <c r="Z38" s="173">
        <f>IFERROR(__xludf.DUMMYFUNCTION("""COMPUTED_VALUE"""),853.0)</f>
        <v>853</v>
      </c>
    </row>
    <row r="39">
      <c r="A39" s="234">
        <f>IFERROR(__xludf.DUMMYFUNCTION("""COMPUTED_VALUE"""),43986.0)</f>
        <v>43986</v>
      </c>
      <c r="B39" s="173">
        <f>IFERROR(__xludf.DUMMYFUNCTION("""COMPUTED_VALUE"""),276.0)</f>
        <v>276</v>
      </c>
      <c r="C39" s="173">
        <f>IFERROR(__xludf.DUMMYFUNCTION("""COMPUTED_VALUE"""),268.0)</f>
        <v>268</v>
      </c>
      <c r="D39" s="173">
        <f>IFERROR(__xludf.DUMMYFUNCTION("""COMPUTED_VALUE"""),21201.0)</f>
        <v>21201</v>
      </c>
      <c r="E39" s="173">
        <f>IFERROR(__xludf.DUMMYFUNCTION("""COMPUTED_VALUE"""),4471.0)</f>
        <v>4471</v>
      </c>
      <c r="F39" s="173">
        <f>IFERROR(__xludf.DUMMYFUNCTION("""COMPUTED_VALUE"""),159144.0)</f>
        <v>159144</v>
      </c>
      <c r="G39" s="173">
        <f>IFERROR(__xludf.DUMMYFUNCTION("""COMPUTED_VALUE"""),4747.0)</f>
        <v>4747</v>
      </c>
      <c r="H39" s="173">
        <f>IFERROR(__xludf.DUMMYFUNCTION("""COMPUTED_VALUE"""),180345.0)</f>
        <v>180345</v>
      </c>
      <c r="I39" s="173">
        <f>IFERROR(__xludf.DUMMYFUNCTION("""COMPUTED_VALUE"""),107.0)</f>
        <v>107</v>
      </c>
      <c r="J39" s="173">
        <f>IFERROR(__xludf.DUMMYFUNCTION("""COMPUTED_VALUE"""),101.0)</f>
        <v>101</v>
      </c>
      <c r="K39" s="173">
        <f>IFERROR(__xludf.DUMMYFUNCTION("""COMPUTED_VALUE"""),15365.0)</f>
        <v>15365</v>
      </c>
      <c r="L39" s="173">
        <f>IFERROR(__xludf.DUMMYFUNCTION("""COMPUTED_VALUE"""),2002.0)</f>
        <v>2002</v>
      </c>
      <c r="M39" s="173">
        <f>IFERROR(__xludf.DUMMYFUNCTION("""COMPUTED_VALUE"""),103375.0)</f>
        <v>103375</v>
      </c>
      <c r="N39" s="173">
        <f>IFERROR(__xludf.DUMMYFUNCTION("""COMPUTED_VALUE"""),118740.0)</f>
        <v>118740</v>
      </c>
      <c r="O39" s="173">
        <f>IFERROR(__xludf.DUMMYFUNCTION("""COMPUTED_VALUE"""),7.0)</f>
        <v>7</v>
      </c>
      <c r="P39" s="173">
        <f>IFERROR(__xludf.DUMMYFUNCTION("""COMPUTED_VALUE"""),1812.0)</f>
        <v>1812</v>
      </c>
      <c r="Q39" s="173">
        <f>IFERROR(__xludf.DUMMYFUNCTION("""COMPUTED_VALUE"""),26.0)</f>
        <v>26</v>
      </c>
      <c r="R39" s="173">
        <f>IFERROR(__xludf.DUMMYFUNCTION("""COMPUTED_VALUE"""),1393.0)</f>
        <v>1393</v>
      </c>
      <c r="S39" s="173">
        <f>IFERROR(__xludf.DUMMYFUNCTION("""COMPUTED_VALUE"""),4.0)</f>
        <v>4</v>
      </c>
      <c r="T39" s="173">
        <f>IFERROR(__xludf.DUMMYFUNCTION("""COMPUTED_VALUE"""),272.0)</f>
        <v>272</v>
      </c>
      <c r="U39" s="173">
        <f>IFERROR(__xludf.DUMMYFUNCTION("""COMPUTED_VALUE"""),147.0)</f>
        <v>147</v>
      </c>
      <c r="V39" s="173">
        <f>IFERROR(__xludf.DUMMYFUNCTION("""COMPUTED_VALUE"""),166.0)</f>
        <v>166</v>
      </c>
      <c r="W39" s="173">
        <f>IFERROR(__xludf.DUMMYFUNCTION("""COMPUTED_VALUE"""),31.0)</f>
        <v>31</v>
      </c>
      <c r="X39" s="173">
        <f>IFERROR(__xludf.DUMMYFUNCTION("""COMPUTED_VALUE"""),24.0)</f>
        <v>24</v>
      </c>
      <c r="Y39" s="173">
        <f>IFERROR(__xludf.DUMMYFUNCTION("""COMPUTED_VALUE"""),12.0)</f>
        <v>12</v>
      </c>
      <c r="Z39" s="173">
        <f>IFERROR(__xludf.DUMMYFUNCTION("""COMPUTED_VALUE"""),865.0)</f>
        <v>865</v>
      </c>
    </row>
    <row r="40">
      <c r="A40" s="234">
        <f>IFERROR(__xludf.DUMMYFUNCTION("""COMPUTED_VALUE"""),43987.0)</f>
        <v>43987</v>
      </c>
      <c r="B40" s="173">
        <f>IFERROR(__xludf.DUMMYFUNCTION("""COMPUTED_VALUE"""),215.0)</f>
        <v>215</v>
      </c>
      <c r="C40" s="173">
        <f>IFERROR(__xludf.DUMMYFUNCTION("""COMPUTED_VALUE"""),248.0)</f>
        <v>248</v>
      </c>
      <c r="D40" s="173">
        <f>IFERROR(__xludf.DUMMYFUNCTION("""COMPUTED_VALUE"""),21416.0)</f>
        <v>21416</v>
      </c>
      <c r="E40" s="173">
        <f>IFERROR(__xludf.DUMMYFUNCTION("""COMPUTED_VALUE"""),3513.0)</f>
        <v>3513</v>
      </c>
      <c r="F40" s="173">
        <f>IFERROR(__xludf.DUMMYFUNCTION("""COMPUTED_VALUE"""),162657.0)</f>
        <v>162657</v>
      </c>
      <c r="G40" s="173">
        <f>IFERROR(__xludf.DUMMYFUNCTION("""COMPUTED_VALUE"""),3728.0)</f>
        <v>3728</v>
      </c>
      <c r="H40" s="173">
        <f>IFERROR(__xludf.DUMMYFUNCTION("""COMPUTED_VALUE"""),184073.0)</f>
        <v>184073</v>
      </c>
      <c r="I40" s="173">
        <f>IFERROR(__xludf.DUMMYFUNCTION("""COMPUTED_VALUE"""),99.0)</f>
        <v>99</v>
      </c>
      <c r="J40" s="173">
        <f>IFERROR(__xludf.DUMMYFUNCTION("""COMPUTED_VALUE"""),102.0)</f>
        <v>102</v>
      </c>
      <c r="K40" s="173">
        <f>IFERROR(__xludf.DUMMYFUNCTION("""COMPUTED_VALUE"""),15464.0)</f>
        <v>15464</v>
      </c>
      <c r="L40" s="173">
        <f>IFERROR(__xludf.DUMMYFUNCTION("""COMPUTED_VALUE"""),1536.0)</f>
        <v>1536</v>
      </c>
      <c r="M40" s="173">
        <f>IFERROR(__xludf.DUMMYFUNCTION("""COMPUTED_VALUE"""),104911.0)</f>
        <v>104911</v>
      </c>
      <c r="N40" s="173">
        <f>IFERROR(__xludf.DUMMYFUNCTION("""COMPUTED_VALUE"""),120375.0)</f>
        <v>120375</v>
      </c>
      <c r="O40" s="173">
        <f>IFERROR(__xludf.DUMMYFUNCTION("""COMPUTED_VALUE"""),15.0)</f>
        <v>15</v>
      </c>
      <c r="P40" s="173">
        <f>IFERROR(__xludf.DUMMYFUNCTION("""COMPUTED_VALUE"""),1827.0)</f>
        <v>1827</v>
      </c>
      <c r="Q40" s="173">
        <f>IFERROR(__xludf.DUMMYFUNCTION("""COMPUTED_VALUE"""),13.0)</f>
        <v>13</v>
      </c>
      <c r="R40" s="173">
        <f>IFERROR(__xludf.DUMMYFUNCTION("""COMPUTED_VALUE"""),1406.0)</f>
        <v>1406</v>
      </c>
      <c r="S40" s="173">
        <f>IFERROR(__xludf.DUMMYFUNCTION("""COMPUTED_VALUE"""),6.0)</f>
        <v>6</v>
      </c>
      <c r="T40" s="173">
        <f>IFERROR(__xludf.DUMMYFUNCTION("""COMPUTED_VALUE"""),278.0)</f>
        <v>278</v>
      </c>
      <c r="U40" s="173">
        <f>IFERROR(__xludf.DUMMYFUNCTION("""COMPUTED_VALUE"""),143.0)</f>
        <v>143</v>
      </c>
      <c r="V40" s="173">
        <f>IFERROR(__xludf.DUMMYFUNCTION("""COMPUTED_VALUE"""),153.0)</f>
        <v>153</v>
      </c>
      <c r="W40" s="173">
        <f>IFERROR(__xludf.DUMMYFUNCTION("""COMPUTED_VALUE"""),27.0)</f>
        <v>27</v>
      </c>
      <c r="X40" s="173">
        <f>IFERROR(__xludf.DUMMYFUNCTION("""COMPUTED_VALUE"""),21.0)</f>
        <v>21</v>
      </c>
      <c r="Y40" s="173">
        <f>IFERROR(__xludf.DUMMYFUNCTION("""COMPUTED_VALUE"""),11.0)</f>
        <v>11</v>
      </c>
      <c r="Z40" s="173">
        <f>IFERROR(__xludf.DUMMYFUNCTION("""COMPUTED_VALUE"""),876.0)</f>
        <v>876</v>
      </c>
    </row>
    <row r="41">
      <c r="A41" s="234">
        <f>IFERROR(__xludf.DUMMYFUNCTION("""COMPUTED_VALUE"""),43988.0)</f>
        <v>43988</v>
      </c>
      <c r="B41" s="173">
        <f>IFERROR(__xludf.DUMMYFUNCTION("""COMPUTED_VALUE"""),201.0)</f>
        <v>201</v>
      </c>
      <c r="C41" s="173">
        <f>IFERROR(__xludf.DUMMYFUNCTION("""COMPUTED_VALUE"""),231.0)</f>
        <v>231</v>
      </c>
      <c r="D41" s="173">
        <f>IFERROR(__xludf.DUMMYFUNCTION("""COMPUTED_VALUE"""),21617.0)</f>
        <v>21617</v>
      </c>
      <c r="E41" s="173">
        <f>IFERROR(__xludf.DUMMYFUNCTION("""COMPUTED_VALUE"""),2616.0)</f>
        <v>2616</v>
      </c>
      <c r="F41" s="173">
        <f>IFERROR(__xludf.DUMMYFUNCTION("""COMPUTED_VALUE"""),165273.0)</f>
        <v>165273</v>
      </c>
      <c r="G41" s="173">
        <f>IFERROR(__xludf.DUMMYFUNCTION("""COMPUTED_VALUE"""),2817.0)</f>
        <v>2817</v>
      </c>
      <c r="H41" s="173">
        <f>IFERROR(__xludf.DUMMYFUNCTION("""COMPUTED_VALUE"""),186890.0)</f>
        <v>186890</v>
      </c>
      <c r="I41" s="173">
        <f>IFERROR(__xludf.DUMMYFUNCTION("""COMPUTED_VALUE"""),67.0)</f>
        <v>67</v>
      </c>
      <c r="J41" s="173">
        <f>IFERROR(__xludf.DUMMYFUNCTION("""COMPUTED_VALUE"""),91.0)</f>
        <v>91</v>
      </c>
      <c r="K41" s="173">
        <f>IFERROR(__xludf.DUMMYFUNCTION("""COMPUTED_VALUE"""),15531.0)</f>
        <v>15531</v>
      </c>
      <c r="L41" s="173">
        <f>IFERROR(__xludf.DUMMYFUNCTION("""COMPUTED_VALUE"""),1105.0)</f>
        <v>1105</v>
      </c>
      <c r="M41" s="173">
        <f>IFERROR(__xludf.DUMMYFUNCTION("""COMPUTED_VALUE"""),106016.0)</f>
        <v>106016</v>
      </c>
      <c r="N41" s="173">
        <f>IFERROR(__xludf.DUMMYFUNCTION("""COMPUTED_VALUE"""),121547.0)</f>
        <v>121547</v>
      </c>
      <c r="O41" s="173">
        <f>IFERROR(__xludf.DUMMYFUNCTION("""COMPUTED_VALUE"""),10.0)</f>
        <v>10</v>
      </c>
      <c r="P41" s="173">
        <f>IFERROR(__xludf.DUMMYFUNCTION("""COMPUTED_VALUE"""),1837.0)</f>
        <v>1837</v>
      </c>
      <c r="Q41" s="173">
        <f>IFERROR(__xludf.DUMMYFUNCTION("""COMPUTED_VALUE"""),7.0)</f>
        <v>7</v>
      </c>
      <c r="R41" s="173">
        <f>IFERROR(__xludf.DUMMYFUNCTION("""COMPUTED_VALUE"""),1413.0)</f>
        <v>1413</v>
      </c>
      <c r="S41" s="173">
        <f>IFERROR(__xludf.DUMMYFUNCTION("""COMPUTED_VALUE"""),2.0)</f>
        <v>2</v>
      </c>
      <c r="T41" s="173">
        <f>IFERROR(__xludf.DUMMYFUNCTION("""COMPUTED_VALUE"""),280.0)</f>
        <v>280</v>
      </c>
      <c r="U41" s="173">
        <f>IFERROR(__xludf.DUMMYFUNCTION("""COMPUTED_VALUE"""),144.0)</f>
        <v>144</v>
      </c>
      <c r="V41" s="173">
        <f>IFERROR(__xludf.DUMMYFUNCTION("""COMPUTED_VALUE"""),145.0)</f>
        <v>145</v>
      </c>
      <c r="W41" s="173">
        <f>IFERROR(__xludf.DUMMYFUNCTION("""COMPUTED_VALUE"""),29.0)</f>
        <v>29</v>
      </c>
      <c r="X41" s="173">
        <f>IFERROR(__xludf.DUMMYFUNCTION("""COMPUTED_VALUE"""),19.0)</f>
        <v>19</v>
      </c>
      <c r="Y41" s="173">
        <f>IFERROR(__xludf.DUMMYFUNCTION("""COMPUTED_VALUE"""),6.0)</f>
        <v>6</v>
      </c>
      <c r="Z41" s="173">
        <f>IFERROR(__xludf.DUMMYFUNCTION("""COMPUTED_VALUE"""),882.0)</f>
        <v>882</v>
      </c>
    </row>
    <row r="42">
      <c r="A42" s="234">
        <f>IFERROR(__xludf.DUMMYFUNCTION("""COMPUTED_VALUE"""),43989.0)</f>
        <v>43989</v>
      </c>
      <c r="B42" s="173">
        <f>IFERROR(__xludf.DUMMYFUNCTION("""COMPUTED_VALUE"""),83.0)</f>
        <v>83</v>
      </c>
      <c r="C42" s="173">
        <f>IFERROR(__xludf.DUMMYFUNCTION("""COMPUTED_VALUE"""),166.0)</f>
        <v>166</v>
      </c>
      <c r="D42" s="173">
        <f>IFERROR(__xludf.DUMMYFUNCTION("""COMPUTED_VALUE"""),21700.0)</f>
        <v>21700</v>
      </c>
      <c r="E42" s="173">
        <f>IFERROR(__xludf.DUMMYFUNCTION("""COMPUTED_VALUE"""),1625.0)</f>
        <v>1625</v>
      </c>
      <c r="F42" s="173">
        <f>IFERROR(__xludf.DUMMYFUNCTION("""COMPUTED_VALUE"""),166898.0)</f>
        <v>166898</v>
      </c>
      <c r="G42" s="173">
        <f>IFERROR(__xludf.DUMMYFUNCTION("""COMPUTED_VALUE"""),1708.0)</f>
        <v>1708</v>
      </c>
      <c r="H42" s="173">
        <f>IFERROR(__xludf.DUMMYFUNCTION("""COMPUTED_VALUE"""),188598.0)</f>
        <v>188598</v>
      </c>
      <c r="I42" s="173">
        <f>IFERROR(__xludf.DUMMYFUNCTION("""COMPUTED_VALUE"""),51.0)</f>
        <v>51</v>
      </c>
      <c r="J42" s="173">
        <f>IFERROR(__xludf.DUMMYFUNCTION("""COMPUTED_VALUE"""),72.0)</f>
        <v>72</v>
      </c>
      <c r="K42" s="173">
        <f>IFERROR(__xludf.DUMMYFUNCTION("""COMPUTED_VALUE"""),15582.0)</f>
        <v>15582</v>
      </c>
      <c r="L42" s="173">
        <f>IFERROR(__xludf.DUMMYFUNCTION("""COMPUTED_VALUE"""),776.0)</f>
        <v>776</v>
      </c>
      <c r="M42" s="173">
        <f>IFERROR(__xludf.DUMMYFUNCTION("""COMPUTED_VALUE"""),106792.0)</f>
        <v>106792</v>
      </c>
      <c r="N42" s="173">
        <f>IFERROR(__xludf.DUMMYFUNCTION("""COMPUTED_VALUE"""),122374.0)</f>
        <v>122374</v>
      </c>
      <c r="O42" s="173">
        <f>IFERROR(__xludf.DUMMYFUNCTION("""COMPUTED_VALUE"""),11.0)</f>
        <v>11</v>
      </c>
      <c r="P42" s="173">
        <f>IFERROR(__xludf.DUMMYFUNCTION("""COMPUTED_VALUE"""),1848.0)</f>
        <v>1848</v>
      </c>
      <c r="Q42" s="173">
        <f>IFERROR(__xludf.DUMMYFUNCTION("""COMPUTED_VALUE"""),7.0)</f>
        <v>7</v>
      </c>
      <c r="R42" s="173">
        <f>IFERROR(__xludf.DUMMYFUNCTION("""COMPUTED_VALUE"""),1420.0)</f>
        <v>1420</v>
      </c>
      <c r="S42" s="173">
        <f>IFERROR(__xludf.DUMMYFUNCTION("""COMPUTED_VALUE"""),1.0)</f>
        <v>1</v>
      </c>
      <c r="T42" s="173">
        <f>IFERROR(__xludf.DUMMYFUNCTION("""COMPUTED_VALUE"""),281.0)</f>
        <v>281</v>
      </c>
      <c r="U42" s="173">
        <f>IFERROR(__xludf.DUMMYFUNCTION("""COMPUTED_VALUE"""),147.0)</f>
        <v>147</v>
      </c>
      <c r="V42" s="173">
        <f>IFERROR(__xludf.DUMMYFUNCTION("""COMPUTED_VALUE"""),145.0)</f>
        <v>145</v>
      </c>
      <c r="W42" s="173">
        <f>IFERROR(__xludf.DUMMYFUNCTION("""COMPUTED_VALUE"""),25.0)</f>
        <v>25</v>
      </c>
      <c r="X42" s="173">
        <f>IFERROR(__xludf.DUMMYFUNCTION("""COMPUTED_VALUE"""),17.0)</f>
        <v>17</v>
      </c>
      <c r="Y42" s="173">
        <f>IFERROR(__xludf.DUMMYFUNCTION("""COMPUTED_VALUE"""),4.0)</f>
        <v>4</v>
      </c>
      <c r="Z42" s="173">
        <f>IFERROR(__xludf.DUMMYFUNCTION("""COMPUTED_VALUE"""),886.0)</f>
        <v>886</v>
      </c>
    </row>
    <row r="43">
      <c r="A43" s="234">
        <f>IFERROR(__xludf.DUMMYFUNCTION("""COMPUTED_VALUE"""),43990.0)</f>
        <v>43990</v>
      </c>
      <c r="B43" s="235">
        <f>IFERROR(__xludf.DUMMYFUNCTION("""COMPUTED_VALUE"""),119.0)</f>
        <v>119</v>
      </c>
      <c r="C43" s="235">
        <f>IFERROR(__xludf.DUMMYFUNCTION("""COMPUTED_VALUE"""),134.0)</f>
        <v>134</v>
      </c>
      <c r="D43" s="235">
        <f>IFERROR(__xludf.DUMMYFUNCTION("""COMPUTED_VALUE"""),21819.0)</f>
        <v>21819</v>
      </c>
      <c r="E43" s="235">
        <f>IFERROR(__xludf.DUMMYFUNCTION("""COMPUTED_VALUE"""),1849.0)</f>
        <v>1849</v>
      </c>
      <c r="F43" s="173">
        <f>IFERROR(__xludf.DUMMYFUNCTION("""COMPUTED_VALUE"""),168747.0)</f>
        <v>168747</v>
      </c>
      <c r="G43" s="173">
        <f>IFERROR(__xludf.DUMMYFUNCTION("""COMPUTED_VALUE"""),1968.0)</f>
        <v>1968</v>
      </c>
      <c r="H43" s="173">
        <f>IFERROR(__xludf.DUMMYFUNCTION("""COMPUTED_VALUE"""),190566.0)</f>
        <v>190566</v>
      </c>
      <c r="I43" s="235">
        <f>IFERROR(__xludf.DUMMYFUNCTION("""COMPUTED_VALUE"""),45.0)</f>
        <v>45</v>
      </c>
      <c r="J43" s="235">
        <f>IFERROR(__xludf.DUMMYFUNCTION("""COMPUTED_VALUE"""),54.0)</f>
        <v>54</v>
      </c>
      <c r="K43" s="235">
        <f>IFERROR(__xludf.DUMMYFUNCTION("""COMPUTED_VALUE"""),15627.0)</f>
        <v>15627</v>
      </c>
      <c r="L43" s="235">
        <f>IFERROR(__xludf.DUMMYFUNCTION("""COMPUTED_VALUE"""),943.0)</f>
        <v>943</v>
      </c>
      <c r="M43" s="235">
        <f>IFERROR(__xludf.DUMMYFUNCTION("""COMPUTED_VALUE"""),107735.0)</f>
        <v>107735</v>
      </c>
      <c r="N43" s="235">
        <f>IFERROR(__xludf.DUMMYFUNCTION("""COMPUTED_VALUE"""),123362.0)</f>
        <v>123362</v>
      </c>
      <c r="O43" s="235">
        <f>IFERROR(__xludf.DUMMYFUNCTION("""COMPUTED_VALUE"""),15.0)</f>
        <v>15</v>
      </c>
      <c r="P43" s="235">
        <f>IFERROR(__xludf.DUMMYFUNCTION("""COMPUTED_VALUE"""),1863.0)</f>
        <v>1863</v>
      </c>
      <c r="Q43" s="235">
        <f>IFERROR(__xludf.DUMMYFUNCTION("""COMPUTED_VALUE"""),13.0)</f>
        <v>13</v>
      </c>
      <c r="R43" s="235">
        <f>IFERROR(__xludf.DUMMYFUNCTION("""COMPUTED_VALUE"""),1433.0)</f>
        <v>1433</v>
      </c>
      <c r="S43" s="235">
        <f>IFERROR(__xludf.DUMMYFUNCTION("""COMPUTED_VALUE"""),2.0)</f>
        <v>2</v>
      </c>
      <c r="T43" s="235">
        <f>IFERROR(__xludf.DUMMYFUNCTION("""COMPUTED_VALUE"""),283.0)</f>
        <v>283</v>
      </c>
      <c r="U43" s="235">
        <f>IFERROR(__xludf.DUMMYFUNCTION("""COMPUTED_VALUE"""),147.0)</f>
        <v>147</v>
      </c>
      <c r="V43" s="235">
        <f>IFERROR(__xludf.DUMMYFUNCTION("""COMPUTED_VALUE"""),146.0)</f>
        <v>146</v>
      </c>
      <c r="W43" s="235">
        <f>IFERROR(__xludf.DUMMYFUNCTION("""COMPUTED_VALUE"""),27.0)</f>
        <v>27</v>
      </c>
      <c r="X43" s="235">
        <f>IFERROR(__xludf.DUMMYFUNCTION("""COMPUTED_VALUE"""),18.0)</f>
        <v>18</v>
      </c>
      <c r="Y43" s="235">
        <f>IFERROR(__xludf.DUMMYFUNCTION("""COMPUTED_VALUE"""),4.0)</f>
        <v>4</v>
      </c>
      <c r="Z43" s="235">
        <f>IFERROR(__xludf.DUMMYFUNCTION("""COMPUTED_VALUE"""),890.0)</f>
        <v>890</v>
      </c>
    </row>
    <row r="44">
      <c r="A44" s="234">
        <f>IFERROR(__xludf.DUMMYFUNCTION("""COMPUTED_VALUE"""),43991.0)</f>
        <v>43991</v>
      </c>
      <c r="B44" s="235">
        <f>IFERROR(__xludf.DUMMYFUNCTION("""COMPUTED_VALUE"""),223.0)</f>
        <v>223</v>
      </c>
      <c r="C44" s="235">
        <f>IFERROR(__xludf.DUMMYFUNCTION("""COMPUTED_VALUE"""),142.0)</f>
        <v>142</v>
      </c>
      <c r="D44" s="235">
        <f>IFERROR(__xludf.DUMMYFUNCTION("""COMPUTED_VALUE"""),22042.0)</f>
        <v>22042</v>
      </c>
      <c r="E44" s="235">
        <f>IFERROR(__xludf.DUMMYFUNCTION("""COMPUTED_VALUE"""),2673.0)</f>
        <v>2673</v>
      </c>
      <c r="F44" s="173">
        <f>IFERROR(__xludf.DUMMYFUNCTION("""COMPUTED_VALUE"""),171420.0)</f>
        <v>171420</v>
      </c>
      <c r="G44" s="173">
        <f>IFERROR(__xludf.DUMMYFUNCTION("""COMPUTED_VALUE"""),2896.0)</f>
        <v>2896</v>
      </c>
      <c r="H44" s="173">
        <f>IFERROR(__xludf.DUMMYFUNCTION("""COMPUTED_VALUE"""),193462.0)</f>
        <v>193462</v>
      </c>
      <c r="I44" s="235">
        <f>IFERROR(__xludf.DUMMYFUNCTION("""COMPUTED_VALUE"""),64.0)</f>
        <v>64</v>
      </c>
      <c r="J44" s="235">
        <f>IFERROR(__xludf.DUMMYFUNCTION("""COMPUTED_VALUE"""),53.0)</f>
        <v>53</v>
      </c>
      <c r="K44" s="235">
        <f>IFERROR(__xludf.DUMMYFUNCTION("""COMPUTED_VALUE"""),15691.0)</f>
        <v>15691</v>
      </c>
      <c r="L44" s="235">
        <f>IFERROR(__xludf.DUMMYFUNCTION("""COMPUTED_VALUE"""),1238.0)</f>
        <v>1238</v>
      </c>
      <c r="M44" s="235">
        <f>IFERROR(__xludf.DUMMYFUNCTION("""COMPUTED_VALUE"""),108973.0)</f>
        <v>108973</v>
      </c>
      <c r="N44" s="235">
        <f>IFERROR(__xludf.DUMMYFUNCTION("""COMPUTED_VALUE"""),124664.0)</f>
        <v>124664</v>
      </c>
      <c r="O44" s="235">
        <f>IFERROR(__xludf.DUMMYFUNCTION("""COMPUTED_VALUE"""),10.0)</f>
        <v>10</v>
      </c>
      <c r="P44" s="235">
        <f>IFERROR(__xludf.DUMMYFUNCTION("""COMPUTED_VALUE"""),1873.0)</f>
        <v>1873</v>
      </c>
      <c r="Q44" s="235">
        <f>IFERROR(__xludf.DUMMYFUNCTION("""COMPUTED_VALUE"""),19.0)</f>
        <v>19</v>
      </c>
      <c r="R44" s="235">
        <f>IFERROR(__xludf.DUMMYFUNCTION("""COMPUTED_VALUE"""),1452.0)</f>
        <v>1452</v>
      </c>
      <c r="S44" s="235">
        <f>IFERROR(__xludf.DUMMYFUNCTION("""COMPUTED_VALUE"""),0.0)</f>
        <v>0</v>
      </c>
      <c r="T44" s="235">
        <f>IFERROR(__xludf.DUMMYFUNCTION("""COMPUTED_VALUE"""),283.0)</f>
        <v>283</v>
      </c>
      <c r="U44" s="235">
        <f>IFERROR(__xludf.DUMMYFUNCTION("""COMPUTED_VALUE"""),138.0)</f>
        <v>138</v>
      </c>
      <c r="V44" s="235">
        <f>IFERROR(__xludf.DUMMYFUNCTION("""COMPUTED_VALUE"""),144.0)</f>
        <v>144</v>
      </c>
      <c r="W44" s="235">
        <f>IFERROR(__xludf.DUMMYFUNCTION("""COMPUTED_VALUE"""),28.0)</f>
        <v>28</v>
      </c>
      <c r="X44" s="235">
        <f>IFERROR(__xludf.DUMMYFUNCTION("""COMPUTED_VALUE"""),21.0)</f>
        <v>21</v>
      </c>
      <c r="Y44" s="235">
        <f>IFERROR(__xludf.DUMMYFUNCTION("""COMPUTED_VALUE"""),1.0)</f>
        <v>1</v>
      </c>
      <c r="Z44" s="235">
        <f>IFERROR(__xludf.DUMMYFUNCTION("""COMPUTED_VALUE"""),891.0)</f>
        <v>891</v>
      </c>
    </row>
    <row r="45">
      <c r="A45" s="234">
        <f>IFERROR(__xludf.DUMMYFUNCTION("""COMPUTED_VALUE"""),43992.0)</f>
        <v>43992</v>
      </c>
      <c r="B45" s="235">
        <f>IFERROR(__xludf.DUMMYFUNCTION("""COMPUTED_VALUE"""),209.0)</f>
        <v>209</v>
      </c>
      <c r="C45" s="235">
        <f>IFERROR(__xludf.DUMMYFUNCTION("""COMPUTED_VALUE"""),184.0)</f>
        <v>184</v>
      </c>
      <c r="D45" s="235">
        <f>IFERROR(__xludf.DUMMYFUNCTION("""COMPUTED_VALUE"""),22251.0)</f>
        <v>22251</v>
      </c>
      <c r="E45" s="235">
        <f>IFERROR(__xludf.DUMMYFUNCTION("""COMPUTED_VALUE"""),2987.0)</f>
        <v>2987</v>
      </c>
      <c r="F45" s="173">
        <f>IFERROR(__xludf.DUMMYFUNCTION("""COMPUTED_VALUE"""),174407.0)</f>
        <v>174407</v>
      </c>
      <c r="G45" s="173">
        <f>IFERROR(__xludf.DUMMYFUNCTION("""COMPUTED_VALUE"""),3196.0)</f>
        <v>3196</v>
      </c>
      <c r="H45" s="173">
        <f>IFERROR(__xludf.DUMMYFUNCTION("""COMPUTED_VALUE"""),196658.0)</f>
        <v>196658</v>
      </c>
      <c r="I45" s="235">
        <f>IFERROR(__xludf.DUMMYFUNCTION("""COMPUTED_VALUE"""),100.0)</f>
        <v>100</v>
      </c>
      <c r="J45" s="235">
        <f>IFERROR(__xludf.DUMMYFUNCTION("""COMPUTED_VALUE"""),70.0)</f>
        <v>70</v>
      </c>
      <c r="K45" s="235">
        <f>IFERROR(__xludf.DUMMYFUNCTION("""COMPUTED_VALUE"""),15791.0)</f>
        <v>15791</v>
      </c>
      <c r="L45" s="235">
        <f>IFERROR(__xludf.DUMMYFUNCTION("""COMPUTED_VALUE"""),1447.0)</f>
        <v>1447</v>
      </c>
      <c r="M45" s="235">
        <f>IFERROR(__xludf.DUMMYFUNCTION("""COMPUTED_VALUE"""),110420.0)</f>
        <v>110420</v>
      </c>
      <c r="N45" s="235">
        <f>IFERROR(__xludf.DUMMYFUNCTION("""COMPUTED_VALUE"""),126211.0)</f>
        <v>126211</v>
      </c>
      <c r="O45" s="235">
        <f>IFERROR(__xludf.DUMMYFUNCTION("""COMPUTED_VALUE"""),13.0)</f>
        <v>13</v>
      </c>
      <c r="P45" s="235">
        <f>IFERROR(__xludf.DUMMYFUNCTION("""COMPUTED_VALUE"""),1886.0)</f>
        <v>1886</v>
      </c>
      <c r="Q45" s="235">
        <f>IFERROR(__xludf.DUMMYFUNCTION("""COMPUTED_VALUE"""),12.0)</f>
        <v>12</v>
      </c>
      <c r="R45" s="235">
        <f>IFERROR(__xludf.DUMMYFUNCTION("""COMPUTED_VALUE"""),1464.0)</f>
        <v>1464</v>
      </c>
      <c r="S45" s="235">
        <f>IFERROR(__xludf.DUMMYFUNCTION("""COMPUTED_VALUE"""),2.0)</f>
        <v>2</v>
      </c>
      <c r="T45" s="235">
        <f>IFERROR(__xludf.DUMMYFUNCTION("""COMPUTED_VALUE"""),285.0)</f>
        <v>285</v>
      </c>
      <c r="U45" s="235">
        <f>IFERROR(__xludf.DUMMYFUNCTION("""COMPUTED_VALUE"""),137.0)</f>
        <v>137</v>
      </c>
      <c r="V45" s="235">
        <f>IFERROR(__xludf.DUMMYFUNCTION("""COMPUTED_VALUE"""),141.0)</f>
        <v>141</v>
      </c>
      <c r="W45" s="235">
        <f>IFERROR(__xludf.DUMMYFUNCTION("""COMPUTED_VALUE"""),24.0)</f>
        <v>24</v>
      </c>
      <c r="X45" s="235">
        <f>IFERROR(__xludf.DUMMYFUNCTION("""COMPUTED_VALUE"""),17.0)</f>
        <v>17</v>
      </c>
      <c r="Y45" s="235">
        <f>IFERROR(__xludf.DUMMYFUNCTION("""COMPUTED_VALUE"""),4.0)</f>
        <v>4</v>
      </c>
      <c r="Z45" s="235">
        <f>IFERROR(__xludf.DUMMYFUNCTION("""COMPUTED_VALUE"""),895.0)</f>
        <v>895</v>
      </c>
    </row>
    <row r="46">
      <c r="A46" s="234">
        <f>IFERROR(__xludf.DUMMYFUNCTION("""COMPUTED_VALUE"""),43993.0)</f>
        <v>43993</v>
      </c>
      <c r="B46" s="235">
        <f>IFERROR(__xludf.DUMMYFUNCTION("""COMPUTED_VALUE"""),195.0)</f>
        <v>195</v>
      </c>
      <c r="C46" s="235">
        <f>IFERROR(__xludf.DUMMYFUNCTION("""COMPUTED_VALUE"""),209.0)</f>
        <v>209</v>
      </c>
      <c r="D46" s="235">
        <f>IFERROR(__xludf.DUMMYFUNCTION("""COMPUTED_VALUE"""),22446.0)</f>
        <v>22446</v>
      </c>
      <c r="E46" s="235">
        <f>IFERROR(__xludf.DUMMYFUNCTION("""COMPUTED_VALUE"""),3513.0)</f>
        <v>3513</v>
      </c>
      <c r="F46" s="173">
        <f>IFERROR(__xludf.DUMMYFUNCTION("""COMPUTED_VALUE"""),177920.0)</f>
        <v>177920</v>
      </c>
      <c r="G46" s="173">
        <f>IFERROR(__xludf.DUMMYFUNCTION("""COMPUTED_VALUE"""),3708.0)</f>
        <v>3708</v>
      </c>
      <c r="H46" s="173">
        <f>IFERROR(__xludf.DUMMYFUNCTION("""COMPUTED_VALUE"""),200366.0)</f>
        <v>200366</v>
      </c>
      <c r="I46" s="235">
        <f>IFERROR(__xludf.DUMMYFUNCTION("""COMPUTED_VALUE"""),88.0)</f>
        <v>88</v>
      </c>
      <c r="J46" s="235">
        <f>IFERROR(__xludf.DUMMYFUNCTION("""COMPUTED_VALUE"""),84.0)</f>
        <v>84</v>
      </c>
      <c r="K46" s="235">
        <f>IFERROR(__xludf.DUMMYFUNCTION("""COMPUTED_VALUE"""),15879.0)</f>
        <v>15879</v>
      </c>
      <c r="L46" s="235">
        <f>IFERROR(__xludf.DUMMYFUNCTION("""COMPUTED_VALUE"""),1510.0)</f>
        <v>1510</v>
      </c>
      <c r="M46" s="235">
        <f>IFERROR(__xludf.DUMMYFUNCTION("""COMPUTED_VALUE"""),111930.0)</f>
        <v>111930</v>
      </c>
      <c r="N46" s="235">
        <f>IFERROR(__xludf.DUMMYFUNCTION("""COMPUTED_VALUE"""),127809.0)</f>
        <v>127809</v>
      </c>
      <c r="O46" s="235">
        <f>IFERROR(__xludf.DUMMYFUNCTION("""COMPUTED_VALUE"""),7.0)</f>
        <v>7</v>
      </c>
      <c r="P46" s="235">
        <f>IFERROR(__xludf.DUMMYFUNCTION("""COMPUTED_VALUE"""),1893.0)</f>
        <v>1893</v>
      </c>
      <c r="Q46" s="235">
        <f>IFERROR(__xludf.DUMMYFUNCTION("""COMPUTED_VALUE"""),15.0)</f>
        <v>15</v>
      </c>
      <c r="R46" s="235">
        <f>IFERROR(__xludf.DUMMYFUNCTION("""COMPUTED_VALUE"""),1479.0)</f>
        <v>1479</v>
      </c>
      <c r="S46" s="235">
        <f>IFERROR(__xludf.DUMMYFUNCTION("""COMPUTED_VALUE"""),1.0)</f>
        <v>1</v>
      </c>
      <c r="T46" s="235">
        <f>IFERROR(__xludf.DUMMYFUNCTION("""COMPUTED_VALUE"""),286.0)</f>
        <v>286</v>
      </c>
      <c r="U46" s="235">
        <f>IFERROR(__xludf.DUMMYFUNCTION("""COMPUTED_VALUE"""),128.0)</f>
        <v>128</v>
      </c>
      <c r="V46" s="235">
        <f>IFERROR(__xludf.DUMMYFUNCTION("""COMPUTED_VALUE"""),134.0)</f>
        <v>134</v>
      </c>
      <c r="W46" s="235">
        <f>IFERROR(__xludf.DUMMYFUNCTION("""COMPUTED_VALUE"""),25.0)</f>
        <v>25</v>
      </c>
      <c r="X46" s="235">
        <f>IFERROR(__xludf.DUMMYFUNCTION("""COMPUTED_VALUE"""),16.0)</f>
        <v>16</v>
      </c>
      <c r="Y46" s="235">
        <f>IFERROR(__xludf.DUMMYFUNCTION("""COMPUTED_VALUE"""),6.0)</f>
        <v>6</v>
      </c>
      <c r="Z46" s="235">
        <f>IFERROR(__xludf.DUMMYFUNCTION("""COMPUTED_VALUE"""),901.0)</f>
        <v>901</v>
      </c>
    </row>
    <row r="47">
      <c r="A47" s="234">
        <f>IFERROR(__xludf.DUMMYFUNCTION("""COMPUTED_VALUE"""),43994.0)</f>
        <v>43994</v>
      </c>
      <c r="B47" s="235">
        <f>IFERROR(__xludf.DUMMYFUNCTION("""COMPUTED_VALUE"""),209.0)</f>
        <v>209</v>
      </c>
      <c r="C47" s="235">
        <f>IFERROR(__xludf.DUMMYFUNCTION("""COMPUTED_VALUE"""),204.0)</f>
        <v>204</v>
      </c>
      <c r="D47" s="235">
        <f>IFERROR(__xludf.DUMMYFUNCTION("""COMPUTED_VALUE"""),22655.0)</f>
        <v>22655</v>
      </c>
      <c r="E47" s="235">
        <f>IFERROR(__xludf.DUMMYFUNCTION("""COMPUTED_VALUE"""),4601.0)</f>
        <v>4601</v>
      </c>
      <c r="F47" s="173">
        <f>IFERROR(__xludf.DUMMYFUNCTION("""COMPUTED_VALUE"""),182521.0)</f>
        <v>182521</v>
      </c>
      <c r="G47" s="173">
        <f>IFERROR(__xludf.DUMMYFUNCTION("""COMPUTED_VALUE"""),4810.0)</f>
        <v>4810</v>
      </c>
      <c r="H47" s="173">
        <f>IFERROR(__xludf.DUMMYFUNCTION("""COMPUTED_VALUE"""),205176.0)</f>
        <v>205176</v>
      </c>
      <c r="I47" s="235">
        <f>IFERROR(__xludf.DUMMYFUNCTION("""COMPUTED_VALUE"""),78.0)</f>
        <v>78</v>
      </c>
      <c r="J47" s="235">
        <f>IFERROR(__xludf.DUMMYFUNCTION("""COMPUTED_VALUE"""),89.0)</f>
        <v>89</v>
      </c>
      <c r="K47" s="235">
        <f>IFERROR(__xludf.DUMMYFUNCTION("""COMPUTED_VALUE"""),15957.0)</f>
        <v>15957</v>
      </c>
      <c r="L47" s="235">
        <f>IFERROR(__xludf.DUMMYFUNCTION("""COMPUTED_VALUE"""),2153.0)</f>
        <v>2153</v>
      </c>
      <c r="M47" s="235">
        <f>IFERROR(__xludf.DUMMYFUNCTION("""COMPUTED_VALUE"""),114083.0)</f>
        <v>114083</v>
      </c>
      <c r="N47" s="235">
        <f>IFERROR(__xludf.DUMMYFUNCTION("""COMPUTED_VALUE"""),130040.0)</f>
        <v>130040</v>
      </c>
      <c r="O47" s="235">
        <f>IFERROR(__xludf.DUMMYFUNCTION("""COMPUTED_VALUE"""),9.0)</f>
        <v>9</v>
      </c>
      <c r="P47" s="235">
        <f>IFERROR(__xludf.DUMMYFUNCTION("""COMPUTED_VALUE"""),1902.0)</f>
        <v>1902</v>
      </c>
      <c r="Q47" s="235">
        <f>IFERROR(__xludf.DUMMYFUNCTION("""COMPUTED_VALUE"""),16.0)</f>
        <v>16</v>
      </c>
      <c r="R47" s="235">
        <f>IFERROR(__xludf.DUMMYFUNCTION("""COMPUTED_VALUE"""),1495.0)</f>
        <v>1495</v>
      </c>
      <c r="S47" s="235">
        <f>IFERROR(__xludf.DUMMYFUNCTION("""COMPUTED_VALUE"""),1.0)</f>
        <v>1</v>
      </c>
      <c r="T47" s="235">
        <f>IFERROR(__xludf.DUMMYFUNCTION("""COMPUTED_VALUE"""),287.0)</f>
        <v>287</v>
      </c>
      <c r="U47" s="235">
        <f>IFERROR(__xludf.DUMMYFUNCTION("""COMPUTED_VALUE"""),120.0)</f>
        <v>120</v>
      </c>
      <c r="V47" s="235">
        <f>IFERROR(__xludf.DUMMYFUNCTION("""COMPUTED_VALUE"""),128.0)</f>
        <v>128</v>
      </c>
      <c r="W47" s="235">
        <f>IFERROR(__xludf.DUMMYFUNCTION("""COMPUTED_VALUE"""),24.0)</f>
        <v>24</v>
      </c>
      <c r="X47" s="235">
        <f>IFERROR(__xludf.DUMMYFUNCTION("""COMPUTED_VALUE"""),16.0)</f>
        <v>16</v>
      </c>
      <c r="Y47" s="235">
        <f>IFERROR(__xludf.DUMMYFUNCTION("""COMPUTED_VALUE"""),2.0)</f>
        <v>2</v>
      </c>
      <c r="Z47" s="235">
        <f>IFERROR(__xludf.DUMMYFUNCTION("""COMPUTED_VALUE"""),903.0)</f>
        <v>903</v>
      </c>
    </row>
    <row r="48">
      <c r="A48" s="234">
        <f>IFERROR(__xludf.DUMMYFUNCTION("""COMPUTED_VALUE"""),43995.0)</f>
        <v>43995</v>
      </c>
      <c r="B48" s="235">
        <f>IFERROR(__xludf.DUMMYFUNCTION("""COMPUTED_VALUE"""),113.0)</f>
        <v>113</v>
      </c>
      <c r="C48" s="235">
        <f>IFERROR(__xludf.DUMMYFUNCTION("""COMPUTED_VALUE"""),172.0)</f>
        <v>172</v>
      </c>
      <c r="D48" s="235">
        <f>IFERROR(__xludf.DUMMYFUNCTION("""COMPUTED_VALUE"""),22768.0)</f>
        <v>22768</v>
      </c>
      <c r="E48" s="235">
        <f>IFERROR(__xludf.DUMMYFUNCTION("""COMPUTED_VALUE"""),3036.0)</f>
        <v>3036</v>
      </c>
      <c r="F48" s="173">
        <f>IFERROR(__xludf.DUMMYFUNCTION("""COMPUTED_VALUE"""),185557.0)</f>
        <v>185557</v>
      </c>
      <c r="G48" s="173">
        <f>IFERROR(__xludf.DUMMYFUNCTION("""COMPUTED_VALUE"""),3149.0)</f>
        <v>3149</v>
      </c>
      <c r="H48" s="173">
        <f>IFERROR(__xludf.DUMMYFUNCTION("""COMPUTED_VALUE"""),208325.0)</f>
        <v>208325</v>
      </c>
      <c r="I48" s="235">
        <f>IFERROR(__xludf.DUMMYFUNCTION("""COMPUTED_VALUE"""),49.0)</f>
        <v>49</v>
      </c>
      <c r="J48" s="235">
        <f>IFERROR(__xludf.DUMMYFUNCTION("""COMPUTED_VALUE"""),72.0)</f>
        <v>72</v>
      </c>
      <c r="K48" s="235">
        <f>IFERROR(__xludf.DUMMYFUNCTION("""COMPUTED_VALUE"""),16006.0)</f>
        <v>16006</v>
      </c>
      <c r="L48" s="235">
        <f>IFERROR(__xludf.DUMMYFUNCTION("""COMPUTED_VALUE"""),1357.0)</f>
        <v>1357</v>
      </c>
      <c r="M48" s="235">
        <f>IFERROR(__xludf.DUMMYFUNCTION("""COMPUTED_VALUE"""),115440.0)</f>
        <v>115440</v>
      </c>
      <c r="N48" s="235">
        <f>IFERROR(__xludf.DUMMYFUNCTION("""COMPUTED_VALUE"""),131446.0)</f>
        <v>131446</v>
      </c>
      <c r="O48" s="235">
        <f>IFERROR(__xludf.DUMMYFUNCTION("""COMPUTED_VALUE"""),6.0)</f>
        <v>6</v>
      </c>
      <c r="P48" s="235">
        <f>IFERROR(__xludf.DUMMYFUNCTION("""COMPUTED_VALUE"""),1908.0)</f>
        <v>1908</v>
      </c>
      <c r="Q48" s="235">
        <f>IFERROR(__xludf.DUMMYFUNCTION("""COMPUTED_VALUE"""),5.0)</f>
        <v>5</v>
      </c>
      <c r="R48" s="235">
        <f>IFERROR(__xludf.DUMMYFUNCTION("""COMPUTED_VALUE"""),1500.0)</f>
        <v>1500</v>
      </c>
      <c r="S48" s="235">
        <f>IFERROR(__xludf.DUMMYFUNCTION("""COMPUTED_VALUE"""),0.0)</f>
        <v>0</v>
      </c>
      <c r="T48" s="235">
        <f>IFERROR(__xludf.DUMMYFUNCTION("""COMPUTED_VALUE"""),287.0)</f>
        <v>287</v>
      </c>
      <c r="U48" s="235">
        <f>IFERROR(__xludf.DUMMYFUNCTION("""COMPUTED_VALUE"""),121.0)</f>
        <v>121</v>
      </c>
      <c r="V48" s="235">
        <f>IFERROR(__xludf.DUMMYFUNCTION("""COMPUTED_VALUE"""),123.0)</f>
        <v>123</v>
      </c>
      <c r="W48" s="235">
        <f>IFERROR(__xludf.DUMMYFUNCTION("""COMPUTED_VALUE"""),20.0)</f>
        <v>20</v>
      </c>
      <c r="X48" s="235">
        <f>IFERROR(__xludf.DUMMYFUNCTION("""COMPUTED_VALUE"""),15.0)</f>
        <v>15</v>
      </c>
      <c r="Y48" s="235">
        <f>IFERROR(__xludf.DUMMYFUNCTION("""COMPUTED_VALUE"""),3.0)</f>
        <v>3</v>
      </c>
      <c r="Z48" s="235">
        <f>IFERROR(__xludf.DUMMYFUNCTION("""COMPUTED_VALUE"""),906.0)</f>
        <v>906</v>
      </c>
    </row>
    <row r="49">
      <c r="A49" s="234">
        <f>IFERROR(__xludf.DUMMYFUNCTION("""COMPUTED_VALUE"""),43996.0)</f>
        <v>43996</v>
      </c>
      <c r="B49" s="235">
        <f>IFERROR(__xludf.DUMMYFUNCTION("""COMPUTED_VALUE"""),81.0)</f>
        <v>81</v>
      </c>
      <c r="C49" s="235">
        <f>IFERROR(__xludf.DUMMYFUNCTION("""COMPUTED_VALUE"""),134.0)</f>
        <v>134</v>
      </c>
      <c r="D49" s="235">
        <f>IFERROR(__xludf.DUMMYFUNCTION("""COMPUTED_VALUE"""),22849.0)</f>
        <v>22849</v>
      </c>
      <c r="E49" s="235">
        <f>IFERROR(__xludf.DUMMYFUNCTION("""COMPUTED_VALUE"""),2046.0)</f>
        <v>2046</v>
      </c>
      <c r="F49" s="173">
        <f>IFERROR(__xludf.DUMMYFUNCTION("""COMPUTED_VALUE"""),187603.0)</f>
        <v>187603</v>
      </c>
      <c r="G49" s="173">
        <f>IFERROR(__xludf.DUMMYFUNCTION("""COMPUTED_VALUE"""),2127.0)</f>
        <v>2127</v>
      </c>
      <c r="H49" s="173">
        <f>IFERROR(__xludf.DUMMYFUNCTION("""COMPUTED_VALUE"""),210452.0)</f>
        <v>210452</v>
      </c>
      <c r="I49" s="235">
        <f>IFERROR(__xludf.DUMMYFUNCTION("""COMPUTED_VALUE"""),33.0)</f>
        <v>33</v>
      </c>
      <c r="J49" s="235">
        <f>IFERROR(__xludf.DUMMYFUNCTION("""COMPUTED_VALUE"""),53.0)</f>
        <v>53</v>
      </c>
      <c r="K49" s="235">
        <f>IFERROR(__xludf.DUMMYFUNCTION("""COMPUTED_VALUE"""),16039.0)</f>
        <v>16039</v>
      </c>
      <c r="L49" s="235">
        <f>IFERROR(__xludf.DUMMYFUNCTION("""COMPUTED_VALUE"""),957.0)</f>
        <v>957</v>
      </c>
      <c r="M49" s="235">
        <f>IFERROR(__xludf.DUMMYFUNCTION("""COMPUTED_VALUE"""),116397.0)</f>
        <v>116397</v>
      </c>
      <c r="N49" s="235">
        <f>IFERROR(__xludf.DUMMYFUNCTION("""COMPUTED_VALUE"""),132436.0)</f>
        <v>132436</v>
      </c>
      <c r="O49" s="235">
        <f>IFERROR(__xludf.DUMMYFUNCTION("""COMPUTED_VALUE"""),7.0)</f>
        <v>7</v>
      </c>
      <c r="P49" s="235">
        <f>IFERROR(__xludf.DUMMYFUNCTION("""COMPUTED_VALUE"""),1915.0)</f>
        <v>1915</v>
      </c>
      <c r="Q49" s="235">
        <f>IFERROR(__xludf.DUMMYFUNCTION("""COMPUTED_VALUE"""),8.0)</f>
        <v>8</v>
      </c>
      <c r="R49" s="235">
        <f>IFERROR(__xludf.DUMMYFUNCTION("""COMPUTED_VALUE"""),1508.0)</f>
        <v>1508</v>
      </c>
      <c r="S49" s="235">
        <f>IFERROR(__xludf.DUMMYFUNCTION("""COMPUTED_VALUE"""),1.0)</f>
        <v>1</v>
      </c>
      <c r="T49" s="235">
        <f>IFERROR(__xludf.DUMMYFUNCTION("""COMPUTED_VALUE"""),288.0)</f>
        <v>288</v>
      </c>
      <c r="U49" s="235">
        <f>IFERROR(__xludf.DUMMYFUNCTION("""COMPUTED_VALUE"""),119.0)</f>
        <v>119</v>
      </c>
      <c r="V49" s="235">
        <f>IFERROR(__xludf.DUMMYFUNCTION("""COMPUTED_VALUE"""),120.0)</f>
        <v>120</v>
      </c>
      <c r="W49" s="235">
        <f>IFERROR(__xludf.DUMMYFUNCTION("""COMPUTED_VALUE"""),20.0)</f>
        <v>20</v>
      </c>
      <c r="X49" s="235">
        <f>IFERROR(__xludf.DUMMYFUNCTION("""COMPUTED_VALUE"""),14.0)</f>
        <v>14</v>
      </c>
      <c r="Y49" s="235">
        <f>IFERROR(__xludf.DUMMYFUNCTION("""COMPUTED_VALUE"""),3.0)</f>
        <v>3</v>
      </c>
      <c r="Z49" s="235">
        <f>IFERROR(__xludf.DUMMYFUNCTION("""COMPUTED_VALUE"""),909.0)</f>
        <v>909</v>
      </c>
    </row>
    <row r="50">
      <c r="A50" s="234">
        <f>IFERROR(__xludf.DUMMYFUNCTION("""COMPUTED_VALUE"""),43997.0)</f>
        <v>43997</v>
      </c>
      <c r="B50" s="235">
        <f>IFERROR(__xludf.DUMMYFUNCTION("""COMPUTED_VALUE"""),188.0)</f>
        <v>188</v>
      </c>
      <c r="C50" s="235">
        <f>IFERROR(__xludf.DUMMYFUNCTION("""COMPUTED_VALUE"""),127.0)</f>
        <v>127</v>
      </c>
      <c r="D50" s="235">
        <f>IFERROR(__xludf.DUMMYFUNCTION("""COMPUTED_VALUE"""),23037.0)</f>
        <v>23037</v>
      </c>
      <c r="E50" s="235">
        <f>IFERROR(__xludf.DUMMYFUNCTION("""COMPUTED_VALUE"""),3108.0)</f>
        <v>3108</v>
      </c>
      <c r="F50" s="173">
        <f>IFERROR(__xludf.DUMMYFUNCTION("""COMPUTED_VALUE"""),190711.0)</f>
        <v>190711</v>
      </c>
      <c r="G50" s="173">
        <f>IFERROR(__xludf.DUMMYFUNCTION("""COMPUTED_VALUE"""),3296.0)</f>
        <v>3296</v>
      </c>
      <c r="H50" s="173">
        <f>IFERROR(__xludf.DUMMYFUNCTION("""COMPUTED_VALUE"""),213748.0)</f>
        <v>213748</v>
      </c>
      <c r="I50" s="235">
        <f>IFERROR(__xludf.DUMMYFUNCTION("""COMPUTED_VALUE"""),75.0)</f>
        <v>75</v>
      </c>
      <c r="J50" s="235">
        <f>IFERROR(__xludf.DUMMYFUNCTION("""COMPUTED_VALUE"""),52.0)</f>
        <v>52</v>
      </c>
      <c r="K50" s="235">
        <f>IFERROR(__xludf.DUMMYFUNCTION("""COMPUTED_VALUE"""),16114.0)</f>
        <v>16114</v>
      </c>
      <c r="L50" s="235">
        <f>IFERROR(__xludf.DUMMYFUNCTION("""COMPUTED_VALUE"""),1762.0)</f>
        <v>1762</v>
      </c>
      <c r="M50" s="235">
        <f>IFERROR(__xludf.DUMMYFUNCTION("""COMPUTED_VALUE"""),118159.0)</f>
        <v>118159</v>
      </c>
      <c r="N50" s="235">
        <f>IFERROR(__xludf.DUMMYFUNCTION("""COMPUTED_VALUE"""),134273.0)</f>
        <v>134273</v>
      </c>
      <c r="O50" s="235">
        <f>IFERROR(__xludf.DUMMYFUNCTION("""COMPUTED_VALUE"""),14.0)</f>
        <v>14</v>
      </c>
      <c r="P50" s="235">
        <f>IFERROR(__xludf.DUMMYFUNCTION("""COMPUTED_VALUE"""),1929.0)</f>
        <v>1929</v>
      </c>
      <c r="Q50" s="235">
        <f>IFERROR(__xludf.DUMMYFUNCTION("""COMPUTED_VALUE"""),19.0)</f>
        <v>19</v>
      </c>
      <c r="R50" s="235">
        <f>IFERROR(__xludf.DUMMYFUNCTION("""COMPUTED_VALUE"""),1527.0)</f>
        <v>1527</v>
      </c>
      <c r="S50" s="235">
        <f>IFERROR(__xludf.DUMMYFUNCTION("""COMPUTED_VALUE"""),0.0)</f>
        <v>0</v>
      </c>
      <c r="T50" s="235">
        <f>IFERROR(__xludf.DUMMYFUNCTION("""COMPUTED_VALUE"""),288.0)</f>
        <v>288</v>
      </c>
      <c r="U50" s="235">
        <f>IFERROR(__xludf.DUMMYFUNCTION("""COMPUTED_VALUE"""),114.0)</f>
        <v>114</v>
      </c>
      <c r="V50" s="235">
        <f>IFERROR(__xludf.DUMMYFUNCTION("""COMPUTED_VALUE"""),118.0)</f>
        <v>118</v>
      </c>
      <c r="W50" s="235">
        <f>IFERROR(__xludf.DUMMYFUNCTION("""COMPUTED_VALUE"""),20.0)</f>
        <v>20</v>
      </c>
      <c r="X50" s="235">
        <f>IFERROR(__xludf.DUMMYFUNCTION("""COMPUTED_VALUE"""),16.0)</f>
        <v>16</v>
      </c>
      <c r="Y50" s="235">
        <f>IFERROR(__xludf.DUMMYFUNCTION("""COMPUTED_VALUE"""),5.0)</f>
        <v>5</v>
      </c>
      <c r="Z50" s="235">
        <f>IFERROR(__xludf.DUMMYFUNCTION("""COMPUTED_VALUE"""),914.0)</f>
        <v>914</v>
      </c>
    </row>
    <row r="51">
      <c r="A51" s="234">
        <f>IFERROR(__xludf.DUMMYFUNCTION("""COMPUTED_VALUE"""),43998.0)</f>
        <v>43998</v>
      </c>
      <c r="B51" s="235">
        <f>IFERROR(__xludf.DUMMYFUNCTION("""COMPUTED_VALUE"""),110.0)</f>
        <v>110</v>
      </c>
      <c r="C51" s="235">
        <f>IFERROR(__xludf.DUMMYFUNCTION("""COMPUTED_VALUE"""),126.0)</f>
        <v>126</v>
      </c>
      <c r="D51" s="235">
        <f>IFERROR(__xludf.DUMMYFUNCTION("""COMPUTED_VALUE"""),23147.0)</f>
        <v>23147</v>
      </c>
      <c r="E51" s="235">
        <f>IFERROR(__xludf.DUMMYFUNCTION("""COMPUTED_VALUE"""),3017.0)</f>
        <v>3017</v>
      </c>
      <c r="F51" s="173">
        <f>IFERROR(__xludf.DUMMYFUNCTION("""COMPUTED_VALUE"""),193728.0)</f>
        <v>193728</v>
      </c>
      <c r="G51" s="173">
        <f>IFERROR(__xludf.DUMMYFUNCTION("""COMPUTED_VALUE"""),3127.0)</f>
        <v>3127</v>
      </c>
      <c r="H51" s="173">
        <f>IFERROR(__xludf.DUMMYFUNCTION("""COMPUTED_VALUE"""),216875.0)</f>
        <v>216875</v>
      </c>
      <c r="I51" s="235">
        <f>IFERROR(__xludf.DUMMYFUNCTION("""COMPUTED_VALUE"""),50.0)</f>
        <v>50</v>
      </c>
      <c r="J51" s="235">
        <f>IFERROR(__xludf.DUMMYFUNCTION("""COMPUTED_VALUE"""),53.0)</f>
        <v>53</v>
      </c>
      <c r="K51" s="235">
        <f>IFERROR(__xludf.DUMMYFUNCTION("""COMPUTED_VALUE"""),16164.0)</f>
        <v>16164</v>
      </c>
      <c r="L51" s="235">
        <f>IFERROR(__xludf.DUMMYFUNCTION("""COMPUTED_VALUE"""),1516.0)</f>
        <v>1516</v>
      </c>
      <c r="M51" s="235">
        <f>IFERROR(__xludf.DUMMYFUNCTION("""COMPUTED_VALUE"""),119675.0)</f>
        <v>119675</v>
      </c>
      <c r="N51" s="235">
        <f>IFERROR(__xludf.DUMMYFUNCTION("""COMPUTED_VALUE"""),135839.0)</f>
        <v>135839</v>
      </c>
      <c r="O51" s="235">
        <f>IFERROR(__xludf.DUMMYFUNCTION("""COMPUTED_VALUE"""),11.0)</f>
        <v>11</v>
      </c>
      <c r="P51" s="235">
        <f>IFERROR(__xludf.DUMMYFUNCTION("""COMPUTED_VALUE"""),1940.0)</f>
        <v>1940</v>
      </c>
      <c r="Q51" s="235">
        <f>IFERROR(__xludf.DUMMYFUNCTION("""COMPUTED_VALUE"""),9.0)</f>
        <v>9</v>
      </c>
      <c r="R51" s="235">
        <f>IFERROR(__xludf.DUMMYFUNCTION("""COMPUTED_VALUE"""),1536.0)</f>
        <v>1536</v>
      </c>
      <c r="S51" s="235">
        <f>IFERROR(__xludf.DUMMYFUNCTION("""COMPUTED_VALUE"""),1.0)</f>
        <v>1</v>
      </c>
      <c r="T51" s="235">
        <f>IFERROR(__xludf.DUMMYFUNCTION("""COMPUTED_VALUE"""),289.0)</f>
        <v>289</v>
      </c>
      <c r="U51" s="235">
        <f>IFERROR(__xludf.DUMMYFUNCTION("""COMPUTED_VALUE"""),115.0)</f>
        <v>115</v>
      </c>
      <c r="V51" s="235">
        <f>IFERROR(__xludf.DUMMYFUNCTION("""COMPUTED_VALUE"""),116.0)</f>
        <v>116</v>
      </c>
      <c r="W51" s="235">
        <f>IFERROR(__xludf.DUMMYFUNCTION("""COMPUTED_VALUE"""),22.0)</f>
        <v>22</v>
      </c>
      <c r="X51" s="235">
        <f>IFERROR(__xludf.DUMMYFUNCTION("""COMPUTED_VALUE"""),16.0)</f>
        <v>16</v>
      </c>
      <c r="Y51" s="235">
        <f>IFERROR(__xludf.DUMMYFUNCTION("""COMPUTED_VALUE"""),8.0)</f>
        <v>8</v>
      </c>
      <c r="Z51" s="235">
        <f>IFERROR(__xludf.DUMMYFUNCTION("""COMPUTED_VALUE"""),922.0)</f>
        <v>922</v>
      </c>
    </row>
    <row r="52">
      <c r="A52" s="234">
        <f>IFERROR(__xludf.DUMMYFUNCTION("""COMPUTED_VALUE"""),43999.0)</f>
        <v>43999</v>
      </c>
      <c r="B52" s="235">
        <f>IFERROR(__xludf.DUMMYFUNCTION("""COMPUTED_VALUE"""),127.0)</f>
        <v>127</v>
      </c>
      <c r="C52" s="235">
        <f>IFERROR(__xludf.DUMMYFUNCTION("""COMPUTED_VALUE"""),142.0)</f>
        <v>142</v>
      </c>
      <c r="D52" s="235">
        <f>IFERROR(__xludf.DUMMYFUNCTION("""COMPUTED_VALUE"""),23274.0)</f>
        <v>23274</v>
      </c>
      <c r="E52" s="235">
        <f>IFERROR(__xludf.DUMMYFUNCTION("""COMPUTED_VALUE"""),2835.0)</f>
        <v>2835</v>
      </c>
      <c r="F52" s="173">
        <f>IFERROR(__xludf.DUMMYFUNCTION("""COMPUTED_VALUE"""),196563.0)</f>
        <v>196563</v>
      </c>
      <c r="G52" s="173">
        <f>IFERROR(__xludf.DUMMYFUNCTION("""COMPUTED_VALUE"""),2962.0)</f>
        <v>2962</v>
      </c>
      <c r="H52" s="173">
        <f>IFERROR(__xludf.DUMMYFUNCTION("""COMPUTED_VALUE"""),219837.0)</f>
        <v>219837</v>
      </c>
      <c r="I52" s="235">
        <f>IFERROR(__xludf.DUMMYFUNCTION("""COMPUTED_VALUE"""),50.0)</f>
        <v>50</v>
      </c>
      <c r="J52" s="235">
        <f>IFERROR(__xludf.DUMMYFUNCTION("""COMPUTED_VALUE"""),58.0)</f>
        <v>58</v>
      </c>
      <c r="K52" s="235">
        <f>IFERROR(__xludf.DUMMYFUNCTION("""COMPUTED_VALUE"""),16214.0)</f>
        <v>16214</v>
      </c>
      <c r="L52" s="235">
        <f>IFERROR(__xludf.DUMMYFUNCTION("""COMPUTED_VALUE"""),1295.0)</f>
        <v>1295</v>
      </c>
      <c r="M52" s="235">
        <f>IFERROR(__xludf.DUMMYFUNCTION("""COMPUTED_VALUE"""),120970.0)</f>
        <v>120970</v>
      </c>
      <c r="N52" s="235">
        <f>IFERROR(__xludf.DUMMYFUNCTION("""COMPUTED_VALUE"""),137184.0)</f>
        <v>137184</v>
      </c>
      <c r="O52" s="235">
        <f>IFERROR(__xludf.DUMMYFUNCTION("""COMPUTED_VALUE"""),15.0)</f>
        <v>15</v>
      </c>
      <c r="P52" s="235">
        <f>IFERROR(__xludf.DUMMYFUNCTION("""COMPUTED_VALUE"""),1955.0)</f>
        <v>1955</v>
      </c>
      <c r="Q52" s="235">
        <f>IFERROR(__xludf.DUMMYFUNCTION("""COMPUTED_VALUE"""),21.0)</f>
        <v>21</v>
      </c>
      <c r="R52" s="235">
        <f>IFERROR(__xludf.DUMMYFUNCTION("""COMPUTED_VALUE"""),1557.0)</f>
        <v>1557</v>
      </c>
      <c r="S52" s="235">
        <f>IFERROR(__xludf.DUMMYFUNCTION("""COMPUTED_VALUE"""),4.0)</f>
        <v>4</v>
      </c>
      <c r="T52" s="235">
        <f>IFERROR(__xludf.DUMMYFUNCTION("""COMPUTED_VALUE"""),293.0)</f>
        <v>293</v>
      </c>
      <c r="U52" s="235">
        <f>IFERROR(__xludf.DUMMYFUNCTION("""COMPUTED_VALUE"""),105.0)</f>
        <v>105</v>
      </c>
      <c r="V52" s="235">
        <f>IFERROR(__xludf.DUMMYFUNCTION("""COMPUTED_VALUE"""),111.0)</f>
        <v>111</v>
      </c>
      <c r="W52" s="235">
        <f>IFERROR(__xludf.DUMMYFUNCTION("""COMPUTED_VALUE"""),18.0)</f>
        <v>18</v>
      </c>
      <c r="X52" s="235">
        <f>IFERROR(__xludf.DUMMYFUNCTION("""COMPUTED_VALUE"""),14.0)</f>
        <v>14</v>
      </c>
      <c r="Y52" s="235">
        <f>IFERROR(__xludf.DUMMYFUNCTION("""COMPUTED_VALUE"""),6.0)</f>
        <v>6</v>
      </c>
      <c r="Z52" s="235">
        <f>IFERROR(__xludf.DUMMYFUNCTION("""COMPUTED_VALUE"""),928.0)</f>
        <v>928</v>
      </c>
    </row>
    <row r="53">
      <c r="A53" s="234">
        <f>IFERROR(__xludf.DUMMYFUNCTION("""COMPUTED_VALUE"""),44000.0)</f>
        <v>44000</v>
      </c>
      <c r="B53" s="235">
        <f>IFERROR(__xludf.DUMMYFUNCTION("""COMPUTED_VALUE"""),149.0)</f>
        <v>149</v>
      </c>
      <c r="C53" s="235">
        <f>IFERROR(__xludf.DUMMYFUNCTION("""COMPUTED_VALUE"""),129.0)</f>
        <v>129</v>
      </c>
      <c r="D53" s="235">
        <f>IFERROR(__xludf.DUMMYFUNCTION("""COMPUTED_VALUE"""),23423.0)</f>
        <v>23423</v>
      </c>
      <c r="E53" s="235">
        <f>IFERROR(__xludf.DUMMYFUNCTION("""COMPUTED_VALUE"""),3048.0)</f>
        <v>3048</v>
      </c>
      <c r="F53" s="173">
        <f>IFERROR(__xludf.DUMMYFUNCTION("""COMPUTED_VALUE"""),199611.0)</f>
        <v>199611</v>
      </c>
      <c r="G53" s="173">
        <f>IFERROR(__xludf.DUMMYFUNCTION("""COMPUTED_VALUE"""),3197.0)</f>
        <v>3197</v>
      </c>
      <c r="H53" s="173">
        <f>IFERROR(__xludf.DUMMYFUNCTION("""COMPUTED_VALUE"""),223034.0)</f>
        <v>223034</v>
      </c>
      <c r="I53" s="235">
        <f>IFERROR(__xludf.DUMMYFUNCTION("""COMPUTED_VALUE"""),70.0)</f>
        <v>70</v>
      </c>
      <c r="J53" s="235">
        <f>IFERROR(__xludf.DUMMYFUNCTION("""COMPUTED_VALUE"""),57.0)</f>
        <v>57</v>
      </c>
      <c r="K53" s="235">
        <f>IFERROR(__xludf.DUMMYFUNCTION("""COMPUTED_VALUE"""),16284.0)</f>
        <v>16284</v>
      </c>
      <c r="L53" s="235">
        <f>IFERROR(__xludf.DUMMYFUNCTION("""COMPUTED_VALUE"""),1304.0)</f>
        <v>1304</v>
      </c>
      <c r="M53" s="235">
        <f>IFERROR(__xludf.DUMMYFUNCTION("""COMPUTED_VALUE"""),122274.0)</f>
        <v>122274</v>
      </c>
      <c r="N53" s="235">
        <f>IFERROR(__xludf.DUMMYFUNCTION("""COMPUTED_VALUE"""),138558.0)</f>
        <v>138558</v>
      </c>
      <c r="O53" s="235">
        <f>IFERROR(__xludf.DUMMYFUNCTION("""COMPUTED_VALUE"""),9.0)</f>
        <v>9</v>
      </c>
      <c r="P53" s="235">
        <f>IFERROR(__xludf.DUMMYFUNCTION("""COMPUTED_VALUE"""),1964.0)</f>
        <v>1964</v>
      </c>
      <c r="Q53" s="235">
        <f>IFERROR(__xludf.DUMMYFUNCTION("""COMPUTED_VALUE"""),15.0)</f>
        <v>15</v>
      </c>
      <c r="R53" s="235">
        <f>IFERROR(__xludf.DUMMYFUNCTION("""COMPUTED_VALUE"""),1572.0)</f>
        <v>1572</v>
      </c>
      <c r="S53" s="235">
        <f>IFERROR(__xludf.DUMMYFUNCTION("""COMPUTED_VALUE"""),1.0)</f>
        <v>1</v>
      </c>
      <c r="T53" s="235">
        <f>IFERROR(__xludf.DUMMYFUNCTION("""COMPUTED_VALUE"""),294.0)</f>
        <v>294</v>
      </c>
      <c r="U53" s="235">
        <f>IFERROR(__xludf.DUMMYFUNCTION("""COMPUTED_VALUE"""),98.0)</f>
        <v>98</v>
      </c>
      <c r="V53" s="235">
        <f>IFERROR(__xludf.DUMMYFUNCTION("""COMPUTED_VALUE"""),106.0)</f>
        <v>106</v>
      </c>
      <c r="W53" s="235">
        <f>IFERROR(__xludf.DUMMYFUNCTION("""COMPUTED_VALUE"""),19.0)</f>
        <v>19</v>
      </c>
      <c r="X53" s="235">
        <f>IFERROR(__xludf.DUMMYFUNCTION("""COMPUTED_VALUE"""),16.0)</f>
        <v>16</v>
      </c>
      <c r="Y53" s="235">
        <f>IFERROR(__xludf.DUMMYFUNCTION("""COMPUTED_VALUE"""),7.0)</f>
        <v>7</v>
      </c>
      <c r="Z53" s="235">
        <f>IFERROR(__xludf.DUMMYFUNCTION("""COMPUTED_VALUE"""),935.0)</f>
        <v>935</v>
      </c>
    </row>
    <row r="54">
      <c r="A54" s="234">
        <f>IFERROR(__xludf.DUMMYFUNCTION("""COMPUTED_VALUE"""),44001.0)</f>
        <v>44001</v>
      </c>
      <c r="B54" s="235">
        <f>IFERROR(__xludf.DUMMYFUNCTION("""COMPUTED_VALUE"""),141.0)</f>
        <v>141</v>
      </c>
      <c r="C54" s="235">
        <f>IFERROR(__xludf.DUMMYFUNCTION("""COMPUTED_VALUE"""),139.0)</f>
        <v>139</v>
      </c>
      <c r="D54" s="235">
        <f>IFERROR(__xludf.DUMMYFUNCTION("""COMPUTED_VALUE"""),23564.0)</f>
        <v>23564</v>
      </c>
      <c r="E54" s="235">
        <f>IFERROR(__xludf.DUMMYFUNCTION("""COMPUTED_VALUE"""),3769.0)</f>
        <v>3769</v>
      </c>
      <c r="F54" s="173">
        <f>IFERROR(__xludf.DUMMYFUNCTION("""COMPUTED_VALUE"""),203380.0)</f>
        <v>203380</v>
      </c>
      <c r="G54" s="173">
        <f>IFERROR(__xludf.DUMMYFUNCTION("""COMPUTED_VALUE"""),3910.0)</f>
        <v>3910</v>
      </c>
      <c r="H54" s="173">
        <f>IFERROR(__xludf.DUMMYFUNCTION("""COMPUTED_VALUE"""),226944.0)</f>
        <v>226944</v>
      </c>
      <c r="I54" s="235">
        <f>IFERROR(__xludf.DUMMYFUNCTION("""COMPUTED_VALUE"""),59.0)</f>
        <v>59</v>
      </c>
      <c r="J54" s="235">
        <f>IFERROR(__xludf.DUMMYFUNCTION("""COMPUTED_VALUE"""),60.0)</f>
        <v>60</v>
      </c>
      <c r="K54" s="235">
        <f>IFERROR(__xludf.DUMMYFUNCTION("""COMPUTED_VALUE"""),16343.0)</f>
        <v>16343</v>
      </c>
      <c r="L54" s="235">
        <f>IFERROR(__xludf.DUMMYFUNCTION("""COMPUTED_VALUE"""),1343.0)</f>
        <v>1343</v>
      </c>
      <c r="M54" s="235">
        <f>IFERROR(__xludf.DUMMYFUNCTION("""COMPUTED_VALUE"""),123617.0)</f>
        <v>123617</v>
      </c>
      <c r="N54" s="235">
        <f>IFERROR(__xludf.DUMMYFUNCTION("""COMPUTED_VALUE"""),139960.0)</f>
        <v>139960</v>
      </c>
      <c r="O54" s="235">
        <f>IFERROR(__xludf.DUMMYFUNCTION("""COMPUTED_VALUE"""),12.0)</f>
        <v>12</v>
      </c>
      <c r="P54" s="235">
        <f>IFERROR(__xludf.DUMMYFUNCTION("""COMPUTED_VALUE"""),1976.0)</f>
        <v>1976</v>
      </c>
      <c r="Q54" s="235">
        <f>IFERROR(__xludf.DUMMYFUNCTION("""COMPUTED_VALUE"""),12.0)</f>
        <v>12</v>
      </c>
      <c r="R54" s="235">
        <f>IFERROR(__xludf.DUMMYFUNCTION("""COMPUTED_VALUE"""),1584.0)</f>
        <v>1584</v>
      </c>
      <c r="S54" s="235">
        <f>IFERROR(__xludf.DUMMYFUNCTION("""COMPUTED_VALUE"""),1.0)</f>
        <v>1</v>
      </c>
      <c r="T54" s="235">
        <f>IFERROR(__xludf.DUMMYFUNCTION("""COMPUTED_VALUE"""),295.0)</f>
        <v>295</v>
      </c>
      <c r="U54" s="235">
        <f>IFERROR(__xludf.DUMMYFUNCTION("""COMPUTED_VALUE"""),97.0)</f>
        <v>97</v>
      </c>
      <c r="V54" s="235">
        <f>IFERROR(__xludf.DUMMYFUNCTION("""COMPUTED_VALUE"""),100.0)</f>
        <v>100</v>
      </c>
      <c r="W54" s="235">
        <f>IFERROR(__xludf.DUMMYFUNCTION("""COMPUTED_VALUE"""),20.0)</f>
        <v>20</v>
      </c>
      <c r="X54" s="235">
        <f>IFERROR(__xludf.DUMMYFUNCTION("""COMPUTED_VALUE"""),17.0)</f>
        <v>17</v>
      </c>
      <c r="Y54" s="235">
        <f>IFERROR(__xludf.DUMMYFUNCTION("""COMPUTED_VALUE"""),3.0)</f>
        <v>3</v>
      </c>
      <c r="Z54" s="235">
        <f>IFERROR(__xludf.DUMMYFUNCTION("""COMPUTED_VALUE"""),938.0)</f>
        <v>938</v>
      </c>
    </row>
    <row r="55">
      <c r="A55" s="234">
        <f>IFERROR(__xludf.DUMMYFUNCTION("""COMPUTED_VALUE"""),44002.0)</f>
        <v>44002</v>
      </c>
      <c r="B55" s="235">
        <f>IFERROR(__xludf.DUMMYFUNCTION("""COMPUTED_VALUE"""),84.0)</f>
        <v>84</v>
      </c>
      <c r="C55" s="235">
        <f>IFERROR(__xludf.DUMMYFUNCTION("""COMPUTED_VALUE"""),125.0)</f>
        <v>125</v>
      </c>
      <c r="D55" s="235">
        <f>IFERROR(__xludf.DUMMYFUNCTION("""COMPUTED_VALUE"""),23648.0)</f>
        <v>23648</v>
      </c>
      <c r="E55" s="235">
        <f>IFERROR(__xludf.DUMMYFUNCTION("""COMPUTED_VALUE"""),1891.0)</f>
        <v>1891</v>
      </c>
      <c r="F55" s="173">
        <f>IFERROR(__xludf.DUMMYFUNCTION("""COMPUTED_VALUE"""),205271.0)</f>
        <v>205271</v>
      </c>
      <c r="G55" s="173">
        <f>IFERROR(__xludf.DUMMYFUNCTION("""COMPUTED_VALUE"""),1975.0)</f>
        <v>1975</v>
      </c>
      <c r="H55" s="173">
        <f>IFERROR(__xludf.DUMMYFUNCTION("""COMPUTED_VALUE"""),228919.0)</f>
        <v>228919</v>
      </c>
      <c r="I55" s="235">
        <f>IFERROR(__xludf.DUMMYFUNCTION("""COMPUTED_VALUE"""),36.0)</f>
        <v>36</v>
      </c>
      <c r="J55" s="235">
        <f>IFERROR(__xludf.DUMMYFUNCTION("""COMPUTED_VALUE"""),55.0)</f>
        <v>55</v>
      </c>
      <c r="K55" s="235">
        <f>IFERROR(__xludf.DUMMYFUNCTION("""COMPUTED_VALUE"""),16379.0)</f>
        <v>16379</v>
      </c>
      <c r="L55" s="235">
        <f>IFERROR(__xludf.DUMMYFUNCTION("""COMPUTED_VALUE"""),806.0)</f>
        <v>806</v>
      </c>
      <c r="M55" s="235">
        <f>IFERROR(__xludf.DUMMYFUNCTION("""COMPUTED_VALUE"""),124423.0)</f>
        <v>124423</v>
      </c>
      <c r="N55" s="235">
        <f>IFERROR(__xludf.DUMMYFUNCTION("""COMPUTED_VALUE"""),140802.0)</f>
        <v>140802</v>
      </c>
      <c r="O55" s="235">
        <f>IFERROR(__xludf.DUMMYFUNCTION("""COMPUTED_VALUE"""),9.0)</f>
        <v>9</v>
      </c>
      <c r="P55" s="235">
        <f>IFERROR(__xludf.DUMMYFUNCTION("""COMPUTED_VALUE"""),1985.0)</f>
        <v>1985</v>
      </c>
      <c r="Q55" s="235">
        <f>IFERROR(__xludf.DUMMYFUNCTION("""COMPUTED_VALUE"""),12.0)</f>
        <v>12</v>
      </c>
      <c r="R55" s="235">
        <f>IFERROR(__xludf.DUMMYFUNCTION("""COMPUTED_VALUE"""),1596.0)</f>
        <v>1596</v>
      </c>
      <c r="S55" s="235">
        <f>IFERROR(__xludf.DUMMYFUNCTION("""COMPUTED_VALUE"""),0.0)</f>
        <v>0</v>
      </c>
      <c r="T55" s="235">
        <f>IFERROR(__xludf.DUMMYFUNCTION("""COMPUTED_VALUE"""),295.0)</f>
        <v>295</v>
      </c>
      <c r="U55" s="235">
        <f>IFERROR(__xludf.DUMMYFUNCTION("""COMPUTED_VALUE"""),94.0)</f>
        <v>94</v>
      </c>
      <c r="V55" s="235">
        <f>IFERROR(__xludf.DUMMYFUNCTION("""COMPUTED_VALUE"""),96.0)</f>
        <v>96</v>
      </c>
      <c r="W55" s="235">
        <f>IFERROR(__xludf.DUMMYFUNCTION("""COMPUTED_VALUE"""),20.0)</f>
        <v>20</v>
      </c>
      <c r="X55" s="235">
        <f>IFERROR(__xludf.DUMMYFUNCTION("""COMPUTED_VALUE"""),18.0)</f>
        <v>18</v>
      </c>
      <c r="Y55" s="235">
        <f>IFERROR(__xludf.DUMMYFUNCTION("""COMPUTED_VALUE"""),4.0)</f>
        <v>4</v>
      </c>
      <c r="Z55" s="235">
        <f>IFERROR(__xludf.DUMMYFUNCTION("""COMPUTED_VALUE"""),942.0)</f>
        <v>942</v>
      </c>
    </row>
    <row r="56">
      <c r="A56" s="234">
        <f>IFERROR(__xludf.DUMMYFUNCTION("""COMPUTED_VALUE"""),44003.0)</f>
        <v>44003</v>
      </c>
      <c r="B56" s="235">
        <f>IFERROR(__xludf.DUMMYFUNCTION("""COMPUTED_VALUE"""),37.0)</f>
        <v>37</v>
      </c>
      <c r="C56" s="235">
        <f>IFERROR(__xludf.DUMMYFUNCTION("""COMPUTED_VALUE"""),87.0)</f>
        <v>87</v>
      </c>
      <c r="D56" s="235">
        <f>IFERROR(__xludf.DUMMYFUNCTION("""COMPUTED_VALUE"""),23685.0)</f>
        <v>23685</v>
      </c>
      <c r="E56" s="235">
        <f>IFERROR(__xludf.DUMMYFUNCTION("""COMPUTED_VALUE"""),1064.0)</f>
        <v>1064</v>
      </c>
      <c r="F56" s="173">
        <f>IFERROR(__xludf.DUMMYFUNCTION("""COMPUTED_VALUE"""),206335.0)</f>
        <v>206335</v>
      </c>
      <c r="G56" s="173">
        <f>IFERROR(__xludf.DUMMYFUNCTION("""COMPUTED_VALUE"""),1101.0)</f>
        <v>1101</v>
      </c>
      <c r="H56" s="173">
        <f>IFERROR(__xludf.DUMMYFUNCTION("""COMPUTED_VALUE"""),230020.0)</f>
        <v>230020</v>
      </c>
      <c r="I56" s="235">
        <f>IFERROR(__xludf.DUMMYFUNCTION("""COMPUTED_VALUE"""),30.0)</f>
        <v>30</v>
      </c>
      <c r="J56" s="235">
        <f>IFERROR(__xludf.DUMMYFUNCTION("""COMPUTED_VALUE"""),42.0)</f>
        <v>42</v>
      </c>
      <c r="K56" s="235">
        <f>IFERROR(__xludf.DUMMYFUNCTION("""COMPUTED_VALUE"""),16409.0)</f>
        <v>16409</v>
      </c>
      <c r="L56" s="235">
        <f>IFERROR(__xludf.DUMMYFUNCTION("""COMPUTED_VALUE"""),684.0)</f>
        <v>684</v>
      </c>
      <c r="M56" s="235">
        <f>IFERROR(__xludf.DUMMYFUNCTION("""COMPUTED_VALUE"""),125107.0)</f>
        <v>125107</v>
      </c>
      <c r="N56" s="235">
        <f>IFERROR(__xludf.DUMMYFUNCTION("""COMPUTED_VALUE"""),141516.0)</f>
        <v>141516</v>
      </c>
      <c r="O56" s="235">
        <f>IFERROR(__xludf.DUMMYFUNCTION("""COMPUTED_VALUE"""),8.0)</f>
        <v>8</v>
      </c>
      <c r="P56" s="235">
        <f>IFERROR(__xludf.DUMMYFUNCTION("""COMPUTED_VALUE"""),1993.0)</f>
        <v>1993</v>
      </c>
      <c r="Q56" s="235">
        <f>IFERROR(__xludf.DUMMYFUNCTION("""COMPUTED_VALUE"""),5.0)</f>
        <v>5</v>
      </c>
      <c r="R56" s="235">
        <f>IFERROR(__xludf.DUMMYFUNCTION("""COMPUTED_VALUE"""),1601.0)</f>
        <v>1601</v>
      </c>
      <c r="S56" s="235">
        <f>IFERROR(__xludf.DUMMYFUNCTION("""COMPUTED_VALUE"""),0.0)</f>
        <v>0</v>
      </c>
      <c r="T56" s="235">
        <f>IFERROR(__xludf.DUMMYFUNCTION("""COMPUTED_VALUE"""),295.0)</f>
        <v>295</v>
      </c>
      <c r="U56" s="235">
        <f>IFERROR(__xludf.DUMMYFUNCTION("""COMPUTED_VALUE"""),97.0)</f>
        <v>97</v>
      </c>
      <c r="V56" s="235">
        <f>IFERROR(__xludf.DUMMYFUNCTION("""COMPUTED_VALUE"""),96.0)</f>
        <v>96</v>
      </c>
      <c r="W56" s="235">
        <f>IFERROR(__xludf.DUMMYFUNCTION("""COMPUTED_VALUE"""),20.0)</f>
        <v>20</v>
      </c>
      <c r="X56" s="235">
        <f>IFERROR(__xludf.DUMMYFUNCTION("""COMPUTED_VALUE"""),18.0)</f>
        <v>18</v>
      </c>
      <c r="Y56" s="235">
        <f>IFERROR(__xludf.DUMMYFUNCTION("""COMPUTED_VALUE"""),2.0)</f>
        <v>2</v>
      </c>
      <c r="Z56" s="235">
        <f>IFERROR(__xludf.DUMMYFUNCTION("""COMPUTED_VALUE"""),944.0)</f>
        <v>944</v>
      </c>
    </row>
    <row r="57">
      <c r="A57" s="234">
        <f>IFERROR(__xludf.DUMMYFUNCTION("""COMPUTED_VALUE"""),44004.0)</f>
        <v>44004</v>
      </c>
      <c r="B57" s="235">
        <f>IFERROR(__xludf.DUMMYFUNCTION("""COMPUTED_VALUE"""),138.0)</f>
        <v>138</v>
      </c>
      <c r="C57" s="235">
        <f>IFERROR(__xludf.DUMMYFUNCTION("""COMPUTED_VALUE"""),86.0)</f>
        <v>86</v>
      </c>
      <c r="D57" s="235">
        <f>IFERROR(__xludf.DUMMYFUNCTION("""COMPUTED_VALUE"""),23823.0)</f>
        <v>23823</v>
      </c>
      <c r="E57" s="235">
        <f>IFERROR(__xludf.DUMMYFUNCTION("""COMPUTED_VALUE"""),3730.0)</f>
        <v>3730</v>
      </c>
      <c r="F57" s="173">
        <f>IFERROR(__xludf.DUMMYFUNCTION("""COMPUTED_VALUE"""),210065.0)</f>
        <v>210065</v>
      </c>
      <c r="G57" s="173">
        <f>IFERROR(__xludf.DUMMYFUNCTION("""COMPUTED_VALUE"""),3868.0)</f>
        <v>3868</v>
      </c>
      <c r="H57" s="173">
        <f>IFERROR(__xludf.DUMMYFUNCTION("""COMPUTED_VALUE"""),233888.0)</f>
        <v>233888</v>
      </c>
      <c r="I57" s="235">
        <f>IFERROR(__xludf.DUMMYFUNCTION("""COMPUTED_VALUE"""),65.0)</f>
        <v>65</v>
      </c>
      <c r="J57" s="235">
        <f>IFERROR(__xludf.DUMMYFUNCTION("""COMPUTED_VALUE"""),44.0)</f>
        <v>44</v>
      </c>
      <c r="K57" s="235">
        <f>IFERROR(__xludf.DUMMYFUNCTION("""COMPUTED_VALUE"""),16474.0)</f>
        <v>16474</v>
      </c>
      <c r="L57" s="235">
        <f>IFERROR(__xludf.DUMMYFUNCTION("""COMPUTED_VALUE"""),1685.0)</f>
        <v>1685</v>
      </c>
      <c r="M57" s="235">
        <f>IFERROR(__xludf.DUMMYFUNCTION("""COMPUTED_VALUE"""),126792.0)</f>
        <v>126792</v>
      </c>
      <c r="N57" s="235">
        <f>IFERROR(__xludf.DUMMYFUNCTION("""COMPUTED_VALUE"""),143266.0)</f>
        <v>143266</v>
      </c>
      <c r="O57" s="235">
        <f>IFERROR(__xludf.DUMMYFUNCTION("""COMPUTED_VALUE"""),12.0)</f>
        <v>12</v>
      </c>
      <c r="P57" s="235">
        <f>IFERROR(__xludf.DUMMYFUNCTION("""COMPUTED_VALUE"""),2005.0)</f>
        <v>2005</v>
      </c>
      <c r="Q57" s="235">
        <f>IFERROR(__xludf.DUMMYFUNCTION("""COMPUTED_VALUE"""),17.0)</f>
        <v>17</v>
      </c>
      <c r="R57" s="235">
        <f>IFERROR(__xludf.DUMMYFUNCTION("""COMPUTED_VALUE"""),1618.0)</f>
        <v>1618</v>
      </c>
      <c r="S57" s="235">
        <f>IFERROR(__xludf.DUMMYFUNCTION("""COMPUTED_VALUE"""),0.0)</f>
        <v>0</v>
      </c>
      <c r="T57" s="235">
        <f>IFERROR(__xludf.DUMMYFUNCTION("""COMPUTED_VALUE"""),295.0)</f>
        <v>295</v>
      </c>
      <c r="U57" s="235">
        <f>IFERROR(__xludf.DUMMYFUNCTION("""COMPUTED_VALUE"""),92.0)</f>
        <v>92</v>
      </c>
      <c r="V57" s="235">
        <f>IFERROR(__xludf.DUMMYFUNCTION("""COMPUTED_VALUE"""),94.0)</f>
        <v>94</v>
      </c>
      <c r="W57" s="235">
        <f>IFERROR(__xludf.DUMMYFUNCTION("""COMPUTED_VALUE"""),19.0)</f>
        <v>19</v>
      </c>
      <c r="X57" s="235">
        <f>IFERROR(__xludf.DUMMYFUNCTION("""COMPUTED_VALUE"""),18.0)</f>
        <v>18</v>
      </c>
      <c r="Y57" s="235">
        <f>IFERROR(__xludf.DUMMYFUNCTION("""COMPUTED_VALUE"""),2.0)</f>
        <v>2</v>
      </c>
      <c r="Z57" s="235">
        <f>IFERROR(__xludf.DUMMYFUNCTION("""COMPUTED_VALUE"""),946.0)</f>
        <v>946</v>
      </c>
    </row>
    <row r="58">
      <c r="A58" s="234">
        <f>IFERROR(__xludf.DUMMYFUNCTION("""COMPUTED_VALUE"""),44005.0)</f>
        <v>44005</v>
      </c>
      <c r="B58" s="235">
        <f>IFERROR(__xludf.DUMMYFUNCTION("""COMPUTED_VALUE"""),163.0)</f>
        <v>163</v>
      </c>
      <c r="C58" s="235">
        <f>IFERROR(__xludf.DUMMYFUNCTION("""COMPUTED_VALUE"""),113.0)</f>
        <v>113</v>
      </c>
      <c r="D58" s="235">
        <f>IFERROR(__xludf.DUMMYFUNCTION("""COMPUTED_VALUE"""),23986.0)</f>
        <v>23986</v>
      </c>
      <c r="E58" s="235">
        <f>IFERROR(__xludf.DUMMYFUNCTION("""COMPUTED_VALUE"""),3831.0)</f>
        <v>3831</v>
      </c>
      <c r="F58" s="173">
        <f>IFERROR(__xludf.DUMMYFUNCTION("""COMPUTED_VALUE"""),213896.0)</f>
        <v>213896</v>
      </c>
      <c r="G58" s="173">
        <f>IFERROR(__xludf.DUMMYFUNCTION("""COMPUTED_VALUE"""),3994.0)</f>
        <v>3994</v>
      </c>
      <c r="H58" s="173">
        <f>IFERROR(__xludf.DUMMYFUNCTION("""COMPUTED_VALUE"""),237882.0)</f>
        <v>237882</v>
      </c>
      <c r="I58" s="235">
        <f>IFERROR(__xludf.DUMMYFUNCTION("""COMPUTED_VALUE"""),81.0)</f>
        <v>81</v>
      </c>
      <c r="J58" s="235">
        <f>IFERROR(__xludf.DUMMYFUNCTION("""COMPUTED_VALUE"""),59.0)</f>
        <v>59</v>
      </c>
      <c r="K58" s="235">
        <f>IFERROR(__xludf.DUMMYFUNCTION("""COMPUTED_VALUE"""),16555.0)</f>
        <v>16555</v>
      </c>
      <c r="L58" s="235">
        <f>IFERROR(__xludf.DUMMYFUNCTION("""COMPUTED_VALUE"""),1761.0)</f>
        <v>1761</v>
      </c>
      <c r="M58" s="235">
        <f>IFERROR(__xludf.DUMMYFUNCTION("""COMPUTED_VALUE"""),128553.0)</f>
        <v>128553</v>
      </c>
      <c r="N58" s="235">
        <f>IFERROR(__xludf.DUMMYFUNCTION("""COMPUTED_VALUE"""),145108.0)</f>
        <v>145108</v>
      </c>
      <c r="O58" s="235">
        <f>IFERROR(__xludf.DUMMYFUNCTION("""COMPUTED_VALUE"""),3.0)</f>
        <v>3</v>
      </c>
      <c r="P58" s="235">
        <f>IFERROR(__xludf.DUMMYFUNCTION("""COMPUTED_VALUE"""),2008.0)</f>
        <v>2008</v>
      </c>
      <c r="Q58" s="235">
        <f>IFERROR(__xludf.DUMMYFUNCTION("""COMPUTED_VALUE"""),13.0)</f>
        <v>13</v>
      </c>
      <c r="R58" s="235">
        <f>IFERROR(__xludf.DUMMYFUNCTION("""COMPUTED_VALUE"""),1631.0)</f>
        <v>1631</v>
      </c>
      <c r="S58" s="235">
        <f>IFERROR(__xludf.DUMMYFUNCTION("""COMPUTED_VALUE"""),3.0)</f>
        <v>3</v>
      </c>
      <c r="T58" s="235">
        <f>IFERROR(__xludf.DUMMYFUNCTION("""COMPUTED_VALUE"""),298.0)</f>
        <v>298</v>
      </c>
      <c r="U58" s="235">
        <f>IFERROR(__xludf.DUMMYFUNCTION("""COMPUTED_VALUE"""),79.0)</f>
        <v>79</v>
      </c>
      <c r="V58" s="235">
        <f>IFERROR(__xludf.DUMMYFUNCTION("""COMPUTED_VALUE"""),89.0)</f>
        <v>89</v>
      </c>
      <c r="W58" s="235">
        <f>IFERROR(__xludf.DUMMYFUNCTION("""COMPUTED_VALUE"""),18.0)</f>
        <v>18</v>
      </c>
      <c r="X58" s="235">
        <f>IFERROR(__xludf.DUMMYFUNCTION("""COMPUTED_VALUE"""),18.0)</f>
        <v>18</v>
      </c>
      <c r="Y58" s="235">
        <f>IFERROR(__xludf.DUMMYFUNCTION("""COMPUTED_VALUE"""),7.0)</f>
        <v>7</v>
      </c>
      <c r="Z58" s="235">
        <f>IFERROR(__xludf.DUMMYFUNCTION("""COMPUTED_VALUE"""),953.0)</f>
        <v>953</v>
      </c>
    </row>
    <row r="59">
      <c r="A59" s="234">
        <f>IFERROR(__xludf.DUMMYFUNCTION("""COMPUTED_VALUE"""),44006.0)</f>
        <v>44006</v>
      </c>
      <c r="B59" s="235">
        <f>IFERROR(__xludf.DUMMYFUNCTION("""COMPUTED_VALUE"""),120.0)</f>
        <v>120</v>
      </c>
      <c r="C59" s="235">
        <f>IFERROR(__xludf.DUMMYFUNCTION("""COMPUTED_VALUE"""),140.0)</f>
        <v>140</v>
      </c>
      <c r="D59" s="235">
        <f>IFERROR(__xludf.DUMMYFUNCTION("""COMPUTED_VALUE"""),24106.0)</f>
        <v>24106</v>
      </c>
      <c r="E59" s="235">
        <f>IFERROR(__xludf.DUMMYFUNCTION("""COMPUTED_VALUE"""),3502.0)</f>
        <v>3502</v>
      </c>
      <c r="F59" s="173">
        <f>IFERROR(__xludf.DUMMYFUNCTION("""COMPUTED_VALUE"""),217398.0)</f>
        <v>217398</v>
      </c>
      <c r="G59" s="173">
        <f>IFERROR(__xludf.DUMMYFUNCTION("""COMPUTED_VALUE"""),3622.0)</f>
        <v>3622</v>
      </c>
      <c r="H59" s="173">
        <f>IFERROR(__xludf.DUMMYFUNCTION("""COMPUTED_VALUE"""),241504.0)</f>
        <v>241504</v>
      </c>
      <c r="I59" s="235">
        <f>IFERROR(__xludf.DUMMYFUNCTION("""COMPUTED_VALUE"""),44.0)</f>
        <v>44</v>
      </c>
      <c r="J59" s="235">
        <f>IFERROR(__xludf.DUMMYFUNCTION("""COMPUTED_VALUE"""),63.0)</f>
        <v>63</v>
      </c>
      <c r="K59" s="235">
        <f>IFERROR(__xludf.DUMMYFUNCTION("""COMPUTED_VALUE"""),16599.0)</f>
        <v>16599</v>
      </c>
      <c r="L59" s="235">
        <f>IFERROR(__xludf.DUMMYFUNCTION("""COMPUTED_VALUE"""),1665.0)</f>
        <v>1665</v>
      </c>
      <c r="M59" s="235">
        <f>IFERROR(__xludf.DUMMYFUNCTION("""COMPUTED_VALUE"""),130218.0)</f>
        <v>130218</v>
      </c>
      <c r="N59" s="235">
        <f>IFERROR(__xludf.DUMMYFUNCTION("""COMPUTED_VALUE"""),146817.0)</f>
        <v>146817</v>
      </c>
      <c r="O59" s="235">
        <f>IFERROR(__xludf.DUMMYFUNCTION("""COMPUTED_VALUE"""),9.0)</f>
        <v>9</v>
      </c>
      <c r="P59" s="235">
        <f>IFERROR(__xludf.DUMMYFUNCTION("""COMPUTED_VALUE"""),2017.0)</f>
        <v>2017</v>
      </c>
      <c r="Q59" s="235">
        <f>IFERROR(__xludf.DUMMYFUNCTION("""COMPUTED_VALUE"""),11.0)</f>
        <v>11</v>
      </c>
      <c r="R59" s="235">
        <f>IFERROR(__xludf.DUMMYFUNCTION("""COMPUTED_VALUE"""),1642.0)</f>
        <v>1642</v>
      </c>
      <c r="S59" s="235">
        <f>IFERROR(__xludf.DUMMYFUNCTION("""COMPUTED_VALUE"""),1.0)</f>
        <v>1</v>
      </c>
      <c r="T59" s="235">
        <f>IFERROR(__xludf.DUMMYFUNCTION("""COMPUTED_VALUE"""),299.0)</f>
        <v>299</v>
      </c>
      <c r="U59" s="235">
        <f>IFERROR(__xludf.DUMMYFUNCTION("""COMPUTED_VALUE"""),76.0)</f>
        <v>76</v>
      </c>
      <c r="V59" s="235">
        <f>IFERROR(__xludf.DUMMYFUNCTION("""COMPUTED_VALUE"""),82.0)</f>
        <v>82</v>
      </c>
      <c r="W59" s="235">
        <f>IFERROR(__xludf.DUMMYFUNCTION("""COMPUTED_VALUE"""),18.0)</f>
        <v>18</v>
      </c>
      <c r="X59" s="235">
        <f>IFERROR(__xludf.DUMMYFUNCTION("""COMPUTED_VALUE"""),18.0)</f>
        <v>18</v>
      </c>
      <c r="Y59" s="235">
        <f>IFERROR(__xludf.DUMMYFUNCTION("""COMPUTED_VALUE"""),5.0)</f>
        <v>5</v>
      </c>
      <c r="Z59" s="235">
        <f>IFERROR(__xludf.DUMMYFUNCTION("""COMPUTED_VALUE"""),958.0)</f>
        <v>958</v>
      </c>
    </row>
    <row r="60">
      <c r="A60" s="234">
        <f>IFERROR(__xludf.DUMMYFUNCTION("""COMPUTED_VALUE"""),44007.0)</f>
        <v>44007</v>
      </c>
      <c r="B60" s="235">
        <f>IFERROR(__xludf.DUMMYFUNCTION("""COMPUTED_VALUE"""),103.0)</f>
        <v>103</v>
      </c>
      <c r="C60" s="235">
        <f>IFERROR(__xludf.DUMMYFUNCTION("""COMPUTED_VALUE"""),129.0)</f>
        <v>129</v>
      </c>
      <c r="D60" s="235">
        <f>IFERROR(__xludf.DUMMYFUNCTION("""COMPUTED_VALUE"""),24209.0)</f>
        <v>24209</v>
      </c>
      <c r="E60" s="235">
        <f>IFERROR(__xludf.DUMMYFUNCTION("""COMPUTED_VALUE"""),2883.0)</f>
        <v>2883</v>
      </c>
      <c r="F60" s="173">
        <f>IFERROR(__xludf.DUMMYFUNCTION("""COMPUTED_VALUE"""),220281.0)</f>
        <v>220281</v>
      </c>
      <c r="G60" s="173">
        <f>IFERROR(__xludf.DUMMYFUNCTION("""COMPUTED_VALUE"""),2986.0)</f>
        <v>2986</v>
      </c>
      <c r="H60" s="173">
        <f>IFERROR(__xludf.DUMMYFUNCTION("""COMPUTED_VALUE"""),244490.0)</f>
        <v>244490</v>
      </c>
      <c r="I60" s="235">
        <f>IFERROR(__xludf.DUMMYFUNCTION("""COMPUTED_VALUE"""),50.0)</f>
        <v>50</v>
      </c>
      <c r="J60" s="235">
        <f>IFERROR(__xludf.DUMMYFUNCTION("""COMPUTED_VALUE"""),58.0)</f>
        <v>58</v>
      </c>
      <c r="K60" s="235">
        <f>IFERROR(__xludf.DUMMYFUNCTION("""COMPUTED_VALUE"""),16649.0)</f>
        <v>16649</v>
      </c>
      <c r="L60" s="235">
        <f>IFERROR(__xludf.DUMMYFUNCTION("""COMPUTED_VALUE"""),1483.0)</f>
        <v>1483</v>
      </c>
      <c r="M60" s="235">
        <f>IFERROR(__xludf.DUMMYFUNCTION("""COMPUTED_VALUE"""),131701.0)</f>
        <v>131701</v>
      </c>
      <c r="N60" s="235">
        <f>IFERROR(__xludf.DUMMYFUNCTION("""COMPUTED_VALUE"""),148350.0)</f>
        <v>148350</v>
      </c>
      <c r="O60" s="235">
        <f>IFERROR(__xludf.DUMMYFUNCTION("""COMPUTED_VALUE"""),6.0)</f>
        <v>6</v>
      </c>
      <c r="P60" s="235">
        <f>IFERROR(__xludf.DUMMYFUNCTION("""COMPUTED_VALUE"""),2023.0)</f>
        <v>2023</v>
      </c>
      <c r="Q60" s="235">
        <f>IFERROR(__xludf.DUMMYFUNCTION("""COMPUTED_VALUE"""),14.0)</f>
        <v>14</v>
      </c>
      <c r="R60" s="235">
        <f>IFERROR(__xludf.DUMMYFUNCTION("""COMPUTED_VALUE"""),1656.0)</f>
        <v>1656</v>
      </c>
      <c r="S60" s="235">
        <f>IFERROR(__xludf.DUMMYFUNCTION("""COMPUTED_VALUE"""),1.0)</f>
        <v>1</v>
      </c>
      <c r="T60" s="235">
        <f>IFERROR(__xludf.DUMMYFUNCTION("""COMPUTED_VALUE"""),300.0)</f>
        <v>300</v>
      </c>
      <c r="U60" s="235">
        <f>IFERROR(__xludf.DUMMYFUNCTION("""COMPUTED_VALUE"""),67.0)</f>
        <v>67</v>
      </c>
      <c r="V60" s="235">
        <f>IFERROR(__xludf.DUMMYFUNCTION("""COMPUTED_VALUE"""),74.0)</f>
        <v>74</v>
      </c>
      <c r="W60" s="235">
        <f>IFERROR(__xludf.DUMMYFUNCTION("""COMPUTED_VALUE"""),17.0)</f>
        <v>17</v>
      </c>
      <c r="X60" s="235">
        <f>IFERROR(__xludf.DUMMYFUNCTION("""COMPUTED_VALUE"""),17.0)</f>
        <v>17</v>
      </c>
      <c r="Y60" s="235">
        <f>IFERROR(__xludf.DUMMYFUNCTION("""COMPUTED_VALUE"""),1.0)</f>
        <v>1</v>
      </c>
      <c r="Z60" s="235">
        <f>IFERROR(__xludf.DUMMYFUNCTION("""COMPUTED_VALUE"""),959.0)</f>
        <v>959</v>
      </c>
    </row>
    <row r="61">
      <c r="A61" s="234">
        <f>IFERROR(__xludf.DUMMYFUNCTION("""COMPUTED_VALUE"""),44008.0)</f>
        <v>44008</v>
      </c>
      <c r="B61" s="235">
        <f>IFERROR(__xludf.DUMMYFUNCTION("""COMPUTED_VALUE"""),94.0)</f>
        <v>94</v>
      </c>
      <c r="C61" s="235">
        <f>IFERROR(__xludf.DUMMYFUNCTION("""COMPUTED_VALUE"""),106.0)</f>
        <v>106</v>
      </c>
      <c r="D61" s="235">
        <f>IFERROR(__xludf.DUMMYFUNCTION("""COMPUTED_VALUE"""),24303.0)</f>
        <v>24303</v>
      </c>
      <c r="E61" s="235">
        <f>IFERROR(__xludf.DUMMYFUNCTION("""COMPUTED_VALUE"""),2488.0)</f>
        <v>2488</v>
      </c>
      <c r="F61" s="173">
        <f>IFERROR(__xludf.DUMMYFUNCTION("""COMPUTED_VALUE"""),222769.0)</f>
        <v>222769</v>
      </c>
      <c r="G61" s="173">
        <f>IFERROR(__xludf.DUMMYFUNCTION("""COMPUTED_VALUE"""),2582.0)</f>
        <v>2582</v>
      </c>
      <c r="H61" s="173">
        <f>IFERROR(__xludf.DUMMYFUNCTION("""COMPUTED_VALUE"""),247072.0)</f>
        <v>247072</v>
      </c>
      <c r="I61" s="235">
        <f>IFERROR(__xludf.DUMMYFUNCTION("""COMPUTED_VALUE"""),60.0)</f>
        <v>60</v>
      </c>
      <c r="J61" s="235">
        <f>IFERROR(__xludf.DUMMYFUNCTION("""COMPUTED_VALUE"""),51.0)</f>
        <v>51</v>
      </c>
      <c r="K61" s="235">
        <f>IFERROR(__xludf.DUMMYFUNCTION("""COMPUTED_VALUE"""),16709.0)</f>
        <v>16709</v>
      </c>
      <c r="L61" s="235">
        <f>IFERROR(__xludf.DUMMYFUNCTION("""COMPUTED_VALUE"""),1311.0)</f>
        <v>1311</v>
      </c>
      <c r="M61" s="235">
        <f>IFERROR(__xludf.DUMMYFUNCTION("""COMPUTED_VALUE"""),133012.0)</f>
        <v>133012</v>
      </c>
      <c r="N61" s="235">
        <f>IFERROR(__xludf.DUMMYFUNCTION("""COMPUTED_VALUE"""),149721.0)</f>
        <v>149721</v>
      </c>
      <c r="O61" s="235">
        <f>IFERROR(__xludf.DUMMYFUNCTION("""COMPUTED_VALUE"""),2.0)</f>
        <v>2</v>
      </c>
      <c r="P61" s="235">
        <f>IFERROR(__xludf.DUMMYFUNCTION("""COMPUTED_VALUE"""),2025.0)</f>
        <v>2025</v>
      </c>
      <c r="Q61" s="235">
        <f>IFERROR(__xludf.DUMMYFUNCTION("""COMPUTED_VALUE"""),10.0)</f>
        <v>10</v>
      </c>
      <c r="R61" s="235">
        <f>IFERROR(__xludf.DUMMYFUNCTION("""COMPUTED_VALUE"""),1666.0)</f>
        <v>1666</v>
      </c>
      <c r="S61" s="235">
        <f>IFERROR(__xludf.DUMMYFUNCTION("""COMPUTED_VALUE"""),0.0)</f>
        <v>0</v>
      </c>
      <c r="T61" s="235">
        <f>IFERROR(__xludf.DUMMYFUNCTION("""COMPUTED_VALUE"""),300.0)</f>
        <v>300</v>
      </c>
      <c r="U61" s="235">
        <f>IFERROR(__xludf.DUMMYFUNCTION("""COMPUTED_VALUE"""),59.0)</f>
        <v>59</v>
      </c>
      <c r="V61" s="235">
        <f>IFERROR(__xludf.DUMMYFUNCTION("""COMPUTED_VALUE"""),67.0)</f>
        <v>67</v>
      </c>
      <c r="W61" s="235">
        <f>IFERROR(__xludf.DUMMYFUNCTION("""COMPUTED_VALUE"""),18.0)</f>
        <v>18</v>
      </c>
      <c r="X61" s="235">
        <f>IFERROR(__xludf.DUMMYFUNCTION("""COMPUTED_VALUE"""),18.0)</f>
        <v>18</v>
      </c>
      <c r="Y61" s="235">
        <f>IFERROR(__xludf.DUMMYFUNCTION("""COMPUTED_VALUE"""),1.0)</f>
        <v>1</v>
      </c>
      <c r="Z61" s="235">
        <f>IFERROR(__xludf.DUMMYFUNCTION("""COMPUTED_VALUE"""),960.0)</f>
        <v>960</v>
      </c>
    </row>
    <row r="62">
      <c r="A62" s="234">
        <f>IFERROR(__xludf.DUMMYFUNCTION("""COMPUTED_VALUE"""),44009.0)</f>
        <v>44009</v>
      </c>
      <c r="B62" s="235">
        <f>IFERROR(__xludf.DUMMYFUNCTION("""COMPUTED_VALUE"""),84.0)</f>
        <v>84</v>
      </c>
      <c r="C62" s="235">
        <f>IFERROR(__xludf.DUMMYFUNCTION("""COMPUTED_VALUE"""),94.0)</f>
        <v>94</v>
      </c>
      <c r="D62" s="235">
        <f>IFERROR(__xludf.DUMMYFUNCTION("""COMPUTED_VALUE"""),24387.0)</f>
        <v>24387</v>
      </c>
      <c r="E62" s="235">
        <f>IFERROR(__xludf.DUMMYFUNCTION("""COMPUTED_VALUE"""),3216.0)</f>
        <v>3216</v>
      </c>
      <c r="F62" s="173">
        <f>IFERROR(__xludf.DUMMYFUNCTION("""COMPUTED_VALUE"""),225985.0)</f>
        <v>225985</v>
      </c>
      <c r="G62" s="173">
        <f>IFERROR(__xludf.DUMMYFUNCTION("""COMPUTED_VALUE"""),3300.0)</f>
        <v>3300</v>
      </c>
      <c r="H62" s="173">
        <f>IFERROR(__xludf.DUMMYFUNCTION("""COMPUTED_VALUE"""),250372.0)</f>
        <v>250372</v>
      </c>
      <c r="I62" s="235">
        <f>IFERROR(__xludf.DUMMYFUNCTION("""COMPUTED_VALUE"""),37.0)</f>
        <v>37</v>
      </c>
      <c r="J62" s="235">
        <f>IFERROR(__xludf.DUMMYFUNCTION("""COMPUTED_VALUE"""),49.0)</f>
        <v>49</v>
      </c>
      <c r="K62" s="235">
        <f>IFERROR(__xludf.DUMMYFUNCTION("""COMPUTED_VALUE"""),16746.0)</f>
        <v>16746</v>
      </c>
      <c r="L62" s="235">
        <f>IFERROR(__xludf.DUMMYFUNCTION("""COMPUTED_VALUE"""),1197.0)</f>
        <v>1197</v>
      </c>
      <c r="M62" s="235">
        <f>IFERROR(__xludf.DUMMYFUNCTION("""COMPUTED_VALUE"""),134209.0)</f>
        <v>134209</v>
      </c>
      <c r="N62" s="235">
        <f>IFERROR(__xludf.DUMMYFUNCTION("""COMPUTED_VALUE"""),150955.0)</f>
        <v>150955</v>
      </c>
      <c r="O62" s="235">
        <f>IFERROR(__xludf.DUMMYFUNCTION("""COMPUTED_VALUE"""),5.0)</f>
        <v>5</v>
      </c>
      <c r="P62" s="235">
        <f>IFERROR(__xludf.DUMMYFUNCTION("""COMPUTED_VALUE"""),2030.0)</f>
        <v>2030</v>
      </c>
      <c r="Q62" s="235">
        <f>IFERROR(__xludf.DUMMYFUNCTION("""COMPUTED_VALUE"""),3.0)</f>
        <v>3</v>
      </c>
      <c r="R62" s="235">
        <f>IFERROR(__xludf.DUMMYFUNCTION("""COMPUTED_VALUE"""),1669.0)</f>
        <v>1669</v>
      </c>
      <c r="S62" s="235">
        <f>IFERROR(__xludf.DUMMYFUNCTION("""COMPUTED_VALUE"""),1.0)</f>
        <v>1</v>
      </c>
      <c r="T62" s="235">
        <f>IFERROR(__xludf.DUMMYFUNCTION("""COMPUTED_VALUE"""),301.0)</f>
        <v>301</v>
      </c>
      <c r="U62" s="235">
        <f>IFERROR(__xludf.DUMMYFUNCTION("""COMPUTED_VALUE"""),60.0)</f>
        <v>60</v>
      </c>
      <c r="V62" s="235">
        <f>IFERROR(__xludf.DUMMYFUNCTION("""COMPUTED_VALUE"""),62.0)</f>
        <v>62</v>
      </c>
      <c r="W62" s="235">
        <f>IFERROR(__xludf.DUMMYFUNCTION("""COMPUTED_VALUE"""),17.0)</f>
        <v>17</v>
      </c>
      <c r="X62" s="235">
        <f>IFERROR(__xludf.DUMMYFUNCTION("""COMPUTED_VALUE"""),17.0)</f>
        <v>17</v>
      </c>
      <c r="Y62" s="235">
        <f>IFERROR(__xludf.DUMMYFUNCTION("""COMPUTED_VALUE"""),5.0)</f>
        <v>5</v>
      </c>
      <c r="Z62" s="235">
        <f>IFERROR(__xludf.DUMMYFUNCTION("""COMPUTED_VALUE"""),965.0)</f>
        <v>965</v>
      </c>
    </row>
    <row r="63">
      <c r="A63" s="234">
        <f>IFERROR(__xludf.DUMMYFUNCTION("""COMPUTED_VALUE"""),44010.0)</f>
        <v>44010</v>
      </c>
      <c r="B63" s="235">
        <f>IFERROR(__xludf.DUMMYFUNCTION("""COMPUTED_VALUE"""),39.0)</f>
        <v>39</v>
      </c>
      <c r="C63" s="235">
        <f>IFERROR(__xludf.DUMMYFUNCTION("""COMPUTED_VALUE"""),72.0)</f>
        <v>72</v>
      </c>
      <c r="D63" s="235">
        <f>IFERROR(__xludf.DUMMYFUNCTION("""COMPUTED_VALUE"""),24426.0)</f>
        <v>24426</v>
      </c>
      <c r="E63" s="235">
        <f>IFERROR(__xludf.DUMMYFUNCTION("""COMPUTED_VALUE"""),1469.0)</f>
        <v>1469</v>
      </c>
      <c r="F63" s="173">
        <f>IFERROR(__xludf.DUMMYFUNCTION("""COMPUTED_VALUE"""),227454.0)</f>
        <v>227454</v>
      </c>
      <c r="G63" s="173">
        <f>IFERROR(__xludf.DUMMYFUNCTION("""COMPUTED_VALUE"""),1508.0)</f>
        <v>1508</v>
      </c>
      <c r="H63" s="173">
        <f>IFERROR(__xludf.DUMMYFUNCTION("""COMPUTED_VALUE"""),251880.0)</f>
        <v>251880</v>
      </c>
      <c r="I63" s="235">
        <f>IFERROR(__xludf.DUMMYFUNCTION("""COMPUTED_VALUE"""),17.0)</f>
        <v>17</v>
      </c>
      <c r="J63" s="235">
        <f>IFERROR(__xludf.DUMMYFUNCTION("""COMPUTED_VALUE"""),38.0)</f>
        <v>38</v>
      </c>
      <c r="K63" s="235">
        <f>IFERROR(__xludf.DUMMYFUNCTION("""COMPUTED_VALUE"""),16763.0)</f>
        <v>16763</v>
      </c>
      <c r="L63" s="235">
        <f>IFERROR(__xludf.DUMMYFUNCTION("""COMPUTED_VALUE"""),588.0)</f>
        <v>588</v>
      </c>
      <c r="M63" s="235">
        <f>IFERROR(__xludf.DUMMYFUNCTION("""COMPUTED_VALUE"""),134797.0)</f>
        <v>134797</v>
      </c>
      <c r="N63" s="235">
        <f>IFERROR(__xludf.DUMMYFUNCTION("""COMPUTED_VALUE"""),151560.0)</f>
        <v>151560</v>
      </c>
      <c r="O63" s="235">
        <f>IFERROR(__xludf.DUMMYFUNCTION("""COMPUTED_VALUE"""),4.0)</f>
        <v>4</v>
      </c>
      <c r="P63" s="235">
        <f>IFERROR(__xludf.DUMMYFUNCTION("""COMPUTED_VALUE"""),2034.0)</f>
        <v>2034</v>
      </c>
      <c r="Q63" s="235">
        <f>IFERROR(__xludf.DUMMYFUNCTION("""COMPUTED_VALUE"""),4.0)</f>
        <v>4</v>
      </c>
      <c r="R63" s="235">
        <f>IFERROR(__xludf.DUMMYFUNCTION("""COMPUTED_VALUE"""),1673.0)</f>
        <v>1673</v>
      </c>
      <c r="S63" s="235">
        <f>IFERROR(__xludf.DUMMYFUNCTION("""COMPUTED_VALUE"""),4.0)</f>
        <v>4</v>
      </c>
      <c r="T63" s="235">
        <f>IFERROR(__xludf.DUMMYFUNCTION("""COMPUTED_VALUE"""),305.0)</f>
        <v>305</v>
      </c>
      <c r="U63" s="235">
        <f>IFERROR(__xludf.DUMMYFUNCTION("""COMPUTED_VALUE"""),56.0)</f>
        <v>56</v>
      </c>
      <c r="V63" s="235">
        <f>IFERROR(__xludf.DUMMYFUNCTION("""COMPUTED_VALUE"""),58.0)</f>
        <v>58</v>
      </c>
      <c r="W63" s="235">
        <f>IFERROR(__xludf.DUMMYFUNCTION("""COMPUTED_VALUE"""),15.0)</f>
        <v>15</v>
      </c>
      <c r="X63" s="235">
        <f>IFERROR(__xludf.DUMMYFUNCTION("""COMPUTED_VALUE"""),14.0)</f>
        <v>14</v>
      </c>
      <c r="Y63" s="235">
        <f>IFERROR(__xludf.DUMMYFUNCTION("""COMPUTED_VALUE"""),6.0)</f>
        <v>6</v>
      </c>
      <c r="Z63" s="235">
        <f>IFERROR(__xludf.DUMMYFUNCTION("""COMPUTED_VALUE"""),971.0)</f>
        <v>971</v>
      </c>
    </row>
    <row r="64">
      <c r="A64" s="234">
        <f>IFERROR(__xludf.DUMMYFUNCTION("""COMPUTED_VALUE"""),44011.0)</f>
        <v>44011</v>
      </c>
      <c r="B64" s="235">
        <f>IFERROR(__xludf.DUMMYFUNCTION("""COMPUTED_VALUE"""),85.0)</f>
        <v>85</v>
      </c>
      <c r="C64" s="235">
        <f>IFERROR(__xludf.DUMMYFUNCTION("""COMPUTED_VALUE"""),69.0)</f>
        <v>69</v>
      </c>
      <c r="D64" s="235">
        <f>IFERROR(__xludf.DUMMYFUNCTION("""COMPUTED_VALUE"""),24511.0)</f>
        <v>24511</v>
      </c>
      <c r="E64" s="235">
        <f>IFERROR(__xludf.DUMMYFUNCTION("""COMPUTED_VALUE"""),3697.0)</f>
        <v>3697</v>
      </c>
      <c r="F64" s="173">
        <f>IFERROR(__xludf.DUMMYFUNCTION("""COMPUTED_VALUE"""),231151.0)</f>
        <v>231151</v>
      </c>
      <c r="G64" s="173">
        <f>IFERROR(__xludf.DUMMYFUNCTION("""COMPUTED_VALUE"""),3782.0)</f>
        <v>3782</v>
      </c>
      <c r="H64" s="173">
        <f>IFERROR(__xludf.DUMMYFUNCTION("""COMPUTED_VALUE"""),255662.0)</f>
        <v>255662</v>
      </c>
      <c r="I64" s="235">
        <f>IFERROR(__xludf.DUMMYFUNCTION("""COMPUTED_VALUE"""),39.0)</f>
        <v>39</v>
      </c>
      <c r="J64" s="235">
        <f>IFERROR(__xludf.DUMMYFUNCTION("""COMPUTED_VALUE"""),31.0)</f>
        <v>31</v>
      </c>
      <c r="K64" s="235">
        <f>IFERROR(__xludf.DUMMYFUNCTION("""COMPUTED_VALUE"""),16802.0)</f>
        <v>16802</v>
      </c>
      <c r="L64" s="235">
        <f>IFERROR(__xludf.DUMMYFUNCTION("""COMPUTED_VALUE"""),1336.0)</f>
        <v>1336</v>
      </c>
      <c r="M64" s="235">
        <f>IFERROR(__xludf.DUMMYFUNCTION("""COMPUTED_VALUE"""),136133.0)</f>
        <v>136133</v>
      </c>
      <c r="N64" s="235">
        <f>IFERROR(__xludf.DUMMYFUNCTION("""COMPUTED_VALUE"""),152935.0)</f>
        <v>152935</v>
      </c>
      <c r="O64" s="235">
        <f>IFERROR(__xludf.DUMMYFUNCTION("""COMPUTED_VALUE"""),4.0)</f>
        <v>4</v>
      </c>
      <c r="P64" s="235">
        <f>IFERROR(__xludf.DUMMYFUNCTION("""COMPUTED_VALUE"""),2038.0)</f>
        <v>2038</v>
      </c>
      <c r="Q64" s="235">
        <f>IFERROR(__xludf.DUMMYFUNCTION("""COMPUTED_VALUE"""),5.0)</f>
        <v>5</v>
      </c>
      <c r="R64" s="235">
        <f>IFERROR(__xludf.DUMMYFUNCTION("""COMPUTED_VALUE"""),1678.0)</f>
        <v>1678</v>
      </c>
      <c r="S64" s="235">
        <f>IFERROR(__xludf.DUMMYFUNCTION("""COMPUTED_VALUE"""),0.0)</f>
        <v>0</v>
      </c>
      <c r="T64" s="235">
        <f>IFERROR(__xludf.DUMMYFUNCTION("""COMPUTED_VALUE"""),305.0)</f>
        <v>305</v>
      </c>
      <c r="U64" s="235">
        <f>IFERROR(__xludf.DUMMYFUNCTION("""COMPUTED_VALUE"""),55.0)</f>
        <v>55</v>
      </c>
      <c r="V64" s="235">
        <f>IFERROR(__xludf.DUMMYFUNCTION("""COMPUTED_VALUE"""),57.0)</f>
        <v>57</v>
      </c>
      <c r="W64" s="235">
        <f>IFERROR(__xludf.DUMMYFUNCTION("""COMPUTED_VALUE"""),14.0)</f>
        <v>14</v>
      </c>
      <c r="X64" s="235">
        <f>IFERROR(__xludf.DUMMYFUNCTION("""COMPUTED_VALUE"""),14.0)</f>
        <v>14</v>
      </c>
      <c r="Y64" s="235">
        <f>IFERROR(__xludf.DUMMYFUNCTION("""COMPUTED_VALUE"""),1.0)</f>
        <v>1</v>
      </c>
      <c r="Z64" s="235">
        <f>IFERROR(__xludf.DUMMYFUNCTION("""COMPUTED_VALUE"""),972.0)</f>
        <v>972</v>
      </c>
    </row>
    <row r="65">
      <c r="A65" s="234">
        <f>IFERROR(__xludf.DUMMYFUNCTION("""COMPUTED_VALUE"""),44012.0)</f>
        <v>44012</v>
      </c>
      <c r="B65" s="235">
        <f>IFERROR(__xludf.DUMMYFUNCTION("""COMPUTED_VALUE"""),57.0)</f>
        <v>57</v>
      </c>
      <c r="C65" s="235">
        <f>IFERROR(__xludf.DUMMYFUNCTION("""COMPUTED_VALUE"""),60.0)</f>
        <v>60</v>
      </c>
      <c r="D65" s="235">
        <f>IFERROR(__xludf.DUMMYFUNCTION("""COMPUTED_VALUE"""),24568.0)</f>
        <v>24568</v>
      </c>
      <c r="E65" s="235">
        <f>IFERROR(__xludf.DUMMYFUNCTION("""COMPUTED_VALUE"""),1958.0)</f>
        <v>1958</v>
      </c>
      <c r="F65" s="173">
        <f>IFERROR(__xludf.DUMMYFUNCTION("""COMPUTED_VALUE"""),233109.0)</f>
        <v>233109</v>
      </c>
      <c r="G65" s="173">
        <f>IFERROR(__xludf.DUMMYFUNCTION("""COMPUTED_VALUE"""),2015.0)</f>
        <v>2015</v>
      </c>
      <c r="H65" s="173">
        <f>IFERROR(__xludf.DUMMYFUNCTION("""COMPUTED_VALUE"""),257677.0)</f>
        <v>257677</v>
      </c>
      <c r="I65" s="235">
        <f>IFERROR(__xludf.DUMMYFUNCTION("""COMPUTED_VALUE"""),33.0)</f>
        <v>33</v>
      </c>
      <c r="J65" s="235">
        <f>IFERROR(__xludf.DUMMYFUNCTION("""COMPUTED_VALUE"""),30.0)</f>
        <v>30</v>
      </c>
      <c r="K65" s="235">
        <f>IFERROR(__xludf.DUMMYFUNCTION("""COMPUTED_VALUE"""),16835.0)</f>
        <v>16835</v>
      </c>
      <c r="L65" s="235">
        <f>IFERROR(__xludf.DUMMYFUNCTION("""COMPUTED_VALUE"""),987.0)</f>
        <v>987</v>
      </c>
      <c r="M65" s="235">
        <f>IFERROR(__xludf.DUMMYFUNCTION("""COMPUTED_VALUE"""),137120.0)</f>
        <v>137120</v>
      </c>
      <c r="N65" s="235">
        <f>IFERROR(__xludf.DUMMYFUNCTION("""COMPUTED_VALUE"""),153955.0)</f>
        <v>153955</v>
      </c>
      <c r="O65" s="235">
        <f>IFERROR(__xludf.DUMMYFUNCTION("""COMPUTED_VALUE"""),1.0)</f>
        <v>1</v>
      </c>
      <c r="P65" s="235">
        <f>IFERROR(__xludf.DUMMYFUNCTION("""COMPUTED_VALUE"""),2039.0)</f>
        <v>2039</v>
      </c>
      <c r="Q65" s="235">
        <f>IFERROR(__xludf.DUMMYFUNCTION("""COMPUTED_VALUE"""),5.0)</f>
        <v>5</v>
      </c>
      <c r="R65" s="235">
        <f>IFERROR(__xludf.DUMMYFUNCTION("""COMPUTED_VALUE"""),1683.0)</f>
        <v>1683</v>
      </c>
      <c r="S65" s="235">
        <f>IFERROR(__xludf.DUMMYFUNCTION("""COMPUTED_VALUE"""),1.0)</f>
        <v>1</v>
      </c>
      <c r="T65" s="235">
        <f>IFERROR(__xludf.DUMMYFUNCTION("""COMPUTED_VALUE"""),306.0)</f>
        <v>306</v>
      </c>
      <c r="U65" s="235">
        <f>IFERROR(__xludf.DUMMYFUNCTION("""COMPUTED_VALUE"""),50.0)</f>
        <v>50</v>
      </c>
      <c r="V65" s="235">
        <f>IFERROR(__xludf.DUMMYFUNCTION("""COMPUTED_VALUE"""),54.0)</f>
        <v>54</v>
      </c>
      <c r="W65" s="235">
        <f>IFERROR(__xludf.DUMMYFUNCTION("""COMPUTED_VALUE"""),12.0)</f>
        <v>12</v>
      </c>
      <c r="X65" s="235">
        <f>IFERROR(__xludf.DUMMYFUNCTION("""COMPUTED_VALUE"""),11.0)</f>
        <v>11</v>
      </c>
      <c r="Y65" s="235">
        <f>IFERROR(__xludf.DUMMYFUNCTION("""COMPUTED_VALUE"""),4.0)</f>
        <v>4</v>
      </c>
      <c r="Z65" s="235">
        <f>IFERROR(__xludf.DUMMYFUNCTION("""COMPUTED_VALUE"""),976.0)</f>
        <v>976</v>
      </c>
    </row>
    <row r="66">
      <c r="A66" s="234">
        <f>IFERROR(__xludf.DUMMYFUNCTION("""COMPUTED_VALUE"""),44013.0)</f>
        <v>44013</v>
      </c>
      <c r="B66" s="235">
        <f>IFERROR(__xludf.DUMMYFUNCTION("""COMPUTED_VALUE"""),144.0)</f>
        <v>144</v>
      </c>
      <c r="C66" s="235">
        <f>IFERROR(__xludf.DUMMYFUNCTION("""COMPUTED_VALUE"""),95.0)</f>
        <v>95</v>
      </c>
      <c r="D66" s="235">
        <f>IFERROR(__xludf.DUMMYFUNCTION("""COMPUTED_VALUE"""),24712.0)</f>
        <v>24712</v>
      </c>
      <c r="E66" s="235">
        <f>IFERROR(__xludf.DUMMYFUNCTION("""COMPUTED_VALUE"""),4098.0)</f>
        <v>4098</v>
      </c>
      <c r="F66" s="173">
        <f>IFERROR(__xludf.DUMMYFUNCTION("""COMPUTED_VALUE"""),237207.0)</f>
        <v>237207</v>
      </c>
      <c r="G66" s="173">
        <f>IFERROR(__xludf.DUMMYFUNCTION("""COMPUTED_VALUE"""),4242.0)</f>
        <v>4242</v>
      </c>
      <c r="H66" s="173">
        <f>IFERROR(__xludf.DUMMYFUNCTION("""COMPUTED_VALUE"""),261919.0)</f>
        <v>261919</v>
      </c>
      <c r="I66" s="235">
        <f>IFERROR(__xludf.DUMMYFUNCTION("""COMPUTED_VALUE"""),79.0)</f>
        <v>79</v>
      </c>
      <c r="J66" s="235">
        <f>IFERROR(__xludf.DUMMYFUNCTION("""COMPUTED_VALUE"""),50.0)</f>
        <v>50</v>
      </c>
      <c r="K66" s="235">
        <f>IFERROR(__xludf.DUMMYFUNCTION("""COMPUTED_VALUE"""),16914.0)</f>
        <v>16914</v>
      </c>
      <c r="L66" s="235">
        <f>IFERROR(__xludf.DUMMYFUNCTION("""COMPUTED_VALUE"""),1905.0)</f>
        <v>1905</v>
      </c>
      <c r="M66" s="235">
        <f>IFERROR(__xludf.DUMMYFUNCTION("""COMPUTED_VALUE"""),139025.0)</f>
        <v>139025</v>
      </c>
      <c r="N66" s="235">
        <f>IFERROR(__xludf.DUMMYFUNCTION("""COMPUTED_VALUE"""),155939.0)</f>
        <v>155939</v>
      </c>
      <c r="O66" s="235">
        <f>IFERROR(__xludf.DUMMYFUNCTION("""COMPUTED_VALUE"""),8.0)</f>
        <v>8</v>
      </c>
      <c r="P66" s="235">
        <f>IFERROR(__xludf.DUMMYFUNCTION("""COMPUTED_VALUE"""),2047.0)</f>
        <v>2047</v>
      </c>
      <c r="Q66" s="235">
        <f>IFERROR(__xludf.DUMMYFUNCTION("""COMPUTED_VALUE"""),10.0)</f>
        <v>10</v>
      </c>
      <c r="R66" s="235">
        <f>IFERROR(__xludf.DUMMYFUNCTION("""COMPUTED_VALUE"""),1693.0)</f>
        <v>1693</v>
      </c>
      <c r="S66" s="235">
        <f>IFERROR(__xludf.DUMMYFUNCTION("""COMPUTED_VALUE"""),0.0)</f>
        <v>0</v>
      </c>
      <c r="T66" s="235">
        <f>IFERROR(__xludf.DUMMYFUNCTION("""COMPUTED_VALUE"""),306.0)</f>
        <v>306</v>
      </c>
      <c r="U66" s="235">
        <f>IFERROR(__xludf.DUMMYFUNCTION("""COMPUTED_VALUE"""),48.0)</f>
        <v>48</v>
      </c>
      <c r="V66" s="235">
        <f>IFERROR(__xludf.DUMMYFUNCTION("""COMPUTED_VALUE"""),51.0)</f>
        <v>51</v>
      </c>
      <c r="W66" s="235">
        <f>IFERROR(__xludf.DUMMYFUNCTION("""COMPUTED_VALUE"""),11.0)</f>
        <v>11</v>
      </c>
      <c r="X66" s="235">
        <f>IFERROR(__xludf.DUMMYFUNCTION("""COMPUTED_VALUE"""),11.0)</f>
        <v>11</v>
      </c>
      <c r="Y66" s="235">
        <f>IFERROR(__xludf.DUMMYFUNCTION("""COMPUTED_VALUE"""),1.0)</f>
        <v>1</v>
      </c>
      <c r="Z66" s="235">
        <f>IFERROR(__xludf.DUMMYFUNCTION("""COMPUTED_VALUE"""),977.0)</f>
        <v>977</v>
      </c>
    </row>
    <row r="67">
      <c r="A67" s="234">
        <f>IFERROR(__xludf.DUMMYFUNCTION("""COMPUTED_VALUE"""),44014.0)</f>
        <v>44014</v>
      </c>
      <c r="B67" s="235">
        <f>IFERROR(__xludf.DUMMYFUNCTION("""COMPUTED_VALUE"""),103.0)</f>
        <v>103</v>
      </c>
      <c r="C67" s="235">
        <f>IFERROR(__xludf.DUMMYFUNCTION("""COMPUTED_VALUE"""),101.0)</f>
        <v>101</v>
      </c>
      <c r="D67" s="235">
        <f>IFERROR(__xludf.DUMMYFUNCTION("""COMPUTED_VALUE"""),24815.0)</f>
        <v>24815</v>
      </c>
      <c r="E67" s="235">
        <f>IFERROR(__xludf.DUMMYFUNCTION("""COMPUTED_VALUE"""),2803.0)</f>
        <v>2803</v>
      </c>
      <c r="F67" s="173">
        <f>IFERROR(__xludf.DUMMYFUNCTION("""COMPUTED_VALUE"""),240010.0)</f>
        <v>240010</v>
      </c>
      <c r="G67" s="173">
        <f>IFERROR(__xludf.DUMMYFUNCTION("""COMPUTED_VALUE"""),2906.0)</f>
        <v>2906</v>
      </c>
      <c r="H67" s="173">
        <f>IFERROR(__xludf.DUMMYFUNCTION("""COMPUTED_VALUE"""),264825.0)</f>
        <v>264825</v>
      </c>
      <c r="I67" s="235">
        <f>IFERROR(__xludf.DUMMYFUNCTION("""COMPUTED_VALUE"""),59.0)</f>
        <v>59</v>
      </c>
      <c r="J67" s="235">
        <f>IFERROR(__xludf.DUMMYFUNCTION("""COMPUTED_VALUE"""),57.0)</f>
        <v>57</v>
      </c>
      <c r="K67" s="235">
        <f>IFERROR(__xludf.DUMMYFUNCTION("""COMPUTED_VALUE"""),16973.0)</f>
        <v>16973</v>
      </c>
      <c r="L67" s="235">
        <f>IFERROR(__xludf.DUMMYFUNCTION("""COMPUTED_VALUE"""),1071.0)</f>
        <v>1071</v>
      </c>
      <c r="M67" s="235">
        <f>IFERROR(__xludf.DUMMYFUNCTION("""COMPUTED_VALUE"""),140096.0)</f>
        <v>140096</v>
      </c>
      <c r="N67" s="235">
        <f>IFERROR(__xludf.DUMMYFUNCTION("""COMPUTED_VALUE"""),157069.0)</f>
        <v>157069</v>
      </c>
      <c r="O67" s="235">
        <f>IFERROR(__xludf.DUMMYFUNCTION("""COMPUTED_VALUE"""),5.0)</f>
        <v>5</v>
      </c>
      <c r="P67" s="235">
        <f>IFERROR(__xludf.DUMMYFUNCTION("""COMPUTED_VALUE"""),2052.0)</f>
        <v>2052</v>
      </c>
      <c r="Q67" s="235">
        <f>IFERROR(__xludf.DUMMYFUNCTION("""COMPUTED_VALUE"""),5.0)</f>
        <v>5</v>
      </c>
      <c r="R67" s="235">
        <f>IFERROR(__xludf.DUMMYFUNCTION("""COMPUTED_VALUE"""),1698.0)</f>
        <v>1698</v>
      </c>
      <c r="S67" s="235">
        <f>IFERROR(__xludf.DUMMYFUNCTION("""COMPUTED_VALUE"""),1.0)</f>
        <v>1</v>
      </c>
      <c r="T67" s="235">
        <f>IFERROR(__xludf.DUMMYFUNCTION("""COMPUTED_VALUE"""),307.0)</f>
        <v>307</v>
      </c>
      <c r="U67" s="235">
        <f>IFERROR(__xludf.DUMMYFUNCTION("""COMPUTED_VALUE"""),47.0)</f>
        <v>47</v>
      </c>
      <c r="V67" s="235">
        <f>IFERROR(__xludf.DUMMYFUNCTION("""COMPUTED_VALUE"""),48.0)</f>
        <v>48</v>
      </c>
      <c r="W67" s="235">
        <f>IFERROR(__xludf.DUMMYFUNCTION("""COMPUTED_VALUE"""),10.0)</f>
        <v>10</v>
      </c>
      <c r="X67" s="235">
        <f>IFERROR(__xludf.DUMMYFUNCTION("""COMPUTED_VALUE"""),10.0)</f>
        <v>10</v>
      </c>
      <c r="Y67" s="235">
        <f>IFERROR(__xludf.DUMMYFUNCTION("""COMPUTED_VALUE"""),3.0)</f>
        <v>3</v>
      </c>
      <c r="Z67" s="235">
        <f>IFERROR(__xludf.DUMMYFUNCTION("""COMPUTED_VALUE"""),980.0)</f>
        <v>980</v>
      </c>
    </row>
    <row r="68">
      <c r="A68" s="234">
        <f>IFERROR(__xludf.DUMMYFUNCTION("""COMPUTED_VALUE"""),44015.0)</f>
        <v>44015</v>
      </c>
      <c r="B68" s="235">
        <f>IFERROR(__xludf.DUMMYFUNCTION("""COMPUTED_VALUE"""),50.0)</f>
        <v>50</v>
      </c>
      <c r="C68" s="235">
        <f>IFERROR(__xludf.DUMMYFUNCTION("""COMPUTED_VALUE"""),99.0)</f>
        <v>99</v>
      </c>
      <c r="D68" s="235">
        <f>IFERROR(__xludf.DUMMYFUNCTION("""COMPUTED_VALUE"""),24865.0)</f>
        <v>24865</v>
      </c>
      <c r="E68" s="235">
        <f>IFERROR(__xludf.DUMMYFUNCTION("""COMPUTED_VALUE"""),2079.0)</f>
        <v>2079</v>
      </c>
      <c r="F68" s="173">
        <f>IFERROR(__xludf.DUMMYFUNCTION("""COMPUTED_VALUE"""),242089.0)</f>
        <v>242089</v>
      </c>
      <c r="G68" s="173">
        <f>IFERROR(__xludf.DUMMYFUNCTION("""COMPUTED_VALUE"""),2129.0)</f>
        <v>2129</v>
      </c>
      <c r="H68" s="173">
        <f>IFERROR(__xludf.DUMMYFUNCTION("""COMPUTED_VALUE"""),266954.0)</f>
        <v>266954</v>
      </c>
      <c r="I68" s="235">
        <f>IFERROR(__xludf.DUMMYFUNCTION("""COMPUTED_VALUE"""),25.0)</f>
        <v>25</v>
      </c>
      <c r="J68" s="235">
        <f>IFERROR(__xludf.DUMMYFUNCTION("""COMPUTED_VALUE"""),54.0)</f>
        <v>54</v>
      </c>
      <c r="K68" s="235">
        <f>IFERROR(__xludf.DUMMYFUNCTION("""COMPUTED_VALUE"""),16998.0)</f>
        <v>16998</v>
      </c>
      <c r="L68" s="235">
        <f>IFERROR(__xludf.DUMMYFUNCTION("""COMPUTED_VALUE"""),775.0)</f>
        <v>775</v>
      </c>
      <c r="M68" s="235">
        <f>IFERROR(__xludf.DUMMYFUNCTION("""COMPUTED_VALUE"""),140871.0)</f>
        <v>140871</v>
      </c>
      <c r="N68" s="235">
        <f>IFERROR(__xludf.DUMMYFUNCTION("""COMPUTED_VALUE"""),157869.0)</f>
        <v>157869</v>
      </c>
      <c r="O68" s="235">
        <f>IFERROR(__xludf.DUMMYFUNCTION("""COMPUTED_VALUE"""),9.0)</f>
        <v>9</v>
      </c>
      <c r="P68" s="235">
        <f>IFERROR(__xludf.DUMMYFUNCTION("""COMPUTED_VALUE"""),2061.0)</f>
        <v>2061</v>
      </c>
      <c r="Q68" s="235">
        <f>IFERROR(__xludf.DUMMYFUNCTION("""COMPUTED_VALUE"""),6.0)</f>
        <v>6</v>
      </c>
      <c r="R68" s="235">
        <f>IFERROR(__xludf.DUMMYFUNCTION("""COMPUTED_VALUE"""),1704.0)</f>
        <v>1704</v>
      </c>
      <c r="S68" s="235">
        <f>IFERROR(__xludf.DUMMYFUNCTION("""COMPUTED_VALUE"""),0.0)</f>
        <v>0</v>
      </c>
      <c r="T68" s="235">
        <f>IFERROR(__xludf.DUMMYFUNCTION("""COMPUTED_VALUE"""),307.0)</f>
        <v>307</v>
      </c>
      <c r="U68" s="235">
        <f>IFERROR(__xludf.DUMMYFUNCTION("""COMPUTED_VALUE"""),50.0)</f>
        <v>50</v>
      </c>
      <c r="V68" s="235">
        <f>IFERROR(__xludf.DUMMYFUNCTION("""COMPUTED_VALUE"""),48.0)</f>
        <v>48</v>
      </c>
      <c r="W68" s="235">
        <f>IFERROR(__xludf.DUMMYFUNCTION("""COMPUTED_VALUE"""),9.0)</f>
        <v>9</v>
      </c>
      <c r="X68" s="235">
        <f>IFERROR(__xludf.DUMMYFUNCTION("""COMPUTED_VALUE"""),9.0)</f>
        <v>9</v>
      </c>
      <c r="Y68" s="235">
        <f>IFERROR(__xludf.DUMMYFUNCTION("""COMPUTED_VALUE"""),3.0)</f>
        <v>3</v>
      </c>
      <c r="Z68" s="235">
        <f>IFERROR(__xludf.DUMMYFUNCTION("""COMPUTED_VALUE"""),983.0)</f>
        <v>983</v>
      </c>
    </row>
    <row r="69">
      <c r="A69" s="234">
        <f>IFERROR(__xludf.DUMMYFUNCTION("""COMPUTED_VALUE"""),44016.0)</f>
        <v>44016</v>
      </c>
      <c r="B69" s="235">
        <f>IFERROR(__xludf.DUMMYFUNCTION("""COMPUTED_VALUE"""),57.0)</f>
        <v>57</v>
      </c>
      <c r="C69" s="235">
        <f>IFERROR(__xludf.DUMMYFUNCTION("""COMPUTED_VALUE"""),70.0)</f>
        <v>70</v>
      </c>
      <c r="D69" s="235">
        <f>IFERROR(__xludf.DUMMYFUNCTION("""COMPUTED_VALUE"""),24922.0)</f>
        <v>24922</v>
      </c>
      <c r="E69" s="235">
        <f>IFERROR(__xludf.DUMMYFUNCTION("""COMPUTED_VALUE"""),2345.0)</f>
        <v>2345</v>
      </c>
      <c r="F69" s="173">
        <f>IFERROR(__xludf.DUMMYFUNCTION("""COMPUTED_VALUE"""),244434.0)</f>
        <v>244434</v>
      </c>
      <c r="G69" s="173">
        <f>IFERROR(__xludf.DUMMYFUNCTION("""COMPUTED_VALUE"""),2402.0)</f>
        <v>2402</v>
      </c>
      <c r="H69" s="173">
        <f>IFERROR(__xludf.DUMMYFUNCTION("""COMPUTED_VALUE"""),269356.0)</f>
        <v>269356</v>
      </c>
      <c r="I69" s="235">
        <f>IFERROR(__xludf.DUMMYFUNCTION("""COMPUTED_VALUE"""),33.0)</f>
        <v>33</v>
      </c>
      <c r="J69" s="235">
        <f>IFERROR(__xludf.DUMMYFUNCTION("""COMPUTED_VALUE"""),39.0)</f>
        <v>39</v>
      </c>
      <c r="K69" s="235">
        <f>IFERROR(__xludf.DUMMYFUNCTION("""COMPUTED_VALUE"""),17031.0)</f>
        <v>17031</v>
      </c>
      <c r="L69" s="235">
        <f>IFERROR(__xludf.DUMMYFUNCTION("""COMPUTED_VALUE"""),990.0)</f>
        <v>990</v>
      </c>
      <c r="M69" s="235">
        <f>IFERROR(__xludf.DUMMYFUNCTION("""COMPUTED_VALUE"""),141861.0)</f>
        <v>141861</v>
      </c>
      <c r="N69" s="235">
        <f>IFERROR(__xludf.DUMMYFUNCTION("""COMPUTED_VALUE"""),158892.0)</f>
        <v>158892</v>
      </c>
      <c r="O69" s="235">
        <f>IFERROR(__xludf.DUMMYFUNCTION("""COMPUTED_VALUE"""),2.0)</f>
        <v>2</v>
      </c>
      <c r="P69" s="235">
        <f>IFERROR(__xludf.DUMMYFUNCTION("""COMPUTED_VALUE"""),2063.0)</f>
        <v>2063</v>
      </c>
      <c r="Q69" s="235">
        <f>IFERROR(__xludf.DUMMYFUNCTION("""COMPUTED_VALUE"""),4.0)</f>
        <v>4</v>
      </c>
      <c r="R69" s="235">
        <f>IFERROR(__xludf.DUMMYFUNCTION("""COMPUTED_VALUE"""),1708.0)</f>
        <v>1708</v>
      </c>
      <c r="S69" s="235">
        <f>IFERROR(__xludf.DUMMYFUNCTION("""COMPUTED_VALUE"""),1.0)</f>
        <v>1</v>
      </c>
      <c r="T69" s="235">
        <f>IFERROR(__xludf.DUMMYFUNCTION("""COMPUTED_VALUE"""),308.0)</f>
        <v>308</v>
      </c>
      <c r="U69" s="235">
        <f>IFERROR(__xludf.DUMMYFUNCTION("""COMPUTED_VALUE"""),47.0)</f>
        <v>47</v>
      </c>
      <c r="V69" s="235">
        <f>IFERROR(__xludf.DUMMYFUNCTION("""COMPUTED_VALUE"""),48.0)</f>
        <v>48</v>
      </c>
      <c r="W69" s="235">
        <f>IFERROR(__xludf.DUMMYFUNCTION("""COMPUTED_VALUE"""),10.0)</f>
        <v>10</v>
      </c>
      <c r="X69" s="235">
        <f>IFERROR(__xludf.DUMMYFUNCTION("""COMPUTED_VALUE"""),9.0)</f>
        <v>9</v>
      </c>
      <c r="Y69" s="235">
        <f>IFERROR(__xludf.DUMMYFUNCTION("""COMPUTED_VALUE"""),2.0)</f>
        <v>2</v>
      </c>
      <c r="Z69" s="235">
        <f>IFERROR(__xludf.DUMMYFUNCTION("""COMPUTED_VALUE"""),985.0)</f>
        <v>985</v>
      </c>
    </row>
    <row r="70">
      <c r="A70" s="234">
        <f>IFERROR(__xludf.DUMMYFUNCTION("""COMPUTED_VALUE"""),44017.0)</f>
        <v>44017</v>
      </c>
      <c r="B70" s="235">
        <f>IFERROR(__xludf.DUMMYFUNCTION("""COMPUTED_VALUE"""),49.0)</f>
        <v>49</v>
      </c>
      <c r="C70" s="235">
        <f>IFERROR(__xludf.DUMMYFUNCTION("""COMPUTED_VALUE"""),52.0)</f>
        <v>52</v>
      </c>
      <c r="D70" s="235">
        <f>IFERROR(__xludf.DUMMYFUNCTION("""COMPUTED_VALUE"""),24971.0)</f>
        <v>24971</v>
      </c>
      <c r="E70" s="235">
        <f>IFERROR(__xludf.DUMMYFUNCTION("""COMPUTED_VALUE"""),2932.0)</f>
        <v>2932</v>
      </c>
      <c r="F70" s="173">
        <f>IFERROR(__xludf.DUMMYFUNCTION("""COMPUTED_VALUE"""),247366.0)</f>
        <v>247366</v>
      </c>
      <c r="G70" s="173">
        <f>IFERROR(__xludf.DUMMYFUNCTION("""COMPUTED_VALUE"""),2981.0)</f>
        <v>2981</v>
      </c>
      <c r="H70" s="173">
        <f>IFERROR(__xludf.DUMMYFUNCTION("""COMPUTED_VALUE"""),272337.0)</f>
        <v>272337</v>
      </c>
      <c r="I70" s="235">
        <f>IFERROR(__xludf.DUMMYFUNCTION("""COMPUTED_VALUE"""),26.0)</f>
        <v>26</v>
      </c>
      <c r="J70" s="235">
        <f>IFERROR(__xludf.DUMMYFUNCTION("""COMPUTED_VALUE"""),28.0)</f>
        <v>28</v>
      </c>
      <c r="K70" s="235">
        <f>IFERROR(__xludf.DUMMYFUNCTION("""COMPUTED_VALUE"""),17057.0)</f>
        <v>17057</v>
      </c>
      <c r="L70" s="235">
        <f>IFERROR(__xludf.DUMMYFUNCTION("""COMPUTED_VALUE"""),1420.0)</f>
        <v>1420</v>
      </c>
      <c r="M70" s="235">
        <f>IFERROR(__xludf.DUMMYFUNCTION("""COMPUTED_VALUE"""),143281.0)</f>
        <v>143281</v>
      </c>
      <c r="N70" s="235">
        <f>IFERROR(__xludf.DUMMYFUNCTION("""COMPUTED_VALUE"""),160338.0)</f>
        <v>160338</v>
      </c>
      <c r="O70" s="235">
        <f>IFERROR(__xludf.DUMMYFUNCTION("""COMPUTED_VALUE"""),1.0)</f>
        <v>1</v>
      </c>
      <c r="P70" s="235">
        <f>IFERROR(__xludf.DUMMYFUNCTION("""COMPUTED_VALUE"""),2064.0)</f>
        <v>2064</v>
      </c>
      <c r="Q70" s="235">
        <f>IFERROR(__xludf.DUMMYFUNCTION("""COMPUTED_VALUE"""),2.0)</f>
        <v>2</v>
      </c>
      <c r="R70" s="235">
        <f>IFERROR(__xludf.DUMMYFUNCTION("""COMPUTED_VALUE"""),1710.0)</f>
        <v>1710</v>
      </c>
      <c r="S70" s="235">
        <f>IFERROR(__xludf.DUMMYFUNCTION("""COMPUTED_VALUE"""),1.0)</f>
        <v>1</v>
      </c>
      <c r="T70" s="235">
        <f>IFERROR(__xludf.DUMMYFUNCTION("""COMPUTED_VALUE"""),309.0)</f>
        <v>309</v>
      </c>
      <c r="U70" s="235">
        <f>IFERROR(__xludf.DUMMYFUNCTION("""COMPUTED_VALUE"""),45.0)</f>
        <v>45</v>
      </c>
      <c r="V70" s="235">
        <f>IFERROR(__xludf.DUMMYFUNCTION("""COMPUTED_VALUE"""),47.0)</f>
        <v>47</v>
      </c>
      <c r="W70" s="235">
        <f>IFERROR(__xludf.DUMMYFUNCTION("""COMPUTED_VALUE"""),8.0)</f>
        <v>8</v>
      </c>
      <c r="X70" s="235">
        <f>IFERROR(__xludf.DUMMYFUNCTION("""COMPUTED_VALUE"""),8.0)</f>
        <v>8</v>
      </c>
      <c r="Y70" s="235">
        <f>IFERROR(__xludf.DUMMYFUNCTION("""COMPUTED_VALUE"""),2.0)</f>
        <v>2</v>
      </c>
      <c r="Z70" s="235">
        <f>IFERROR(__xludf.DUMMYFUNCTION("""COMPUTED_VALUE"""),987.0)</f>
        <v>987</v>
      </c>
    </row>
    <row r="71">
      <c r="A71" s="234">
        <f>IFERROR(__xludf.DUMMYFUNCTION("""COMPUTED_VALUE"""),44018.0)</f>
        <v>44018</v>
      </c>
      <c r="B71" s="235">
        <f>IFERROR(__xludf.DUMMYFUNCTION("""COMPUTED_VALUE"""),101.0)</f>
        <v>101</v>
      </c>
      <c r="C71" s="235">
        <f>IFERROR(__xludf.DUMMYFUNCTION("""COMPUTED_VALUE"""),69.0)</f>
        <v>69</v>
      </c>
      <c r="D71" s="235">
        <f>IFERROR(__xludf.DUMMYFUNCTION("""COMPUTED_VALUE"""),25072.0)</f>
        <v>25072</v>
      </c>
      <c r="E71" s="235">
        <f>IFERROR(__xludf.DUMMYFUNCTION("""COMPUTED_VALUE"""),2814.0)</f>
        <v>2814</v>
      </c>
      <c r="F71" s="173">
        <f>IFERROR(__xludf.DUMMYFUNCTION("""COMPUTED_VALUE"""),250180.0)</f>
        <v>250180</v>
      </c>
      <c r="G71" s="173">
        <f>IFERROR(__xludf.DUMMYFUNCTION("""COMPUTED_VALUE"""),2915.0)</f>
        <v>2915</v>
      </c>
      <c r="H71" s="173">
        <f>IFERROR(__xludf.DUMMYFUNCTION("""COMPUTED_VALUE"""),275252.0)</f>
        <v>275252</v>
      </c>
      <c r="I71" s="235">
        <f>IFERROR(__xludf.DUMMYFUNCTION("""COMPUTED_VALUE"""),57.0)</f>
        <v>57</v>
      </c>
      <c r="J71" s="235">
        <f>IFERROR(__xludf.DUMMYFUNCTION("""COMPUTED_VALUE"""),39.0)</f>
        <v>39</v>
      </c>
      <c r="K71" s="235">
        <f>IFERROR(__xludf.DUMMYFUNCTION("""COMPUTED_VALUE"""),17114.0)</f>
        <v>17114</v>
      </c>
      <c r="L71" s="235">
        <f>IFERROR(__xludf.DUMMYFUNCTION("""COMPUTED_VALUE"""),1534.0)</f>
        <v>1534</v>
      </c>
      <c r="M71" s="235">
        <f>IFERROR(__xludf.DUMMYFUNCTION("""COMPUTED_VALUE"""),144815.0)</f>
        <v>144815</v>
      </c>
      <c r="N71" s="235">
        <f>IFERROR(__xludf.DUMMYFUNCTION("""COMPUTED_VALUE"""),161929.0)</f>
        <v>161929</v>
      </c>
      <c r="O71" s="235">
        <f>IFERROR(__xludf.DUMMYFUNCTION("""COMPUTED_VALUE"""),6.0)</f>
        <v>6</v>
      </c>
      <c r="P71" s="235">
        <f>IFERROR(__xludf.DUMMYFUNCTION("""COMPUTED_VALUE"""),2070.0)</f>
        <v>2070</v>
      </c>
      <c r="Q71" s="235">
        <f>IFERROR(__xludf.DUMMYFUNCTION("""COMPUTED_VALUE"""),6.0)</f>
        <v>6</v>
      </c>
      <c r="R71" s="235">
        <f>IFERROR(__xludf.DUMMYFUNCTION("""COMPUTED_VALUE"""),1716.0)</f>
        <v>1716</v>
      </c>
      <c r="S71" s="235">
        <f>IFERROR(__xludf.DUMMYFUNCTION("""COMPUTED_VALUE"""),0.0)</f>
        <v>0</v>
      </c>
      <c r="T71" s="235">
        <f>IFERROR(__xludf.DUMMYFUNCTION("""COMPUTED_VALUE"""),309.0)</f>
        <v>309</v>
      </c>
      <c r="U71" s="235">
        <f>IFERROR(__xludf.DUMMYFUNCTION("""COMPUTED_VALUE"""),45.0)</f>
        <v>45</v>
      </c>
      <c r="V71" s="235">
        <f>IFERROR(__xludf.DUMMYFUNCTION("""COMPUTED_VALUE"""),46.0)</f>
        <v>46</v>
      </c>
      <c r="W71" s="235">
        <f>IFERROR(__xludf.DUMMYFUNCTION("""COMPUTED_VALUE"""),9.0)</f>
        <v>9</v>
      </c>
      <c r="X71" s="235">
        <f>IFERROR(__xludf.DUMMYFUNCTION("""COMPUTED_VALUE"""),9.0)</f>
        <v>9</v>
      </c>
      <c r="Y71" s="235">
        <f>IFERROR(__xludf.DUMMYFUNCTION("""COMPUTED_VALUE"""),4.0)</f>
        <v>4</v>
      </c>
      <c r="Z71" s="235">
        <f>IFERROR(__xludf.DUMMYFUNCTION("""COMPUTED_VALUE"""),991.0)</f>
        <v>991</v>
      </c>
    </row>
    <row r="72">
      <c r="A72" s="234">
        <f>IFERROR(__xludf.DUMMYFUNCTION("""COMPUTED_VALUE"""),44019.0)</f>
        <v>44019</v>
      </c>
      <c r="B72" s="235">
        <f>IFERROR(__xludf.DUMMYFUNCTION("""COMPUTED_VALUE"""),81.0)</f>
        <v>81</v>
      </c>
      <c r="C72" s="235">
        <f>IFERROR(__xludf.DUMMYFUNCTION("""COMPUTED_VALUE"""),77.0)</f>
        <v>77</v>
      </c>
      <c r="D72" s="235">
        <f>IFERROR(__xludf.DUMMYFUNCTION("""COMPUTED_VALUE"""),25153.0)</f>
        <v>25153</v>
      </c>
      <c r="E72" s="235">
        <f>IFERROR(__xludf.DUMMYFUNCTION("""COMPUTED_VALUE"""),3457.0)</f>
        <v>3457</v>
      </c>
      <c r="F72" s="173">
        <f>IFERROR(__xludf.DUMMYFUNCTION("""COMPUTED_VALUE"""),253637.0)</f>
        <v>253637</v>
      </c>
      <c r="G72" s="173">
        <f>IFERROR(__xludf.DUMMYFUNCTION("""COMPUTED_VALUE"""),3538.0)</f>
        <v>3538</v>
      </c>
      <c r="H72" s="173">
        <f>IFERROR(__xludf.DUMMYFUNCTION("""COMPUTED_VALUE"""),278790.0)</f>
        <v>278790</v>
      </c>
      <c r="I72" s="235">
        <f>IFERROR(__xludf.DUMMYFUNCTION("""COMPUTED_VALUE"""),47.0)</f>
        <v>47</v>
      </c>
      <c r="J72" s="235">
        <f>IFERROR(__xludf.DUMMYFUNCTION("""COMPUTED_VALUE"""),43.0)</f>
        <v>43</v>
      </c>
      <c r="K72" s="235">
        <f>IFERROR(__xludf.DUMMYFUNCTION("""COMPUTED_VALUE"""),17161.0)</f>
        <v>17161</v>
      </c>
      <c r="L72" s="235">
        <f>IFERROR(__xludf.DUMMYFUNCTION("""COMPUTED_VALUE"""),1525.0)</f>
        <v>1525</v>
      </c>
      <c r="M72" s="235">
        <f>IFERROR(__xludf.DUMMYFUNCTION("""COMPUTED_VALUE"""),146340.0)</f>
        <v>146340</v>
      </c>
      <c r="N72" s="235">
        <f>IFERROR(__xludf.DUMMYFUNCTION("""COMPUTED_VALUE"""),163501.0)</f>
        <v>163501</v>
      </c>
      <c r="O72" s="235">
        <f>IFERROR(__xludf.DUMMYFUNCTION("""COMPUTED_VALUE"""),5.0)</f>
        <v>5</v>
      </c>
      <c r="P72" s="235">
        <f>IFERROR(__xludf.DUMMYFUNCTION("""COMPUTED_VALUE"""),2075.0)</f>
        <v>2075</v>
      </c>
      <c r="Q72" s="235">
        <f>IFERROR(__xludf.DUMMYFUNCTION("""COMPUTED_VALUE"""),7.0)</f>
        <v>7</v>
      </c>
      <c r="R72" s="235">
        <f>IFERROR(__xludf.DUMMYFUNCTION("""COMPUTED_VALUE"""),1723.0)</f>
        <v>1723</v>
      </c>
      <c r="S72" s="235">
        <f>IFERROR(__xludf.DUMMYFUNCTION("""COMPUTED_VALUE"""),0.0)</f>
        <v>0</v>
      </c>
      <c r="T72" s="235">
        <f>IFERROR(__xludf.DUMMYFUNCTION("""COMPUTED_VALUE"""),309.0)</f>
        <v>309</v>
      </c>
      <c r="U72" s="235">
        <f>IFERROR(__xludf.DUMMYFUNCTION("""COMPUTED_VALUE"""),43.0)</f>
        <v>43</v>
      </c>
      <c r="V72" s="235">
        <f>IFERROR(__xludf.DUMMYFUNCTION("""COMPUTED_VALUE"""),44.0)</f>
        <v>44</v>
      </c>
      <c r="W72" s="235">
        <f>IFERROR(__xludf.DUMMYFUNCTION("""COMPUTED_VALUE"""),8.0)</f>
        <v>8</v>
      </c>
      <c r="X72" s="235">
        <f>IFERROR(__xludf.DUMMYFUNCTION("""COMPUTED_VALUE"""),8.0)</f>
        <v>8</v>
      </c>
      <c r="Y72" s="235">
        <f>IFERROR(__xludf.DUMMYFUNCTION("""COMPUTED_VALUE"""),2.0)</f>
        <v>2</v>
      </c>
      <c r="Z72" s="235">
        <f>IFERROR(__xludf.DUMMYFUNCTION("""COMPUTED_VALUE"""),993.0)</f>
        <v>993</v>
      </c>
    </row>
    <row r="73">
      <c r="A73" s="234">
        <f>IFERROR(__xludf.DUMMYFUNCTION("""COMPUTED_VALUE"""),44020.0)</f>
        <v>44020</v>
      </c>
      <c r="B73" s="235">
        <f>IFERROR(__xludf.DUMMYFUNCTION("""COMPUTED_VALUE"""),105.0)</f>
        <v>105</v>
      </c>
      <c r="C73" s="235">
        <f>IFERROR(__xludf.DUMMYFUNCTION("""COMPUTED_VALUE"""),96.0)</f>
        <v>96</v>
      </c>
      <c r="D73" s="235">
        <f>IFERROR(__xludf.DUMMYFUNCTION("""COMPUTED_VALUE"""),25258.0)</f>
        <v>25258</v>
      </c>
      <c r="E73" s="235">
        <f>IFERROR(__xludf.DUMMYFUNCTION("""COMPUTED_VALUE"""),3409.0)</f>
        <v>3409</v>
      </c>
      <c r="F73" s="173">
        <f>IFERROR(__xludf.DUMMYFUNCTION("""COMPUTED_VALUE"""),257046.0)</f>
        <v>257046</v>
      </c>
      <c r="G73" s="173">
        <f>IFERROR(__xludf.DUMMYFUNCTION("""COMPUTED_VALUE"""),3514.0)</f>
        <v>3514</v>
      </c>
      <c r="H73" s="173">
        <f>IFERROR(__xludf.DUMMYFUNCTION("""COMPUTED_VALUE"""),282304.0)</f>
        <v>282304</v>
      </c>
      <c r="I73" s="235">
        <f>IFERROR(__xludf.DUMMYFUNCTION("""COMPUTED_VALUE"""),64.0)</f>
        <v>64</v>
      </c>
      <c r="J73" s="235">
        <f>IFERROR(__xludf.DUMMYFUNCTION("""COMPUTED_VALUE"""),56.0)</f>
        <v>56</v>
      </c>
      <c r="K73" s="235">
        <f>IFERROR(__xludf.DUMMYFUNCTION("""COMPUTED_VALUE"""),17225.0)</f>
        <v>17225</v>
      </c>
      <c r="L73" s="235">
        <f>IFERROR(__xludf.DUMMYFUNCTION("""COMPUTED_VALUE"""),1401.0)</f>
        <v>1401</v>
      </c>
      <c r="M73" s="235">
        <f>IFERROR(__xludf.DUMMYFUNCTION("""COMPUTED_VALUE"""),147741.0)</f>
        <v>147741</v>
      </c>
      <c r="N73" s="235">
        <f>IFERROR(__xludf.DUMMYFUNCTION("""COMPUTED_VALUE"""),164966.0)</f>
        <v>164966</v>
      </c>
      <c r="O73" s="235">
        <f>IFERROR(__xludf.DUMMYFUNCTION("""COMPUTED_VALUE"""),4.0)</f>
        <v>4</v>
      </c>
      <c r="P73" s="235">
        <f>IFERROR(__xludf.DUMMYFUNCTION("""COMPUTED_VALUE"""),2079.0)</f>
        <v>2079</v>
      </c>
      <c r="Q73" s="235">
        <f>IFERROR(__xludf.DUMMYFUNCTION("""COMPUTED_VALUE"""),2.0)</f>
        <v>2</v>
      </c>
      <c r="R73" s="235">
        <f>IFERROR(__xludf.DUMMYFUNCTION("""COMPUTED_VALUE"""),1725.0)</f>
        <v>1725</v>
      </c>
      <c r="S73" s="235">
        <f>IFERROR(__xludf.DUMMYFUNCTION("""COMPUTED_VALUE"""),0.0)</f>
        <v>0</v>
      </c>
      <c r="T73" s="235">
        <f>IFERROR(__xludf.DUMMYFUNCTION("""COMPUTED_VALUE"""),309.0)</f>
        <v>309</v>
      </c>
      <c r="U73" s="235">
        <f>IFERROR(__xludf.DUMMYFUNCTION("""COMPUTED_VALUE"""),45.0)</f>
        <v>45</v>
      </c>
      <c r="V73" s="235">
        <f>IFERROR(__xludf.DUMMYFUNCTION("""COMPUTED_VALUE"""),44.0)</f>
        <v>44</v>
      </c>
      <c r="W73" s="235">
        <f>IFERROR(__xludf.DUMMYFUNCTION("""COMPUTED_VALUE"""),9.0)</f>
        <v>9</v>
      </c>
      <c r="X73" s="235">
        <f>IFERROR(__xludf.DUMMYFUNCTION("""COMPUTED_VALUE"""),8.0)</f>
        <v>8</v>
      </c>
      <c r="Y73" s="235">
        <f>IFERROR(__xludf.DUMMYFUNCTION("""COMPUTED_VALUE"""),0.0)</f>
        <v>0</v>
      </c>
      <c r="Z73" s="235">
        <f>IFERROR(__xludf.DUMMYFUNCTION("""COMPUTED_VALUE"""),993.0)</f>
        <v>993</v>
      </c>
    </row>
    <row r="74">
      <c r="A74" s="234">
        <f>IFERROR(__xludf.DUMMYFUNCTION("""COMPUTED_VALUE"""),44021.0)</f>
        <v>44021</v>
      </c>
      <c r="B74" s="235">
        <f>IFERROR(__xludf.DUMMYFUNCTION("""COMPUTED_VALUE"""),94.0)</f>
        <v>94</v>
      </c>
      <c r="C74" s="235">
        <f>IFERROR(__xludf.DUMMYFUNCTION("""COMPUTED_VALUE"""),93.0)</f>
        <v>93</v>
      </c>
      <c r="D74" s="235">
        <f>IFERROR(__xludf.DUMMYFUNCTION("""COMPUTED_VALUE"""),25352.0)</f>
        <v>25352</v>
      </c>
      <c r="E74" s="235">
        <f>IFERROR(__xludf.DUMMYFUNCTION("""COMPUTED_VALUE"""),3714.0)</f>
        <v>3714</v>
      </c>
      <c r="F74" s="173">
        <f>IFERROR(__xludf.DUMMYFUNCTION("""COMPUTED_VALUE"""),260760.0)</f>
        <v>260760</v>
      </c>
      <c r="G74" s="173">
        <f>IFERROR(__xludf.DUMMYFUNCTION("""COMPUTED_VALUE"""),3808.0)</f>
        <v>3808</v>
      </c>
      <c r="H74" s="173">
        <f>IFERROR(__xludf.DUMMYFUNCTION("""COMPUTED_VALUE"""),286112.0)</f>
        <v>286112</v>
      </c>
      <c r="I74" s="235">
        <f>IFERROR(__xludf.DUMMYFUNCTION("""COMPUTED_VALUE"""),50.0)</f>
        <v>50</v>
      </c>
      <c r="J74" s="235">
        <f>IFERROR(__xludf.DUMMYFUNCTION("""COMPUTED_VALUE"""),54.0)</f>
        <v>54</v>
      </c>
      <c r="K74" s="235">
        <f>IFERROR(__xludf.DUMMYFUNCTION("""COMPUTED_VALUE"""),17275.0)</f>
        <v>17275</v>
      </c>
      <c r="L74" s="235">
        <f>IFERROR(__xludf.DUMMYFUNCTION("""COMPUTED_VALUE"""),1602.0)</f>
        <v>1602</v>
      </c>
      <c r="M74" s="235">
        <f>IFERROR(__xludf.DUMMYFUNCTION("""COMPUTED_VALUE"""),149343.0)</f>
        <v>149343</v>
      </c>
      <c r="N74" s="235">
        <f>IFERROR(__xludf.DUMMYFUNCTION("""COMPUTED_VALUE"""),166618.0)</f>
        <v>166618</v>
      </c>
      <c r="O74" s="235">
        <f>IFERROR(__xludf.DUMMYFUNCTION("""COMPUTED_VALUE"""),9.0)</f>
        <v>9</v>
      </c>
      <c r="P74" s="235">
        <f>IFERROR(__xludf.DUMMYFUNCTION("""COMPUTED_VALUE"""),2088.0)</f>
        <v>2088</v>
      </c>
      <c r="Q74" s="235">
        <f>IFERROR(__xludf.DUMMYFUNCTION("""COMPUTED_VALUE"""),3.0)</f>
        <v>3</v>
      </c>
      <c r="R74" s="235">
        <f>IFERROR(__xludf.DUMMYFUNCTION("""COMPUTED_VALUE"""),1728.0)</f>
        <v>1728</v>
      </c>
      <c r="S74" s="235">
        <f>IFERROR(__xludf.DUMMYFUNCTION("""COMPUTED_VALUE"""),0.0)</f>
        <v>0</v>
      </c>
      <c r="T74" s="235">
        <f>IFERROR(__xludf.DUMMYFUNCTION("""COMPUTED_VALUE"""),309.0)</f>
        <v>309</v>
      </c>
      <c r="U74" s="235">
        <f>IFERROR(__xludf.DUMMYFUNCTION("""COMPUTED_VALUE"""),51.0)</f>
        <v>51</v>
      </c>
      <c r="V74" s="235">
        <f>IFERROR(__xludf.DUMMYFUNCTION("""COMPUTED_VALUE"""),46.0)</f>
        <v>46</v>
      </c>
      <c r="W74" s="235">
        <f>IFERROR(__xludf.DUMMYFUNCTION("""COMPUTED_VALUE"""),9.0)</f>
        <v>9</v>
      </c>
      <c r="X74" s="235">
        <f>IFERROR(__xludf.DUMMYFUNCTION("""COMPUTED_VALUE"""),8.0)</f>
        <v>8</v>
      </c>
      <c r="Y74" s="235">
        <f>IFERROR(__xludf.DUMMYFUNCTION("""COMPUTED_VALUE"""),0.0)</f>
        <v>0</v>
      </c>
      <c r="Z74" s="235">
        <f>IFERROR(__xludf.DUMMYFUNCTION("""COMPUTED_VALUE"""),993.0)</f>
        <v>993</v>
      </c>
    </row>
    <row r="75">
      <c r="A75" s="234">
        <f>IFERROR(__xludf.DUMMYFUNCTION("""COMPUTED_VALUE"""),44022.0)</f>
        <v>44022</v>
      </c>
      <c r="B75" s="235">
        <f>IFERROR(__xludf.DUMMYFUNCTION("""COMPUTED_VALUE"""),132.0)</f>
        <v>132</v>
      </c>
      <c r="C75" s="235">
        <f>IFERROR(__xludf.DUMMYFUNCTION("""COMPUTED_VALUE"""),110.0)</f>
        <v>110</v>
      </c>
      <c r="D75" s="235">
        <f>IFERROR(__xludf.DUMMYFUNCTION("""COMPUTED_VALUE"""),25484.0)</f>
        <v>25484</v>
      </c>
      <c r="E75" s="235">
        <f>IFERROR(__xludf.DUMMYFUNCTION("""COMPUTED_VALUE"""),4437.0)</f>
        <v>4437</v>
      </c>
      <c r="F75" s="173">
        <f>IFERROR(__xludf.DUMMYFUNCTION("""COMPUTED_VALUE"""),265197.0)</f>
        <v>265197</v>
      </c>
      <c r="G75" s="173">
        <f>IFERROR(__xludf.DUMMYFUNCTION("""COMPUTED_VALUE"""),4569.0)</f>
        <v>4569</v>
      </c>
      <c r="H75" s="173">
        <f>IFERROR(__xludf.DUMMYFUNCTION("""COMPUTED_VALUE"""),290681.0)</f>
        <v>290681</v>
      </c>
      <c r="I75" s="235">
        <f>IFERROR(__xludf.DUMMYFUNCTION("""COMPUTED_VALUE"""),80.0)</f>
        <v>80</v>
      </c>
      <c r="J75" s="235">
        <f>IFERROR(__xludf.DUMMYFUNCTION("""COMPUTED_VALUE"""),65.0)</f>
        <v>65</v>
      </c>
      <c r="K75" s="235">
        <f>IFERROR(__xludf.DUMMYFUNCTION("""COMPUTED_VALUE"""),17355.0)</f>
        <v>17355</v>
      </c>
      <c r="L75" s="235">
        <f>IFERROR(__xludf.DUMMYFUNCTION("""COMPUTED_VALUE"""),2053.0)</f>
        <v>2053</v>
      </c>
      <c r="M75" s="235">
        <f>IFERROR(__xludf.DUMMYFUNCTION("""COMPUTED_VALUE"""),151396.0)</f>
        <v>151396</v>
      </c>
      <c r="N75" s="235">
        <f>IFERROR(__xludf.DUMMYFUNCTION("""COMPUTED_VALUE"""),168751.0)</f>
        <v>168751</v>
      </c>
      <c r="O75" s="235">
        <f>IFERROR(__xludf.DUMMYFUNCTION("""COMPUTED_VALUE"""),6.0)</f>
        <v>6</v>
      </c>
      <c r="P75" s="235">
        <f>IFERROR(__xludf.DUMMYFUNCTION("""COMPUTED_VALUE"""),2094.0)</f>
        <v>2094</v>
      </c>
      <c r="Q75" s="235">
        <f>IFERROR(__xludf.DUMMYFUNCTION("""COMPUTED_VALUE"""),3.0)</f>
        <v>3</v>
      </c>
      <c r="R75" s="235">
        <f>IFERROR(__xludf.DUMMYFUNCTION("""COMPUTED_VALUE"""),1731.0)</f>
        <v>1731</v>
      </c>
      <c r="S75" s="235">
        <f>IFERROR(__xludf.DUMMYFUNCTION("""COMPUTED_VALUE"""),2.0)</f>
        <v>2</v>
      </c>
      <c r="T75" s="235">
        <f>IFERROR(__xludf.DUMMYFUNCTION("""COMPUTED_VALUE"""),311.0)</f>
        <v>311</v>
      </c>
      <c r="U75" s="235">
        <f>IFERROR(__xludf.DUMMYFUNCTION("""COMPUTED_VALUE"""),52.0)</f>
        <v>52</v>
      </c>
      <c r="V75" s="235">
        <f>IFERROR(__xludf.DUMMYFUNCTION("""COMPUTED_VALUE"""),49.0)</f>
        <v>49</v>
      </c>
      <c r="W75" s="235">
        <f>IFERROR(__xludf.DUMMYFUNCTION("""COMPUTED_VALUE"""),7.0)</f>
        <v>7</v>
      </c>
      <c r="X75" s="235">
        <f>IFERROR(__xludf.DUMMYFUNCTION("""COMPUTED_VALUE"""),7.0)</f>
        <v>7</v>
      </c>
      <c r="Y75" s="235">
        <f>IFERROR(__xludf.DUMMYFUNCTION("""COMPUTED_VALUE"""),3.0)</f>
        <v>3</v>
      </c>
      <c r="Z75" s="235">
        <f>IFERROR(__xludf.DUMMYFUNCTION("""COMPUTED_VALUE"""),996.0)</f>
        <v>996</v>
      </c>
    </row>
    <row r="76">
      <c r="A76" s="234">
        <f>IFERROR(__xludf.DUMMYFUNCTION("""COMPUTED_VALUE"""),44023.0)</f>
        <v>44023</v>
      </c>
      <c r="B76" s="235">
        <f>IFERROR(__xludf.DUMMYFUNCTION("""COMPUTED_VALUE"""),63.0)</f>
        <v>63</v>
      </c>
      <c r="C76" s="235">
        <f>IFERROR(__xludf.DUMMYFUNCTION("""COMPUTED_VALUE"""),96.0)</f>
        <v>96</v>
      </c>
      <c r="D76" s="235">
        <f>IFERROR(__xludf.DUMMYFUNCTION("""COMPUTED_VALUE"""),25547.0)</f>
        <v>25547</v>
      </c>
      <c r="E76" s="235">
        <f>IFERROR(__xludf.DUMMYFUNCTION("""COMPUTED_VALUE"""),2938.0)</f>
        <v>2938</v>
      </c>
      <c r="F76" s="173">
        <f>IFERROR(__xludf.DUMMYFUNCTION("""COMPUTED_VALUE"""),268135.0)</f>
        <v>268135</v>
      </c>
      <c r="G76" s="173">
        <f>IFERROR(__xludf.DUMMYFUNCTION("""COMPUTED_VALUE"""),3001.0)</f>
        <v>3001</v>
      </c>
      <c r="H76" s="173">
        <f>IFERROR(__xludf.DUMMYFUNCTION("""COMPUTED_VALUE"""),293682.0)</f>
        <v>293682</v>
      </c>
      <c r="I76" s="235">
        <f>IFERROR(__xludf.DUMMYFUNCTION("""COMPUTED_VALUE"""),36.0)</f>
        <v>36</v>
      </c>
      <c r="J76" s="235">
        <f>IFERROR(__xludf.DUMMYFUNCTION("""COMPUTED_VALUE"""),55.0)</f>
        <v>55</v>
      </c>
      <c r="K76" s="235">
        <f>IFERROR(__xludf.DUMMYFUNCTION("""COMPUTED_VALUE"""),17391.0)</f>
        <v>17391</v>
      </c>
      <c r="L76" s="235">
        <f>IFERROR(__xludf.DUMMYFUNCTION("""COMPUTED_VALUE"""),1306.0)</f>
        <v>1306</v>
      </c>
      <c r="M76" s="235">
        <f>IFERROR(__xludf.DUMMYFUNCTION("""COMPUTED_VALUE"""),152702.0)</f>
        <v>152702</v>
      </c>
      <c r="N76" s="235">
        <f>IFERROR(__xludf.DUMMYFUNCTION("""COMPUTED_VALUE"""),170093.0)</f>
        <v>170093</v>
      </c>
      <c r="O76" s="235">
        <f>IFERROR(__xludf.DUMMYFUNCTION("""COMPUTED_VALUE"""),6.0)</f>
        <v>6</v>
      </c>
      <c r="P76" s="235">
        <f>IFERROR(__xludf.DUMMYFUNCTION("""COMPUTED_VALUE"""),2100.0)</f>
        <v>2100</v>
      </c>
      <c r="Q76" s="235">
        <f>IFERROR(__xludf.DUMMYFUNCTION("""COMPUTED_VALUE"""),3.0)</f>
        <v>3</v>
      </c>
      <c r="R76" s="235">
        <f>IFERROR(__xludf.DUMMYFUNCTION("""COMPUTED_VALUE"""),1734.0)</f>
        <v>1734</v>
      </c>
      <c r="S76" s="235">
        <f>IFERROR(__xludf.DUMMYFUNCTION("""COMPUTED_VALUE"""),1.0)</f>
        <v>1</v>
      </c>
      <c r="T76" s="235">
        <f>IFERROR(__xludf.DUMMYFUNCTION("""COMPUTED_VALUE"""),312.0)</f>
        <v>312</v>
      </c>
      <c r="U76" s="235">
        <f>IFERROR(__xludf.DUMMYFUNCTION("""COMPUTED_VALUE"""),54.0)</f>
        <v>54</v>
      </c>
      <c r="V76" s="235">
        <f>IFERROR(__xludf.DUMMYFUNCTION("""COMPUTED_VALUE"""),52.0)</f>
        <v>52</v>
      </c>
      <c r="W76" s="235">
        <f>IFERROR(__xludf.DUMMYFUNCTION("""COMPUTED_VALUE"""),6.0)</f>
        <v>6</v>
      </c>
      <c r="X76" s="235">
        <f>IFERROR(__xludf.DUMMYFUNCTION("""COMPUTED_VALUE"""),6.0)</f>
        <v>6</v>
      </c>
      <c r="Y76" s="235">
        <f>IFERROR(__xludf.DUMMYFUNCTION("""COMPUTED_VALUE"""),3.0)</f>
        <v>3</v>
      </c>
      <c r="Z76" s="235">
        <f>IFERROR(__xludf.DUMMYFUNCTION("""COMPUTED_VALUE"""),999.0)</f>
        <v>999</v>
      </c>
    </row>
    <row r="77">
      <c r="A77" s="234">
        <f>IFERROR(__xludf.DUMMYFUNCTION("""COMPUTED_VALUE"""),44024.0)</f>
        <v>44024</v>
      </c>
      <c r="B77" s="235">
        <f>IFERROR(__xludf.DUMMYFUNCTION("""COMPUTED_VALUE"""),47.0)</f>
        <v>47</v>
      </c>
      <c r="C77" s="235">
        <f>IFERROR(__xludf.DUMMYFUNCTION("""COMPUTED_VALUE"""),81.0)</f>
        <v>81</v>
      </c>
      <c r="D77" s="235">
        <f>IFERROR(__xludf.DUMMYFUNCTION("""COMPUTED_VALUE"""),25594.0)</f>
        <v>25594</v>
      </c>
      <c r="E77" s="235">
        <f>IFERROR(__xludf.DUMMYFUNCTION("""COMPUTED_VALUE"""),1838.0)</f>
        <v>1838</v>
      </c>
      <c r="F77" s="173">
        <f>IFERROR(__xludf.DUMMYFUNCTION("""COMPUTED_VALUE"""),269973.0)</f>
        <v>269973</v>
      </c>
      <c r="G77" s="173">
        <f>IFERROR(__xludf.DUMMYFUNCTION("""COMPUTED_VALUE"""),1885.0)</f>
        <v>1885</v>
      </c>
      <c r="H77" s="173">
        <f>IFERROR(__xludf.DUMMYFUNCTION("""COMPUTED_VALUE"""),295567.0)</f>
        <v>295567</v>
      </c>
      <c r="I77" s="235">
        <f>IFERROR(__xludf.DUMMYFUNCTION("""COMPUTED_VALUE"""),34.0)</f>
        <v>34</v>
      </c>
      <c r="J77" s="235">
        <f>IFERROR(__xludf.DUMMYFUNCTION("""COMPUTED_VALUE"""),50.0)</f>
        <v>50</v>
      </c>
      <c r="K77" s="235">
        <f>IFERROR(__xludf.DUMMYFUNCTION("""COMPUTED_VALUE"""),17425.0)</f>
        <v>17425</v>
      </c>
      <c r="L77" s="235">
        <f>IFERROR(__xludf.DUMMYFUNCTION("""COMPUTED_VALUE"""),932.0)</f>
        <v>932</v>
      </c>
      <c r="M77" s="235">
        <f>IFERROR(__xludf.DUMMYFUNCTION("""COMPUTED_VALUE"""),153634.0)</f>
        <v>153634</v>
      </c>
      <c r="N77" s="235">
        <f>IFERROR(__xludf.DUMMYFUNCTION("""COMPUTED_VALUE"""),171059.0)</f>
        <v>171059</v>
      </c>
      <c r="O77" s="235">
        <f>IFERROR(__xludf.DUMMYFUNCTION("""COMPUTED_VALUE"""),1.0)</f>
        <v>1</v>
      </c>
      <c r="P77" s="235">
        <f>IFERROR(__xludf.DUMMYFUNCTION("""COMPUTED_VALUE"""),2101.0)</f>
        <v>2101</v>
      </c>
      <c r="Q77" s="235">
        <f>IFERROR(__xludf.DUMMYFUNCTION("""COMPUTED_VALUE"""),3.0)</f>
        <v>3</v>
      </c>
      <c r="R77" s="235">
        <f>IFERROR(__xludf.DUMMYFUNCTION("""COMPUTED_VALUE"""),1737.0)</f>
        <v>1737</v>
      </c>
      <c r="S77" s="235">
        <f>IFERROR(__xludf.DUMMYFUNCTION("""COMPUTED_VALUE"""),1.0)</f>
        <v>1</v>
      </c>
      <c r="T77" s="235">
        <f>IFERROR(__xludf.DUMMYFUNCTION("""COMPUTED_VALUE"""),313.0)</f>
        <v>313</v>
      </c>
      <c r="U77" s="235">
        <f>IFERROR(__xludf.DUMMYFUNCTION("""COMPUTED_VALUE"""),51.0)</f>
        <v>51</v>
      </c>
      <c r="V77" s="235">
        <f>IFERROR(__xludf.DUMMYFUNCTION("""COMPUTED_VALUE"""),52.0)</f>
        <v>52</v>
      </c>
      <c r="W77" s="235">
        <f>IFERROR(__xludf.DUMMYFUNCTION("""COMPUTED_VALUE"""),6.0)</f>
        <v>6</v>
      </c>
      <c r="X77" s="235">
        <f>IFERROR(__xludf.DUMMYFUNCTION("""COMPUTED_VALUE"""),5.0)</f>
        <v>5</v>
      </c>
      <c r="Y77" s="235">
        <f>IFERROR(__xludf.DUMMYFUNCTION("""COMPUTED_VALUE"""),3.0)</f>
        <v>3</v>
      </c>
      <c r="Z77" s="235">
        <f>IFERROR(__xludf.DUMMYFUNCTION("""COMPUTED_VALUE"""),1002.0)</f>
        <v>1002</v>
      </c>
    </row>
    <row r="78">
      <c r="A78" s="234">
        <f>IFERROR(__xludf.DUMMYFUNCTION("""COMPUTED_VALUE"""),44025.0)</f>
        <v>44025</v>
      </c>
      <c r="B78" s="235">
        <f>IFERROR(__xludf.DUMMYFUNCTION("""COMPUTED_VALUE"""),84.0)</f>
        <v>84</v>
      </c>
      <c r="C78" s="235">
        <f>IFERROR(__xludf.DUMMYFUNCTION("""COMPUTED_VALUE"""),65.0)</f>
        <v>65</v>
      </c>
      <c r="D78" s="235">
        <f>IFERROR(__xludf.DUMMYFUNCTION("""COMPUTED_VALUE"""),25678.0)</f>
        <v>25678</v>
      </c>
      <c r="E78" s="235">
        <f>IFERROR(__xludf.DUMMYFUNCTION("""COMPUTED_VALUE"""),3209.0)</f>
        <v>3209</v>
      </c>
      <c r="F78" s="173">
        <f>IFERROR(__xludf.DUMMYFUNCTION("""COMPUTED_VALUE"""),273182.0)</f>
        <v>273182</v>
      </c>
      <c r="G78" s="173">
        <f>IFERROR(__xludf.DUMMYFUNCTION("""COMPUTED_VALUE"""),3293.0)</f>
        <v>3293</v>
      </c>
      <c r="H78" s="173">
        <f>IFERROR(__xludf.DUMMYFUNCTION("""COMPUTED_VALUE"""),298860.0)</f>
        <v>298860</v>
      </c>
      <c r="I78" s="235">
        <f>IFERROR(__xludf.DUMMYFUNCTION("""COMPUTED_VALUE"""),61.0)</f>
        <v>61</v>
      </c>
      <c r="J78" s="235">
        <f>IFERROR(__xludf.DUMMYFUNCTION("""COMPUTED_VALUE"""),44.0)</f>
        <v>44</v>
      </c>
      <c r="K78" s="235">
        <f>IFERROR(__xludf.DUMMYFUNCTION("""COMPUTED_VALUE"""),17486.0)</f>
        <v>17486</v>
      </c>
      <c r="L78" s="235">
        <f>IFERROR(__xludf.DUMMYFUNCTION("""COMPUTED_VALUE"""),1489.0)</f>
        <v>1489</v>
      </c>
      <c r="M78" s="235">
        <f>IFERROR(__xludf.DUMMYFUNCTION("""COMPUTED_VALUE"""),155123.0)</f>
        <v>155123</v>
      </c>
      <c r="N78" s="235">
        <f>IFERROR(__xludf.DUMMYFUNCTION("""COMPUTED_VALUE"""),172609.0)</f>
        <v>172609</v>
      </c>
      <c r="O78" s="235">
        <f>IFERROR(__xludf.DUMMYFUNCTION("""COMPUTED_VALUE"""),8.0)</f>
        <v>8</v>
      </c>
      <c r="P78" s="235">
        <f>IFERROR(__xludf.DUMMYFUNCTION("""COMPUTED_VALUE"""),2109.0)</f>
        <v>2109</v>
      </c>
      <c r="Q78" s="235">
        <f>IFERROR(__xludf.DUMMYFUNCTION("""COMPUTED_VALUE"""),10.0)</f>
        <v>10</v>
      </c>
      <c r="R78" s="235">
        <f>IFERROR(__xludf.DUMMYFUNCTION("""COMPUTED_VALUE"""),1747.0)</f>
        <v>1747</v>
      </c>
      <c r="S78" s="235">
        <f>IFERROR(__xludf.DUMMYFUNCTION("""COMPUTED_VALUE"""),0.0)</f>
        <v>0</v>
      </c>
      <c r="T78" s="235">
        <f>IFERROR(__xludf.DUMMYFUNCTION("""COMPUTED_VALUE"""),313.0)</f>
        <v>313</v>
      </c>
      <c r="U78" s="235">
        <f>IFERROR(__xludf.DUMMYFUNCTION("""COMPUTED_VALUE"""),49.0)</f>
        <v>49</v>
      </c>
      <c r="V78" s="235">
        <f>IFERROR(__xludf.DUMMYFUNCTION("""COMPUTED_VALUE"""),51.0)</f>
        <v>51</v>
      </c>
      <c r="W78" s="235">
        <f>IFERROR(__xludf.DUMMYFUNCTION("""COMPUTED_VALUE"""),6.0)</f>
        <v>6</v>
      </c>
      <c r="X78" s="235">
        <f>IFERROR(__xludf.DUMMYFUNCTION("""COMPUTED_VALUE"""),5.0)</f>
        <v>5</v>
      </c>
      <c r="Y78" s="235">
        <f>IFERROR(__xludf.DUMMYFUNCTION("""COMPUTED_VALUE"""),1.0)</f>
        <v>1</v>
      </c>
      <c r="Z78" s="235">
        <f>IFERROR(__xludf.DUMMYFUNCTION("""COMPUTED_VALUE"""),1003.0)</f>
        <v>1003</v>
      </c>
    </row>
    <row r="79">
      <c r="A79" s="234">
        <f>IFERROR(__xludf.DUMMYFUNCTION("""COMPUTED_VALUE"""),44026.0)</f>
        <v>44026</v>
      </c>
      <c r="B79" s="235">
        <f>IFERROR(__xludf.DUMMYFUNCTION("""COMPUTED_VALUE"""),74.0)</f>
        <v>74</v>
      </c>
      <c r="C79" s="235">
        <f>IFERROR(__xludf.DUMMYFUNCTION("""COMPUTED_VALUE"""),68.0)</f>
        <v>68</v>
      </c>
      <c r="D79" s="235">
        <f>IFERROR(__xludf.DUMMYFUNCTION("""COMPUTED_VALUE"""),25752.0)</f>
        <v>25752</v>
      </c>
      <c r="E79" s="235">
        <f>IFERROR(__xludf.DUMMYFUNCTION("""COMPUTED_VALUE"""),3298.0)</f>
        <v>3298</v>
      </c>
      <c r="F79" s="173">
        <f>IFERROR(__xludf.DUMMYFUNCTION("""COMPUTED_VALUE"""),276480.0)</f>
        <v>276480</v>
      </c>
      <c r="G79" s="173">
        <f>IFERROR(__xludf.DUMMYFUNCTION("""COMPUTED_VALUE"""),3372.0)</f>
        <v>3372</v>
      </c>
      <c r="H79" s="173">
        <f>IFERROR(__xludf.DUMMYFUNCTION("""COMPUTED_VALUE"""),302232.0)</f>
        <v>302232</v>
      </c>
      <c r="I79" s="235">
        <f>IFERROR(__xludf.DUMMYFUNCTION("""COMPUTED_VALUE"""),44.0)</f>
        <v>44</v>
      </c>
      <c r="J79" s="235">
        <f>IFERROR(__xludf.DUMMYFUNCTION("""COMPUTED_VALUE"""),46.0)</f>
        <v>46</v>
      </c>
      <c r="K79" s="235">
        <f>IFERROR(__xludf.DUMMYFUNCTION("""COMPUTED_VALUE"""),17530.0)</f>
        <v>17530</v>
      </c>
      <c r="L79" s="235">
        <f>IFERROR(__xludf.DUMMYFUNCTION("""COMPUTED_VALUE"""),1365.0)</f>
        <v>1365</v>
      </c>
      <c r="M79" s="235">
        <f>IFERROR(__xludf.DUMMYFUNCTION("""COMPUTED_VALUE"""),156488.0)</f>
        <v>156488</v>
      </c>
      <c r="N79" s="235">
        <f>IFERROR(__xludf.DUMMYFUNCTION("""COMPUTED_VALUE"""),174018.0)</f>
        <v>174018</v>
      </c>
      <c r="O79" s="235">
        <f>IFERROR(__xludf.DUMMYFUNCTION("""COMPUTED_VALUE"""),7.0)</f>
        <v>7</v>
      </c>
      <c r="P79" s="235">
        <f>IFERROR(__xludf.DUMMYFUNCTION("""COMPUTED_VALUE"""),2116.0)</f>
        <v>2116</v>
      </c>
      <c r="Q79" s="235">
        <f>IFERROR(__xludf.DUMMYFUNCTION("""COMPUTED_VALUE"""),4.0)</f>
        <v>4</v>
      </c>
      <c r="R79" s="235">
        <f>IFERROR(__xludf.DUMMYFUNCTION("""COMPUTED_VALUE"""),1751.0)</f>
        <v>1751</v>
      </c>
      <c r="S79" s="235">
        <f>IFERROR(__xludf.DUMMYFUNCTION("""COMPUTED_VALUE"""),0.0)</f>
        <v>0</v>
      </c>
      <c r="T79" s="235">
        <f>IFERROR(__xludf.DUMMYFUNCTION("""COMPUTED_VALUE"""),313.0)</f>
        <v>313</v>
      </c>
      <c r="U79" s="235">
        <f>IFERROR(__xludf.DUMMYFUNCTION("""COMPUTED_VALUE"""),52.0)</f>
        <v>52</v>
      </c>
      <c r="V79" s="235">
        <f>IFERROR(__xludf.DUMMYFUNCTION("""COMPUTED_VALUE"""),51.0)</f>
        <v>51</v>
      </c>
      <c r="W79" s="235">
        <f>IFERROR(__xludf.DUMMYFUNCTION("""COMPUTED_VALUE"""),5.0)</f>
        <v>5</v>
      </c>
      <c r="X79" s="235">
        <f>IFERROR(__xludf.DUMMYFUNCTION("""COMPUTED_VALUE"""),5.0)</f>
        <v>5</v>
      </c>
      <c r="Y79" s="235">
        <f>IFERROR(__xludf.DUMMYFUNCTION("""COMPUTED_VALUE"""),1.0)</f>
        <v>1</v>
      </c>
      <c r="Z79" s="235">
        <f>IFERROR(__xludf.DUMMYFUNCTION("""COMPUTED_VALUE"""),1004.0)</f>
        <v>1004</v>
      </c>
    </row>
    <row r="80">
      <c r="A80" s="234">
        <f>IFERROR(__xludf.DUMMYFUNCTION("""COMPUTED_VALUE"""),44027.0)</f>
        <v>44027</v>
      </c>
      <c r="B80" s="235">
        <f>IFERROR(__xludf.DUMMYFUNCTION("""COMPUTED_VALUE"""),130.0)</f>
        <v>130</v>
      </c>
      <c r="C80" s="235">
        <f>IFERROR(__xludf.DUMMYFUNCTION("""COMPUTED_VALUE"""),96.0)</f>
        <v>96</v>
      </c>
      <c r="D80" s="235">
        <f>IFERROR(__xludf.DUMMYFUNCTION("""COMPUTED_VALUE"""),25882.0)</f>
        <v>25882</v>
      </c>
      <c r="E80" s="235">
        <f>IFERROR(__xludf.DUMMYFUNCTION("""COMPUTED_VALUE"""),4181.0)</f>
        <v>4181</v>
      </c>
      <c r="F80" s="173">
        <f>IFERROR(__xludf.DUMMYFUNCTION("""COMPUTED_VALUE"""),280661.0)</f>
        <v>280661</v>
      </c>
      <c r="G80" s="173">
        <f>IFERROR(__xludf.DUMMYFUNCTION("""COMPUTED_VALUE"""),4311.0)</f>
        <v>4311</v>
      </c>
      <c r="H80" s="173">
        <f>IFERROR(__xludf.DUMMYFUNCTION("""COMPUTED_VALUE"""),306543.0)</f>
        <v>306543</v>
      </c>
      <c r="I80" s="235">
        <f>IFERROR(__xludf.DUMMYFUNCTION("""COMPUTED_VALUE"""),100.0)</f>
        <v>100</v>
      </c>
      <c r="J80" s="235">
        <f>IFERROR(__xludf.DUMMYFUNCTION("""COMPUTED_VALUE"""),68.0)</f>
        <v>68</v>
      </c>
      <c r="K80" s="235">
        <f>IFERROR(__xludf.DUMMYFUNCTION("""COMPUTED_VALUE"""),17630.0)</f>
        <v>17630</v>
      </c>
      <c r="L80" s="235">
        <f>IFERROR(__xludf.DUMMYFUNCTION("""COMPUTED_VALUE"""),1734.0)</f>
        <v>1734</v>
      </c>
      <c r="M80" s="235">
        <f>IFERROR(__xludf.DUMMYFUNCTION("""COMPUTED_VALUE"""),158222.0)</f>
        <v>158222</v>
      </c>
      <c r="N80" s="235">
        <f>IFERROR(__xludf.DUMMYFUNCTION("""COMPUTED_VALUE"""),175852.0)</f>
        <v>175852</v>
      </c>
      <c r="O80" s="235">
        <f>IFERROR(__xludf.DUMMYFUNCTION("""COMPUTED_VALUE"""),5.0)</f>
        <v>5</v>
      </c>
      <c r="P80" s="235">
        <f>IFERROR(__xludf.DUMMYFUNCTION("""COMPUTED_VALUE"""),2121.0)</f>
        <v>2121</v>
      </c>
      <c r="Q80" s="235">
        <f>IFERROR(__xludf.DUMMYFUNCTION("""COMPUTED_VALUE"""),7.0)</f>
        <v>7</v>
      </c>
      <c r="R80" s="235">
        <f>IFERROR(__xludf.DUMMYFUNCTION("""COMPUTED_VALUE"""),1758.0)</f>
        <v>1758</v>
      </c>
      <c r="S80" s="235">
        <f>IFERROR(__xludf.DUMMYFUNCTION("""COMPUTED_VALUE"""),0.0)</f>
        <v>0</v>
      </c>
      <c r="T80" s="235">
        <f>IFERROR(__xludf.DUMMYFUNCTION("""COMPUTED_VALUE"""),313.0)</f>
        <v>313</v>
      </c>
      <c r="U80" s="235">
        <f>IFERROR(__xludf.DUMMYFUNCTION("""COMPUTED_VALUE"""),50.0)</f>
        <v>50</v>
      </c>
      <c r="V80" s="235">
        <f>IFERROR(__xludf.DUMMYFUNCTION("""COMPUTED_VALUE"""),50.0)</f>
        <v>50</v>
      </c>
      <c r="W80" s="235">
        <f>IFERROR(__xludf.DUMMYFUNCTION("""COMPUTED_VALUE"""),5.0)</f>
        <v>5</v>
      </c>
      <c r="X80" s="235">
        <f>IFERROR(__xludf.DUMMYFUNCTION("""COMPUTED_VALUE"""),4.0)</f>
        <v>4</v>
      </c>
      <c r="Y80" s="235">
        <f>IFERROR(__xludf.DUMMYFUNCTION("""COMPUTED_VALUE"""),0.0)</f>
        <v>0</v>
      </c>
      <c r="Z80" s="235">
        <f>IFERROR(__xludf.DUMMYFUNCTION("""COMPUTED_VALUE"""),1004.0)</f>
        <v>1004</v>
      </c>
    </row>
    <row r="81">
      <c r="A81" s="234">
        <f>IFERROR(__xludf.DUMMYFUNCTION("""COMPUTED_VALUE"""),44028.0)</f>
        <v>44028</v>
      </c>
      <c r="B81" s="235">
        <f>IFERROR(__xludf.DUMMYFUNCTION("""COMPUTED_VALUE"""),103.0)</f>
        <v>103</v>
      </c>
      <c r="C81" s="235">
        <f>IFERROR(__xludf.DUMMYFUNCTION("""COMPUTED_VALUE"""),102.0)</f>
        <v>102</v>
      </c>
      <c r="D81" s="235">
        <f>IFERROR(__xludf.DUMMYFUNCTION("""COMPUTED_VALUE"""),25985.0)</f>
        <v>25985</v>
      </c>
      <c r="E81" s="235">
        <f>IFERROR(__xludf.DUMMYFUNCTION("""COMPUTED_VALUE"""),3740.0)</f>
        <v>3740</v>
      </c>
      <c r="F81" s="173">
        <f>IFERROR(__xludf.DUMMYFUNCTION("""COMPUTED_VALUE"""),284401.0)</f>
        <v>284401</v>
      </c>
      <c r="G81" s="173">
        <f>IFERROR(__xludf.DUMMYFUNCTION("""COMPUTED_VALUE"""),3843.0)</f>
        <v>3843</v>
      </c>
      <c r="H81" s="173">
        <f>IFERROR(__xludf.DUMMYFUNCTION("""COMPUTED_VALUE"""),310386.0)</f>
        <v>310386</v>
      </c>
      <c r="I81" s="235">
        <f>IFERROR(__xludf.DUMMYFUNCTION("""COMPUTED_VALUE"""),76.0)</f>
        <v>76</v>
      </c>
      <c r="J81" s="235">
        <f>IFERROR(__xludf.DUMMYFUNCTION("""COMPUTED_VALUE"""),73.0)</f>
        <v>73</v>
      </c>
      <c r="K81" s="235">
        <f>IFERROR(__xludf.DUMMYFUNCTION("""COMPUTED_VALUE"""),17706.0)</f>
        <v>17706</v>
      </c>
      <c r="L81" s="235">
        <f>IFERROR(__xludf.DUMMYFUNCTION("""COMPUTED_VALUE"""),1600.0)</f>
        <v>1600</v>
      </c>
      <c r="M81" s="235">
        <f>IFERROR(__xludf.DUMMYFUNCTION("""COMPUTED_VALUE"""),159822.0)</f>
        <v>159822</v>
      </c>
      <c r="N81" s="235">
        <f>IFERROR(__xludf.DUMMYFUNCTION("""COMPUTED_VALUE"""),177528.0)</f>
        <v>177528</v>
      </c>
      <c r="O81" s="235">
        <f>IFERROR(__xludf.DUMMYFUNCTION("""COMPUTED_VALUE"""),6.0)</f>
        <v>6</v>
      </c>
      <c r="P81" s="235">
        <f>IFERROR(__xludf.DUMMYFUNCTION("""COMPUTED_VALUE"""),2127.0)</f>
        <v>2127</v>
      </c>
      <c r="Q81" s="235">
        <f>IFERROR(__xludf.DUMMYFUNCTION("""COMPUTED_VALUE"""),9.0)</f>
        <v>9</v>
      </c>
      <c r="R81" s="235">
        <f>IFERROR(__xludf.DUMMYFUNCTION("""COMPUTED_VALUE"""),1767.0)</f>
        <v>1767</v>
      </c>
      <c r="S81" s="235">
        <f>IFERROR(__xludf.DUMMYFUNCTION("""COMPUTED_VALUE"""),0.0)</f>
        <v>0</v>
      </c>
      <c r="T81" s="235">
        <f>IFERROR(__xludf.DUMMYFUNCTION("""COMPUTED_VALUE"""),313.0)</f>
        <v>313</v>
      </c>
      <c r="U81" s="235">
        <f>IFERROR(__xludf.DUMMYFUNCTION("""COMPUTED_VALUE"""),47.0)</f>
        <v>47</v>
      </c>
      <c r="V81" s="235">
        <f>IFERROR(__xludf.DUMMYFUNCTION("""COMPUTED_VALUE"""),50.0)</f>
        <v>50</v>
      </c>
      <c r="W81" s="235">
        <f>IFERROR(__xludf.DUMMYFUNCTION("""COMPUTED_VALUE"""),6.0)</f>
        <v>6</v>
      </c>
      <c r="X81" s="235">
        <f>IFERROR(__xludf.DUMMYFUNCTION("""COMPUTED_VALUE"""),5.0)</f>
        <v>5</v>
      </c>
      <c r="Y81" s="235">
        <f>IFERROR(__xludf.DUMMYFUNCTION("""COMPUTED_VALUE"""),1.0)</f>
        <v>1</v>
      </c>
      <c r="Z81" s="235">
        <f>IFERROR(__xludf.DUMMYFUNCTION("""COMPUTED_VALUE"""),1005.0)</f>
        <v>1005</v>
      </c>
    </row>
    <row r="82">
      <c r="A82" s="234">
        <f>IFERROR(__xludf.DUMMYFUNCTION("""COMPUTED_VALUE"""),44029.0)</f>
        <v>44029</v>
      </c>
      <c r="B82" s="235">
        <f>IFERROR(__xludf.DUMMYFUNCTION("""COMPUTED_VALUE"""),156.0)</f>
        <v>156</v>
      </c>
      <c r="C82" s="235">
        <f>IFERROR(__xludf.DUMMYFUNCTION("""COMPUTED_VALUE"""),130.0)</f>
        <v>130</v>
      </c>
      <c r="D82" s="235">
        <f>IFERROR(__xludf.DUMMYFUNCTION("""COMPUTED_VALUE"""),26141.0)</f>
        <v>26141</v>
      </c>
      <c r="E82" s="235">
        <f>IFERROR(__xludf.DUMMYFUNCTION("""COMPUTED_VALUE"""),4239.0)</f>
        <v>4239</v>
      </c>
      <c r="F82" s="173">
        <f>IFERROR(__xludf.DUMMYFUNCTION("""COMPUTED_VALUE"""),288640.0)</f>
        <v>288640</v>
      </c>
      <c r="G82" s="173">
        <f>IFERROR(__xludf.DUMMYFUNCTION("""COMPUTED_VALUE"""),4395.0)</f>
        <v>4395</v>
      </c>
      <c r="H82" s="173">
        <f>IFERROR(__xludf.DUMMYFUNCTION("""COMPUTED_VALUE"""),314781.0)</f>
        <v>314781</v>
      </c>
      <c r="I82" s="235">
        <f>IFERROR(__xludf.DUMMYFUNCTION("""COMPUTED_VALUE"""),79.0)</f>
        <v>79</v>
      </c>
      <c r="J82" s="235">
        <f>IFERROR(__xludf.DUMMYFUNCTION("""COMPUTED_VALUE"""),85.0)</f>
        <v>85</v>
      </c>
      <c r="K82" s="235">
        <f>IFERROR(__xludf.DUMMYFUNCTION("""COMPUTED_VALUE"""),17785.0)</f>
        <v>17785</v>
      </c>
      <c r="L82" s="235">
        <f>IFERROR(__xludf.DUMMYFUNCTION("""COMPUTED_VALUE"""),1832.0)</f>
        <v>1832</v>
      </c>
      <c r="M82" s="235">
        <f>IFERROR(__xludf.DUMMYFUNCTION("""COMPUTED_VALUE"""),161654.0)</f>
        <v>161654</v>
      </c>
      <c r="N82" s="235">
        <f>IFERROR(__xludf.DUMMYFUNCTION("""COMPUTED_VALUE"""),179439.0)</f>
        <v>179439</v>
      </c>
      <c r="O82" s="235">
        <f>IFERROR(__xludf.DUMMYFUNCTION("""COMPUTED_VALUE"""),14.0)</f>
        <v>14</v>
      </c>
      <c r="P82" s="235">
        <f>IFERROR(__xludf.DUMMYFUNCTION("""COMPUTED_VALUE"""),2141.0)</f>
        <v>2141</v>
      </c>
      <c r="Q82" s="235">
        <f>IFERROR(__xludf.DUMMYFUNCTION("""COMPUTED_VALUE"""),3.0)</f>
        <v>3</v>
      </c>
      <c r="R82" s="235">
        <f>IFERROR(__xludf.DUMMYFUNCTION("""COMPUTED_VALUE"""),1770.0)</f>
        <v>1770</v>
      </c>
      <c r="S82" s="235">
        <f>IFERROR(__xludf.DUMMYFUNCTION("""COMPUTED_VALUE"""),1.0)</f>
        <v>1</v>
      </c>
      <c r="T82" s="235">
        <f>IFERROR(__xludf.DUMMYFUNCTION("""COMPUTED_VALUE"""),314.0)</f>
        <v>314</v>
      </c>
      <c r="U82" s="235">
        <f>IFERROR(__xludf.DUMMYFUNCTION("""COMPUTED_VALUE"""),57.0)</f>
        <v>57</v>
      </c>
      <c r="V82" s="235">
        <f>IFERROR(__xludf.DUMMYFUNCTION("""COMPUTED_VALUE"""),51.0)</f>
        <v>51</v>
      </c>
      <c r="W82" s="235">
        <f>IFERROR(__xludf.DUMMYFUNCTION("""COMPUTED_VALUE"""),5.0)</f>
        <v>5</v>
      </c>
      <c r="X82" s="235">
        <f>IFERROR(__xludf.DUMMYFUNCTION("""COMPUTED_VALUE"""),5.0)</f>
        <v>5</v>
      </c>
      <c r="Y82" s="235">
        <f>IFERROR(__xludf.DUMMYFUNCTION("""COMPUTED_VALUE"""),2.0)</f>
        <v>2</v>
      </c>
      <c r="Z82" s="235">
        <f>IFERROR(__xludf.DUMMYFUNCTION("""COMPUTED_VALUE"""),1007.0)</f>
        <v>1007</v>
      </c>
    </row>
    <row r="83">
      <c r="A83" s="234">
        <f>IFERROR(__xludf.DUMMYFUNCTION("""COMPUTED_VALUE"""),44030.0)</f>
        <v>44030</v>
      </c>
      <c r="B83" s="235">
        <f>IFERROR(__xludf.DUMMYFUNCTION("""COMPUTED_VALUE"""),85.0)</f>
        <v>85</v>
      </c>
      <c r="C83" s="235">
        <f>IFERROR(__xludf.DUMMYFUNCTION("""COMPUTED_VALUE"""),115.0)</f>
        <v>115</v>
      </c>
      <c r="D83" s="235">
        <f>IFERROR(__xludf.DUMMYFUNCTION("""COMPUTED_VALUE"""),26226.0)</f>
        <v>26226</v>
      </c>
      <c r="E83" s="235">
        <f>IFERROR(__xludf.DUMMYFUNCTION("""COMPUTED_VALUE"""),3272.0)</f>
        <v>3272</v>
      </c>
      <c r="F83" s="173">
        <f>IFERROR(__xludf.DUMMYFUNCTION("""COMPUTED_VALUE"""),291912.0)</f>
        <v>291912</v>
      </c>
      <c r="G83" s="173">
        <f>IFERROR(__xludf.DUMMYFUNCTION("""COMPUTED_VALUE"""),3357.0)</f>
        <v>3357</v>
      </c>
      <c r="H83" s="173">
        <f>IFERROR(__xludf.DUMMYFUNCTION("""COMPUTED_VALUE"""),318138.0)</f>
        <v>318138</v>
      </c>
      <c r="I83" s="235">
        <f>IFERROR(__xludf.DUMMYFUNCTION("""COMPUTED_VALUE"""),70.0)</f>
        <v>70</v>
      </c>
      <c r="J83" s="235">
        <f>IFERROR(__xludf.DUMMYFUNCTION("""COMPUTED_VALUE"""),75.0)</f>
        <v>75</v>
      </c>
      <c r="K83" s="235">
        <f>IFERROR(__xludf.DUMMYFUNCTION("""COMPUTED_VALUE"""),17855.0)</f>
        <v>17855</v>
      </c>
      <c r="L83" s="235">
        <f>IFERROR(__xludf.DUMMYFUNCTION("""COMPUTED_VALUE"""),1382.0)</f>
        <v>1382</v>
      </c>
      <c r="M83" s="235">
        <f>IFERROR(__xludf.DUMMYFUNCTION("""COMPUTED_VALUE"""),163036.0)</f>
        <v>163036</v>
      </c>
      <c r="N83" s="235">
        <f>IFERROR(__xludf.DUMMYFUNCTION("""COMPUTED_VALUE"""),180891.0)</f>
        <v>180891</v>
      </c>
      <c r="O83" s="235">
        <f>IFERROR(__xludf.DUMMYFUNCTION("""COMPUTED_VALUE"""),5.0)</f>
        <v>5</v>
      </c>
      <c r="P83" s="235">
        <f>IFERROR(__xludf.DUMMYFUNCTION("""COMPUTED_VALUE"""),2146.0)</f>
        <v>2146</v>
      </c>
      <c r="Q83" s="235">
        <f>IFERROR(__xludf.DUMMYFUNCTION("""COMPUTED_VALUE"""),9.0)</f>
        <v>9</v>
      </c>
      <c r="R83" s="235">
        <f>IFERROR(__xludf.DUMMYFUNCTION("""COMPUTED_VALUE"""),1779.0)</f>
        <v>1779</v>
      </c>
      <c r="S83" s="235">
        <f>IFERROR(__xludf.DUMMYFUNCTION("""COMPUTED_VALUE"""),1.0)</f>
        <v>1</v>
      </c>
      <c r="T83" s="235">
        <f>IFERROR(__xludf.DUMMYFUNCTION("""COMPUTED_VALUE"""),315.0)</f>
        <v>315</v>
      </c>
      <c r="U83" s="235">
        <f>IFERROR(__xludf.DUMMYFUNCTION("""COMPUTED_VALUE"""),52.0)</f>
        <v>52</v>
      </c>
      <c r="V83" s="235">
        <f>IFERROR(__xludf.DUMMYFUNCTION("""COMPUTED_VALUE"""),52.0)</f>
        <v>52</v>
      </c>
      <c r="W83" s="235">
        <f>IFERROR(__xludf.DUMMYFUNCTION("""COMPUTED_VALUE"""),5.0)</f>
        <v>5</v>
      </c>
      <c r="X83" s="235">
        <f>IFERROR(__xludf.DUMMYFUNCTION("""COMPUTED_VALUE"""),4.0)</f>
        <v>4</v>
      </c>
      <c r="Y83" s="235">
        <f>IFERROR(__xludf.DUMMYFUNCTION("""COMPUTED_VALUE"""),4.0)</f>
        <v>4</v>
      </c>
      <c r="Z83" s="235">
        <f>IFERROR(__xludf.DUMMYFUNCTION("""COMPUTED_VALUE"""),1011.0)</f>
        <v>1011</v>
      </c>
    </row>
    <row r="84">
      <c r="A84" s="234">
        <f>IFERROR(__xludf.DUMMYFUNCTION("""COMPUTED_VALUE"""),44031.0)</f>
        <v>44031</v>
      </c>
      <c r="B84" s="235">
        <f>IFERROR(__xludf.DUMMYFUNCTION("""COMPUTED_VALUE"""),82.0)</f>
        <v>82</v>
      </c>
      <c r="C84" s="235">
        <f>IFERROR(__xludf.DUMMYFUNCTION("""COMPUTED_VALUE"""),108.0)</f>
        <v>108</v>
      </c>
      <c r="D84" s="235">
        <f>IFERROR(__xludf.DUMMYFUNCTION("""COMPUTED_VALUE"""),26308.0)</f>
        <v>26308</v>
      </c>
      <c r="E84" s="235">
        <f>IFERROR(__xludf.DUMMYFUNCTION("""COMPUTED_VALUE"""),2696.0)</f>
        <v>2696</v>
      </c>
      <c r="F84" s="173">
        <f>IFERROR(__xludf.DUMMYFUNCTION("""COMPUTED_VALUE"""),294608.0)</f>
        <v>294608</v>
      </c>
      <c r="G84" s="173">
        <f>IFERROR(__xludf.DUMMYFUNCTION("""COMPUTED_VALUE"""),2778.0)</f>
        <v>2778</v>
      </c>
      <c r="H84" s="173">
        <f>IFERROR(__xludf.DUMMYFUNCTION("""COMPUTED_VALUE"""),320916.0)</f>
        <v>320916</v>
      </c>
      <c r="I84" s="235">
        <f>IFERROR(__xludf.DUMMYFUNCTION("""COMPUTED_VALUE"""),57.0)</f>
        <v>57</v>
      </c>
      <c r="J84" s="235">
        <f>IFERROR(__xludf.DUMMYFUNCTION("""COMPUTED_VALUE"""),69.0)</f>
        <v>69</v>
      </c>
      <c r="K84" s="235">
        <f>IFERROR(__xludf.DUMMYFUNCTION("""COMPUTED_VALUE"""),17912.0)</f>
        <v>17912</v>
      </c>
      <c r="L84" s="235">
        <f>IFERROR(__xludf.DUMMYFUNCTION("""COMPUTED_VALUE"""),1137.0)</f>
        <v>1137</v>
      </c>
      <c r="M84" s="235">
        <f>IFERROR(__xludf.DUMMYFUNCTION("""COMPUTED_VALUE"""),164173.0)</f>
        <v>164173</v>
      </c>
      <c r="N84" s="235">
        <f>IFERROR(__xludf.DUMMYFUNCTION("""COMPUTED_VALUE"""),182085.0)</f>
        <v>182085</v>
      </c>
      <c r="O84" s="235">
        <f>IFERROR(__xludf.DUMMYFUNCTION("""COMPUTED_VALUE"""),7.0)</f>
        <v>7</v>
      </c>
      <c r="P84" s="235">
        <f>IFERROR(__xludf.DUMMYFUNCTION("""COMPUTED_VALUE"""),2153.0)</f>
        <v>2153</v>
      </c>
      <c r="Q84" s="235">
        <f>IFERROR(__xludf.DUMMYFUNCTION("""COMPUTED_VALUE"""),3.0)</f>
        <v>3</v>
      </c>
      <c r="R84" s="235">
        <f>IFERROR(__xludf.DUMMYFUNCTION("""COMPUTED_VALUE"""),1782.0)</f>
        <v>1782</v>
      </c>
      <c r="S84" s="235">
        <f>IFERROR(__xludf.DUMMYFUNCTION("""COMPUTED_VALUE"""),0.0)</f>
        <v>0</v>
      </c>
      <c r="T84" s="235">
        <f>IFERROR(__xludf.DUMMYFUNCTION("""COMPUTED_VALUE"""),315.0)</f>
        <v>315</v>
      </c>
      <c r="U84" s="235">
        <f>IFERROR(__xludf.DUMMYFUNCTION("""COMPUTED_VALUE"""),56.0)</f>
        <v>56</v>
      </c>
      <c r="V84" s="235">
        <f>IFERROR(__xludf.DUMMYFUNCTION("""COMPUTED_VALUE"""),55.0)</f>
        <v>55</v>
      </c>
      <c r="W84" s="235">
        <f>IFERROR(__xludf.DUMMYFUNCTION("""COMPUTED_VALUE"""),6.0)</f>
        <v>6</v>
      </c>
      <c r="X84" s="235">
        <f>IFERROR(__xludf.DUMMYFUNCTION("""COMPUTED_VALUE"""),4.0)</f>
        <v>4</v>
      </c>
      <c r="Y84" s="235">
        <f>IFERROR(__xludf.DUMMYFUNCTION("""COMPUTED_VALUE"""),2.0)</f>
        <v>2</v>
      </c>
      <c r="Z84" s="235">
        <f>IFERROR(__xludf.DUMMYFUNCTION("""COMPUTED_VALUE"""),1013.0)</f>
        <v>1013</v>
      </c>
    </row>
    <row r="85">
      <c r="A85" s="234">
        <f>IFERROR(__xludf.DUMMYFUNCTION("""COMPUTED_VALUE"""),44032.0)</f>
        <v>44032</v>
      </c>
      <c r="B85" s="235">
        <f>IFERROR(__xludf.DUMMYFUNCTION("""COMPUTED_VALUE"""),71.0)</f>
        <v>71</v>
      </c>
      <c r="C85" s="235">
        <f>IFERROR(__xludf.DUMMYFUNCTION("""COMPUTED_VALUE"""),79.0)</f>
        <v>79</v>
      </c>
      <c r="D85" s="235">
        <f>IFERROR(__xludf.DUMMYFUNCTION("""COMPUTED_VALUE"""),26379.0)</f>
        <v>26379</v>
      </c>
      <c r="E85" s="235">
        <f>IFERROR(__xludf.DUMMYFUNCTION("""COMPUTED_VALUE"""),2666.0)</f>
        <v>2666</v>
      </c>
      <c r="F85" s="173">
        <f>IFERROR(__xludf.DUMMYFUNCTION("""COMPUTED_VALUE"""),297274.0)</f>
        <v>297274</v>
      </c>
      <c r="G85" s="173">
        <f>IFERROR(__xludf.DUMMYFUNCTION("""COMPUTED_VALUE"""),2737.0)</f>
        <v>2737</v>
      </c>
      <c r="H85" s="173">
        <f>IFERROR(__xludf.DUMMYFUNCTION("""COMPUTED_VALUE"""),323653.0)</f>
        <v>323653</v>
      </c>
      <c r="I85" s="235">
        <f>IFERROR(__xludf.DUMMYFUNCTION("""COMPUTED_VALUE"""),68.0)</f>
        <v>68</v>
      </c>
      <c r="J85" s="235">
        <f>IFERROR(__xludf.DUMMYFUNCTION("""COMPUTED_VALUE"""),65.0)</f>
        <v>65</v>
      </c>
      <c r="K85" s="235">
        <f>IFERROR(__xludf.DUMMYFUNCTION("""COMPUTED_VALUE"""),17980.0)</f>
        <v>17980</v>
      </c>
      <c r="L85" s="235">
        <f>IFERROR(__xludf.DUMMYFUNCTION("""COMPUTED_VALUE"""),1442.0)</f>
        <v>1442</v>
      </c>
      <c r="M85" s="235">
        <f>IFERROR(__xludf.DUMMYFUNCTION("""COMPUTED_VALUE"""),165615.0)</f>
        <v>165615</v>
      </c>
      <c r="N85" s="235">
        <f>IFERROR(__xludf.DUMMYFUNCTION("""COMPUTED_VALUE"""),183595.0)</f>
        <v>183595</v>
      </c>
      <c r="O85" s="235">
        <f>IFERROR(__xludf.DUMMYFUNCTION("""COMPUTED_VALUE"""),9.0)</f>
        <v>9</v>
      </c>
      <c r="P85" s="235">
        <f>IFERROR(__xludf.DUMMYFUNCTION("""COMPUTED_VALUE"""),2162.0)</f>
        <v>2162</v>
      </c>
      <c r="Q85" s="235">
        <f>IFERROR(__xludf.DUMMYFUNCTION("""COMPUTED_VALUE"""),7.0)</f>
        <v>7</v>
      </c>
      <c r="R85" s="235">
        <f>IFERROR(__xludf.DUMMYFUNCTION("""COMPUTED_VALUE"""),1789.0)</f>
        <v>1789</v>
      </c>
      <c r="S85" s="235">
        <f>IFERROR(__xludf.DUMMYFUNCTION("""COMPUTED_VALUE"""),0.0)</f>
        <v>0</v>
      </c>
      <c r="T85" s="235">
        <f>IFERROR(__xludf.DUMMYFUNCTION("""COMPUTED_VALUE"""),315.0)</f>
        <v>315</v>
      </c>
      <c r="U85" s="235">
        <f>IFERROR(__xludf.DUMMYFUNCTION("""COMPUTED_VALUE"""),58.0)</f>
        <v>58</v>
      </c>
      <c r="V85" s="235">
        <f>IFERROR(__xludf.DUMMYFUNCTION("""COMPUTED_VALUE"""),55.0)</f>
        <v>55</v>
      </c>
      <c r="W85" s="235">
        <f>IFERROR(__xludf.DUMMYFUNCTION("""COMPUTED_VALUE"""),7.0)</f>
        <v>7</v>
      </c>
      <c r="X85" s="235">
        <f>IFERROR(__xludf.DUMMYFUNCTION("""COMPUTED_VALUE"""),5.0)</f>
        <v>5</v>
      </c>
      <c r="Y85" s="235">
        <f>IFERROR(__xludf.DUMMYFUNCTION("""COMPUTED_VALUE"""),2.0)</f>
        <v>2</v>
      </c>
      <c r="Z85" s="235">
        <f>IFERROR(__xludf.DUMMYFUNCTION("""COMPUTED_VALUE"""),1015.0)</f>
        <v>1015</v>
      </c>
    </row>
    <row r="86">
      <c r="A86" s="234">
        <f>IFERROR(__xludf.DUMMYFUNCTION("""COMPUTED_VALUE"""),44033.0)</f>
        <v>44033</v>
      </c>
      <c r="B86" s="235">
        <f>IFERROR(__xludf.DUMMYFUNCTION("""COMPUTED_VALUE"""),130.0)</f>
        <v>130</v>
      </c>
      <c r="C86" s="235">
        <f>IFERROR(__xludf.DUMMYFUNCTION("""COMPUTED_VALUE"""),94.0)</f>
        <v>94</v>
      </c>
      <c r="D86" s="235">
        <f>IFERROR(__xludf.DUMMYFUNCTION("""COMPUTED_VALUE"""),26509.0)</f>
        <v>26509</v>
      </c>
      <c r="E86" s="235">
        <f>IFERROR(__xludf.DUMMYFUNCTION("""COMPUTED_VALUE"""),4304.0)</f>
        <v>4304</v>
      </c>
      <c r="F86" s="173">
        <f>IFERROR(__xludf.DUMMYFUNCTION("""COMPUTED_VALUE"""),301578.0)</f>
        <v>301578</v>
      </c>
      <c r="G86" s="173">
        <f>IFERROR(__xludf.DUMMYFUNCTION("""COMPUTED_VALUE"""),4434.0)</f>
        <v>4434</v>
      </c>
      <c r="H86" s="173">
        <f>IFERROR(__xludf.DUMMYFUNCTION("""COMPUTED_VALUE"""),328087.0)</f>
        <v>328087</v>
      </c>
      <c r="I86" s="235">
        <f>IFERROR(__xludf.DUMMYFUNCTION("""COMPUTED_VALUE"""),108.0)</f>
        <v>108</v>
      </c>
      <c r="J86" s="235">
        <f>IFERROR(__xludf.DUMMYFUNCTION("""COMPUTED_VALUE"""),78.0)</f>
        <v>78</v>
      </c>
      <c r="K86" s="235">
        <f>IFERROR(__xludf.DUMMYFUNCTION("""COMPUTED_VALUE"""),18088.0)</f>
        <v>18088</v>
      </c>
      <c r="L86" s="235">
        <f>IFERROR(__xludf.DUMMYFUNCTION("""COMPUTED_VALUE"""),1899.0)</f>
        <v>1899</v>
      </c>
      <c r="M86" s="235">
        <f>IFERROR(__xludf.DUMMYFUNCTION("""COMPUTED_VALUE"""),167514.0)</f>
        <v>167514</v>
      </c>
      <c r="N86" s="235">
        <f>IFERROR(__xludf.DUMMYFUNCTION("""COMPUTED_VALUE"""),185602.0)</f>
        <v>185602</v>
      </c>
      <c r="O86" s="235">
        <f>IFERROR(__xludf.DUMMYFUNCTION("""COMPUTED_VALUE"""),9.0)</f>
        <v>9</v>
      </c>
      <c r="P86" s="235">
        <f>IFERROR(__xludf.DUMMYFUNCTION("""COMPUTED_VALUE"""),2171.0)</f>
        <v>2171</v>
      </c>
      <c r="Q86" s="235">
        <f>IFERROR(__xludf.DUMMYFUNCTION("""COMPUTED_VALUE"""),11.0)</f>
        <v>11</v>
      </c>
      <c r="R86" s="235">
        <f>IFERROR(__xludf.DUMMYFUNCTION("""COMPUTED_VALUE"""),1800.0)</f>
        <v>1800</v>
      </c>
      <c r="S86" s="235">
        <f>IFERROR(__xludf.DUMMYFUNCTION("""COMPUTED_VALUE"""),0.0)</f>
        <v>0</v>
      </c>
      <c r="T86" s="235">
        <f>IFERROR(__xludf.DUMMYFUNCTION("""COMPUTED_VALUE"""),315.0)</f>
        <v>315</v>
      </c>
      <c r="U86" s="235">
        <f>IFERROR(__xludf.DUMMYFUNCTION("""COMPUTED_VALUE"""),56.0)</f>
        <v>56</v>
      </c>
      <c r="V86" s="235">
        <f>IFERROR(__xludf.DUMMYFUNCTION("""COMPUTED_VALUE"""),57.0)</f>
        <v>57</v>
      </c>
      <c r="W86" s="235">
        <f>IFERROR(__xludf.DUMMYFUNCTION("""COMPUTED_VALUE"""),9.0)</f>
        <v>9</v>
      </c>
      <c r="X86" s="235">
        <f>IFERROR(__xludf.DUMMYFUNCTION("""COMPUTED_VALUE"""),6.0)</f>
        <v>6</v>
      </c>
      <c r="Y86" s="235">
        <f>IFERROR(__xludf.DUMMYFUNCTION("""COMPUTED_VALUE"""),1.0)</f>
        <v>1</v>
      </c>
      <c r="Z86" s="235">
        <f>IFERROR(__xludf.DUMMYFUNCTION("""COMPUTED_VALUE"""),1016.0)</f>
        <v>1016</v>
      </c>
    </row>
    <row r="87">
      <c r="A87" s="234">
        <f>IFERROR(__xludf.DUMMYFUNCTION("""COMPUTED_VALUE"""),44034.0)</f>
        <v>44034</v>
      </c>
      <c r="B87" s="235">
        <f>IFERROR(__xludf.DUMMYFUNCTION("""COMPUTED_VALUE"""),130.0)</f>
        <v>130</v>
      </c>
      <c r="C87" s="235">
        <f>IFERROR(__xludf.DUMMYFUNCTION("""COMPUTED_VALUE"""),110.0)</f>
        <v>110</v>
      </c>
      <c r="D87" s="235">
        <f>IFERROR(__xludf.DUMMYFUNCTION("""COMPUTED_VALUE"""),26639.0)</f>
        <v>26639</v>
      </c>
      <c r="E87" s="235">
        <f>IFERROR(__xludf.DUMMYFUNCTION("""COMPUTED_VALUE"""),3928.0)</f>
        <v>3928</v>
      </c>
      <c r="F87" s="173">
        <f>IFERROR(__xludf.DUMMYFUNCTION("""COMPUTED_VALUE"""),305506.0)</f>
        <v>305506</v>
      </c>
      <c r="G87" s="173">
        <f>IFERROR(__xludf.DUMMYFUNCTION("""COMPUTED_VALUE"""),4058.0)</f>
        <v>4058</v>
      </c>
      <c r="H87" s="173">
        <f>IFERROR(__xludf.DUMMYFUNCTION("""COMPUTED_VALUE"""),332145.0)</f>
        <v>332145</v>
      </c>
      <c r="I87" s="235">
        <f>IFERROR(__xludf.DUMMYFUNCTION("""COMPUTED_VALUE"""),86.0)</f>
        <v>86</v>
      </c>
      <c r="J87" s="235">
        <f>IFERROR(__xludf.DUMMYFUNCTION("""COMPUTED_VALUE"""),87.0)</f>
        <v>87</v>
      </c>
      <c r="K87" s="235">
        <f>IFERROR(__xludf.DUMMYFUNCTION("""COMPUTED_VALUE"""),18174.0)</f>
        <v>18174</v>
      </c>
      <c r="L87" s="235">
        <f>IFERROR(__xludf.DUMMYFUNCTION("""COMPUTED_VALUE"""),1664.0)</f>
        <v>1664</v>
      </c>
      <c r="M87" s="235">
        <f>IFERROR(__xludf.DUMMYFUNCTION("""COMPUTED_VALUE"""),169178.0)</f>
        <v>169178</v>
      </c>
      <c r="N87" s="235">
        <f>IFERROR(__xludf.DUMMYFUNCTION("""COMPUTED_VALUE"""),187352.0)</f>
        <v>187352</v>
      </c>
      <c r="O87" s="235">
        <f>IFERROR(__xludf.DUMMYFUNCTION("""COMPUTED_VALUE"""),7.0)</f>
        <v>7</v>
      </c>
      <c r="P87" s="235">
        <f>IFERROR(__xludf.DUMMYFUNCTION("""COMPUTED_VALUE"""),2178.0)</f>
        <v>2178</v>
      </c>
      <c r="Q87" s="235">
        <f>IFERROR(__xludf.DUMMYFUNCTION("""COMPUTED_VALUE"""),8.0)</f>
        <v>8</v>
      </c>
      <c r="R87" s="235">
        <f>IFERROR(__xludf.DUMMYFUNCTION("""COMPUTED_VALUE"""),1808.0)</f>
        <v>1808</v>
      </c>
      <c r="S87" s="235">
        <f>IFERROR(__xludf.DUMMYFUNCTION("""COMPUTED_VALUE"""),1.0)</f>
        <v>1</v>
      </c>
      <c r="T87" s="235">
        <f>IFERROR(__xludf.DUMMYFUNCTION("""COMPUTED_VALUE"""),316.0)</f>
        <v>316</v>
      </c>
      <c r="U87" s="235">
        <f>IFERROR(__xludf.DUMMYFUNCTION("""COMPUTED_VALUE"""),54.0)</f>
        <v>54</v>
      </c>
      <c r="V87" s="235">
        <f>IFERROR(__xludf.DUMMYFUNCTION("""COMPUTED_VALUE"""),56.0)</f>
        <v>56</v>
      </c>
      <c r="W87" s="235">
        <f>IFERROR(__xludf.DUMMYFUNCTION("""COMPUTED_VALUE"""),7.0)</f>
        <v>7</v>
      </c>
      <c r="X87" s="235">
        <f>IFERROR(__xludf.DUMMYFUNCTION("""COMPUTED_VALUE"""),6.0)</f>
        <v>6</v>
      </c>
      <c r="Y87" s="235">
        <f>IFERROR(__xludf.DUMMYFUNCTION("""COMPUTED_VALUE"""),1.0)</f>
        <v>1</v>
      </c>
      <c r="Z87" s="235">
        <f>IFERROR(__xludf.DUMMYFUNCTION("""COMPUTED_VALUE"""),1017.0)</f>
        <v>1017</v>
      </c>
    </row>
    <row r="88">
      <c r="A88" s="234">
        <f>IFERROR(__xludf.DUMMYFUNCTION("""COMPUTED_VALUE"""),44035.0)</f>
        <v>44035</v>
      </c>
      <c r="B88" s="235">
        <f>IFERROR(__xludf.DUMMYFUNCTION("""COMPUTED_VALUE"""),141.0)</f>
        <v>141</v>
      </c>
      <c r="C88" s="235">
        <f>IFERROR(__xludf.DUMMYFUNCTION("""COMPUTED_VALUE"""),134.0)</f>
        <v>134</v>
      </c>
      <c r="D88" s="235">
        <f>IFERROR(__xludf.DUMMYFUNCTION("""COMPUTED_VALUE"""),26780.0)</f>
        <v>26780</v>
      </c>
      <c r="E88" s="235">
        <f>IFERROR(__xludf.DUMMYFUNCTION("""COMPUTED_VALUE"""),4415.0)</f>
        <v>4415</v>
      </c>
      <c r="F88" s="173">
        <f>IFERROR(__xludf.DUMMYFUNCTION("""COMPUTED_VALUE"""),309921.0)</f>
        <v>309921</v>
      </c>
      <c r="G88" s="173">
        <f>IFERROR(__xludf.DUMMYFUNCTION("""COMPUTED_VALUE"""),4556.0)</f>
        <v>4556</v>
      </c>
      <c r="H88" s="173">
        <f>IFERROR(__xludf.DUMMYFUNCTION("""COMPUTED_VALUE"""),336701.0)</f>
        <v>336701</v>
      </c>
      <c r="I88" s="235">
        <f>IFERROR(__xludf.DUMMYFUNCTION("""COMPUTED_VALUE"""),115.0)</f>
        <v>115</v>
      </c>
      <c r="J88" s="235">
        <f>IFERROR(__xludf.DUMMYFUNCTION("""COMPUTED_VALUE"""),103.0)</f>
        <v>103</v>
      </c>
      <c r="K88" s="235">
        <f>IFERROR(__xludf.DUMMYFUNCTION("""COMPUTED_VALUE"""),18289.0)</f>
        <v>18289</v>
      </c>
      <c r="L88" s="235">
        <f>IFERROR(__xludf.DUMMYFUNCTION("""COMPUTED_VALUE"""),1954.0)</f>
        <v>1954</v>
      </c>
      <c r="M88" s="235">
        <f>IFERROR(__xludf.DUMMYFUNCTION("""COMPUTED_VALUE"""),171132.0)</f>
        <v>171132</v>
      </c>
      <c r="N88" s="235">
        <f>IFERROR(__xludf.DUMMYFUNCTION("""COMPUTED_VALUE"""),189421.0)</f>
        <v>189421</v>
      </c>
      <c r="O88" s="235">
        <f>IFERROR(__xludf.DUMMYFUNCTION("""COMPUTED_VALUE"""),8.0)</f>
        <v>8</v>
      </c>
      <c r="P88" s="235">
        <f>IFERROR(__xludf.DUMMYFUNCTION("""COMPUTED_VALUE"""),2186.0)</f>
        <v>2186</v>
      </c>
      <c r="Q88" s="235">
        <f>IFERROR(__xludf.DUMMYFUNCTION("""COMPUTED_VALUE"""),6.0)</f>
        <v>6</v>
      </c>
      <c r="R88" s="235">
        <f>IFERROR(__xludf.DUMMYFUNCTION("""COMPUTED_VALUE"""),1814.0)</f>
        <v>1814</v>
      </c>
      <c r="S88" s="235">
        <f>IFERROR(__xludf.DUMMYFUNCTION("""COMPUTED_VALUE"""),0.0)</f>
        <v>0</v>
      </c>
      <c r="T88" s="235">
        <f>IFERROR(__xludf.DUMMYFUNCTION("""COMPUTED_VALUE"""),316.0)</f>
        <v>316</v>
      </c>
      <c r="U88" s="235">
        <f>IFERROR(__xludf.DUMMYFUNCTION("""COMPUTED_VALUE"""),56.0)</f>
        <v>56</v>
      </c>
      <c r="V88" s="235">
        <f>IFERROR(__xludf.DUMMYFUNCTION("""COMPUTED_VALUE"""),55.0)</f>
        <v>55</v>
      </c>
      <c r="W88" s="235">
        <f>IFERROR(__xludf.DUMMYFUNCTION("""COMPUTED_VALUE"""),8.0)</f>
        <v>8</v>
      </c>
      <c r="X88" s="235">
        <f>IFERROR(__xludf.DUMMYFUNCTION("""COMPUTED_VALUE"""),7.0)</f>
        <v>7</v>
      </c>
      <c r="Y88" s="235">
        <f>IFERROR(__xludf.DUMMYFUNCTION("""COMPUTED_VALUE"""),0.0)</f>
        <v>0</v>
      </c>
      <c r="Z88" s="235">
        <f>IFERROR(__xludf.DUMMYFUNCTION("""COMPUTED_VALUE"""),1017.0)</f>
        <v>1017</v>
      </c>
    </row>
    <row r="89">
      <c r="A89" s="234">
        <f>IFERROR(__xludf.DUMMYFUNCTION("""COMPUTED_VALUE"""),44036.0)</f>
        <v>44036</v>
      </c>
      <c r="B89" s="235">
        <f>IFERROR(__xludf.DUMMYFUNCTION("""COMPUTED_VALUE"""),172.0)</f>
        <v>172</v>
      </c>
      <c r="C89" s="235">
        <f>IFERROR(__xludf.DUMMYFUNCTION("""COMPUTED_VALUE"""),148.0)</f>
        <v>148</v>
      </c>
      <c r="D89" s="235">
        <f>IFERROR(__xludf.DUMMYFUNCTION("""COMPUTED_VALUE"""),26952.0)</f>
        <v>26952</v>
      </c>
      <c r="E89" s="235">
        <f>IFERROR(__xludf.DUMMYFUNCTION("""COMPUTED_VALUE"""),5966.0)</f>
        <v>5966</v>
      </c>
      <c r="F89" s="173">
        <f>IFERROR(__xludf.DUMMYFUNCTION("""COMPUTED_VALUE"""),315887.0)</f>
        <v>315887</v>
      </c>
      <c r="G89" s="173">
        <f>IFERROR(__xludf.DUMMYFUNCTION("""COMPUTED_VALUE"""),6138.0)</f>
        <v>6138</v>
      </c>
      <c r="H89" s="173">
        <f>IFERROR(__xludf.DUMMYFUNCTION("""COMPUTED_VALUE"""),342839.0)</f>
        <v>342839</v>
      </c>
      <c r="I89" s="235">
        <f>IFERROR(__xludf.DUMMYFUNCTION("""COMPUTED_VALUE"""),119.0)</f>
        <v>119</v>
      </c>
      <c r="J89" s="235">
        <f>IFERROR(__xludf.DUMMYFUNCTION("""COMPUTED_VALUE"""),107.0)</f>
        <v>107</v>
      </c>
      <c r="K89" s="235">
        <f>IFERROR(__xludf.DUMMYFUNCTION("""COMPUTED_VALUE"""),18408.0)</f>
        <v>18408</v>
      </c>
      <c r="L89" s="235">
        <f>IFERROR(__xludf.DUMMYFUNCTION("""COMPUTED_VALUE"""),2294.0)</f>
        <v>2294</v>
      </c>
      <c r="M89" s="235">
        <f>IFERROR(__xludf.DUMMYFUNCTION("""COMPUTED_VALUE"""),173426.0)</f>
        <v>173426</v>
      </c>
      <c r="N89" s="235">
        <f>IFERROR(__xludf.DUMMYFUNCTION("""COMPUTED_VALUE"""),191834.0)</f>
        <v>191834</v>
      </c>
      <c r="O89" s="235">
        <f>IFERROR(__xludf.DUMMYFUNCTION("""COMPUTED_VALUE"""),15.0)</f>
        <v>15</v>
      </c>
      <c r="P89" s="235">
        <f>IFERROR(__xludf.DUMMYFUNCTION("""COMPUTED_VALUE"""),2201.0)</f>
        <v>2201</v>
      </c>
      <c r="Q89" s="235">
        <f>IFERROR(__xludf.DUMMYFUNCTION("""COMPUTED_VALUE"""),12.0)</f>
        <v>12</v>
      </c>
      <c r="R89" s="235">
        <f>IFERROR(__xludf.DUMMYFUNCTION("""COMPUTED_VALUE"""),1826.0)</f>
        <v>1826</v>
      </c>
      <c r="S89" s="235">
        <f>IFERROR(__xludf.DUMMYFUNCTION("""COMPUTED_VALUE"""),0.0)</f>
        <v>0</v>
      </c>
      <c r="T89" s="235">
        <f>IFERROR(__xludf.DUMMYFUNCTION("""COMPUTED_VALUE"""),316.0)</f>
        <v>316</v>
      </c>
      <c r="U89" s="235">
        <f>IFERROR(__xludf.DUMMYFUNCTION("""COMPUTED_VALUE"""),59.0)</f>
        <v>59</v>
      </c>
      <c r="V89" s="235">
        <f>IFERROR(__xludf.DUMMYFUNCTION("""COMPUTED_VALUE"""),56.0)</f>
        <v>56</v>
      </c>
      <c r="W89" s="235">
        <f>IFERROR(__xludf.DUMMYFUNCTION("""COMPUTED_VALUE"""),9.0)</f>
        <v>9</v>
      </c>
      <c r="X89" s="235">
        <f>IFERROR(__xludf.DUMMYFUNCTION("""COMPUTED_VALUE"""),7.0)</f>
        <v>7</v>
      </c>
      <c r="Y89" s="235">
        <f>IFERROR(__xludf.DUMMYFUNCTION("""COMPUTED_VALUE"""),0.0)</f>
        <v>0</v>
      </c>
      <c r="Z89" s="235">
        <f>IFERROR(__xludf.DUMMYFUNCTION("""COMPUTED_VALUE"""),1017.0)</f>
        <v>1017</v>
      </c>
    </row>
    <row r="90">
      <c r="A90" s="234">
        <f>IFERROR(__xludf.DUMMYFUNCTION("""COMPUTED_VALUE"""),44037.0)</f>
        <v>44037</v>
      </c>
      <c r="B90" s="235">
        <f>IFERROR(__xludf.DUMMYFUNCTION("""COMPUTED_VALUE"""),134.0)</f>
        <v>134</v>
      </c>
      <c r="C90" s="235">
        <f>IFERROR(__xludf.DUMMYFUNCTION("""COMPUTED_VALUE"""),149.0)</f>
        <v>149</v>
      </c>
      <c r="D90" s="235">
        <f>IFERROR(__xludf.DUMMYFUNCTION("""COMPUTED_VALUE"""),27086.0)</f>
        <v>27086</v>
      </c>
      <c r="E90" s="235">
        <f>IFERROR(__xludf.DUMMYFUNCTION("""COMPUTED_VALUE"""),4398.0)</f>
        <v>4398</v>
      </c>
      <c r="F90" s="173">
        <f>IFERROR(__xludf.DUMMYFUNCTION("""COMPUTED_VALUE"""),320285.0)</f>
        <v>320285</v>
      </c>
      <c r="G90" s="173">
        <f>IFERROR(__xludf.DUMMYFUNCTION("""COMPUTED_VALUE"""),4532.0)</f>
        <v>4532</v>
      </c>
      <c r="H90" s="173">
        <f>IFERROR(__xludf.DUMMYFUNCTION("""COMPUTED_VALUE"""),347371.0)</f>
        <v>347371</v>
      </c>
      <c r="I90" s="235">
        <f>IFERROR(__xludf.DUMMYFUNCTION("""COMPUTED_VALUE"""),108.0)</f>
        <v>108</v>
      </c>
      <c r="J90" s="235">
        <f>IFERROR(__xludf.DUMMYFUNCTION("""COMPUTED_VALUE"""),114.0)</f>
        <v>114</v>
      </c>
      <c r="K90" s="235">
        <f>IFERROR(__xludf.DUMMYFUNCTION("""COMPUTED_VALUE"""),18516.0)</f>
        <v>18516</v>
      </c>
      <c r="L90" s="235">
        <f>IFERROR(__xludf.DUMMYFUNCTION("""COMPUTED_VALUE"""),2075.0)</f>
        <v>2075</v>
      </c>
      <c r="M90" s="235">
        <f>IFERROR(__xludf.DUMMYFUNCTION("""COMPUTED_VALUE"""),175501.0)</f>
        <v>175501</v>
      </c>
      <c r="N90" s="235">
        <f>IFERROR(__xludf.DUMMYFUNCTION("""COMPUTED_VALUE"""),194017.0)</f>
        <v>194017</v>
      </c>
      <c r="O90" s="235">
        <f>IFERROR(__xludf.DUMMYFUNCTION("""COMPUTED_VALUE"""),7.0)</f>
        <v>7</v>
      </c>
      <c r="P90" s="235">
        <f>IFERROR(__xludf.DUMMYFUNCTION("""COMPUTED_VALUE"""),2208.0)</f>
        <v>2208</v>
      </c>
      <c r="Q90" s="235">
        <f>IFERROR(__xludf.DUMMYFUNCTION("""COMPUTED_VALUE"""),7.0)</f>
        <v>7</v>
      </c>
      <c r="R90" s="235">
        <f>IFERROR(__xludf.DUMMYFUNCTION("""COMPUTED_VALUE"""),1833.0)</f>
        <v>1833</v>
      </c>
      <c r="S90" s="235">
        <f>IFERROR(__xludf.DUMMYFUNCTION("""COMPUTED_VALUE"""),0.0)</f>
        <v>0</v>
      </c>
      <c r="T90" s="235">
        <f>IFERROR(__xludf.DUMMYFUNCTION("""COMPUTED_VALUE"""),316.0)</f>
        <v>316</v>
      </c>
      <c r="U90" s="235">
        <f>IFERROR(__xludf.DUMMYFUNCTION("""COMPUTED_VALUE"""),59.0)</f>
        <v>59</v>
      </c>
      <c r="V90" s="235">
        <f>IFERROR(__xludf.DUMMYFUNCTION("""COMPUTED_VALUE"""),58.0)</f>
        <v>58</v>
      </c>
      <c r="W90" s="235">
        <f>IFERROR(__xludf.DUMMYFUNCTION("""COMPUTED_VALUE"""),10.0)</f>
        <v>10</v>
      </c>
      <c r="X90" s="235">
        <f>IFERROR(__xludf.DUMMYFUNCTION("""COMPUTED_VALUE"""),8.0)</f>
        <v>8</v>
      </c>
      <c r="Y90" s="235">
        <f>IFERROR(__xludf.DUMMYFUNCTION("""COMPUTED_VALUE"""),3.0)</f>
        <v>3</v>
      </c>
      <c r="Z90" s="235">
        <f>IFERROR(__xludf.DUMMYFUNCTION("""COMPUTED_VALUE"""),1020.0)</f>
        <v>1020</v>
      </c>
    </row>
    <row r="91">
      <c r="A91" s="234">
        <f>IFERROR(__xludf.DUMMYFUNCTION("""COMPUTED_VALUE"""),44038.0)</f>
        <v>44038</v>
      </c>
      <c r="B91" s="235">
        <f>IFERROR(__xludf.DUMMYFUNCTION("""COMPUTED_VALUE"""),62.0)</f>
        <v>62</v>
      </c>
      <c r="C91" s="235">
        <f>IFERROR(__xludf.DUMMYFUNCTION("""COMPUTED_VALUE"""),123.0)</f>
        <v>123</v>
      </c>
      <c r="D91" s="235">
        <f>IFERROR(__xludf.DUMMYFUNCTION("""COMPUTED_VALUE"""),27148.0)</f>
        <v>27148</v>
      </c>
      <c r="E91" s="235">
        <f>IFERROR(__xludf.DUMMYFUNCTION("""COMPUTED_VALUE"""),3033.0)</f>
        <v>3033</v>
      </c>
      <c r="F91" s="173">
        <f>IFERROR(__xludf.DUMMYFUNCTION("""COMPUTED_VALUE"""),323318.0)</f>
        <v>323318</v>
      </c>
      <c r="G91" s="173">
        <f>IFERROR(__xludf.DUMMYFUNCTION("""COMPUTED_VALUE"""),3095.0)</f>
        <v>3095</v>
      </c>
      <c r="H91" s="173">
        <f>IFERROR(__xludf.DUMMYFUNCTION("""COMPUTED_VALUE"""),350466.0)</f>
        <v>350466</v>
      </c>
      <c r="I91" s="235">
        <f>IFERROR(__xludf.DUMMYFUNCTION("""COMPUTED_VALUE"""),54.0)</f>
        <v>54</v>
      </c>
      <c r="J91" s="235">
        <f>IFERROR(__xludf.DUMMYFUNCTION("""COMPUTED_VALUE"""),94.0)</f>
        <v>94</v>
      </c>
      <c r="K91" s="235">
        <f>IFERROR(__xludf.DUMMYFUNCTION("""COMPUTED_VALUE"""),18570.0)</f>
        <v>18570</v>
      </c>
      <c r="L91" s="235">
        <f>IFERROR(__xludf.DUMMYFUNCTION("""COMPUTED_VALUE"""),1324.0)</f>
        <v>1324</v>
      </c>
      <c r="M91" s="235">
        <f>IFERROR(__xludf.DUMMYFUNCTION("""COMPUTED_VALUE"""),176825.0)</f>
        <v>176825</v>
      </c>
      <c r="N91" s="235">
        <f>IFERROR(__xludf.DUMMYFUNCTION("""COMPUTED_VALUE"""),195395.0)</f>
        <v>195395</v>
      </c>
      <c r="O91" s="235">
        <f>IFERROR(__xludf.DUMMYFUNCTION("""COMPUTED_VALUE"""),8.0)</f>
        <v>8</v>
      </c>
      <c r="P91" s="235">
        <f>IFERROR(__xludf.DUMMYFUNCTION("""COMPUTED_VALUE"""),2216.0)</f>
        <v>2216</v>
      </c>
      <c r="Q91" s="235">
        <f>IFERROR(__xludf.DUMMYFUNCTION("""COMPUTED_VALUE"""),9.0)</f>
        <v>9</v>
      </c>
      <c r="R91" s="235">
        <f>IFERROR(__xludf.DUMMYFUNCTION("""COMPUTED_VALUE"""),1842.0)</f>
        <v>1842</v>
      </c>
      <c r="S91" s="235">
        <f>IFERROR(__xludf.DUMMYFUNCTION("""COMPUTED_VALUE"""),0.0)</f>
        <v>0</v>
      </c>
      <c r="T91" s="235">
        <f>IFERROR(__xludf.DUMMYFUNCTION("""COMPUTED_VALUE"""),316.0)</f>
        <v>316</v>
      </c>
      <c r="U91" s="235">
        <f>IFERROR(__xludf.DUMMYFUNCTION("""COMPUTED_VALUE"""),58.0)</f>
        <v>58</v>
      </c>
      <c r="V91" s="235">
        <f>IFERROR(__xludf.DUMMYFUNCTION("""COMPUTED_VALUE"""),59.0)</f>
        <v>59</v>
      </c>
      <c r="W91" s="235">
        <f>IFERROR(__xludf.DUMMYFUNCTION("""COMPUTED_VALUE"""),11.0)</f>
        <v>11</v>
      </c>
      <c r="X91" s="235">
        <f>IFERROR(__xludf.DUMMYFUNCTION("""COMPUTED_VALUE"""),7.0)</f>
        <v>7</v>
      </c>
      <c r="Y91" s="235">
        <f>IFERROR(__xludf.DUMMYFUNCTION("""COMPUTED_VALUE"""),1.0)</f>
        <v>1</v>
      </c>
      <c r="Z91" s="235">
        <f>IFERROR(__xludf.DUMMYFUNCTION("""COMPUTED_VALUE"""),1021.0)</f>
        <v>1021</v>
      </c>
    </row>
    <row r="92">
      <c r="A92" s="234">
        <f>IFERROR(__xludf.DUMMYFUNCTION("""COMPUTED_VALUE"""),44039.0)</f>
        <v>44039</v>
      </c>
      <c r="B92" s="235">
        <f>IFERROR(__xludf.DUMMYFUNCTION("""COMPUTED_VALUE"""),188.0)</f>
        <v>188</v>
      </c>
      <c r="C92" s="235">
        <f>IFERROR(__xludf.DUMMYFUNCTION("""COMPUTED_VALUE"""),128.0)</f>
        <v>128</v>
      </c>
      <c r="D92" s="235">
        <f>IFERROR(__xludf.DUMMYFUNCTION("""COMPUTED_VALUE"""),27336.0)</f>
        <v>27336</v>
      </c>
      <c r="E92" s="235">
        <f>IFERROR(__xludf.DUMMYFUNCTION("""COMPUTED_VALUE"""),4191.0)</f>
        <v>4191</v>
      </c>
      <c r="F92" s="173">
        <f>IFERROR(__xludf.DUMMYFUNCTION("""COMPUTED_VALUE"""),327509.0)</f>
        <v>327509</v>
      </c>
      <c r="G92" s="173">
        <f>IFERROR(__xludf.DUMMYFUNCTION("""COMPUTED_VALUE"""),4379.0)</f>
        <v>4379</v>
      </c>
      <c r="H92" s="173">
        <f>IFERROR(__xludf.DUMMYFUNCTION("""COMPUTED_VALUE"""),354845.0)</f>
        <v>354845</v>
      </c>
      <c r="I92" s="235">
        <f>IFERROR(__xludf.DUMMYFUNCTION("""COMPUTED_VALUE"""),138.0)</f>
        <v>138</v>
      </c>
      <c r="J92" s="235">
        <f>IFERROR(__xludf.DUMMYFUNCTION("""COMPUTED_VALUE"""),100.0)</f>
        <v>100</v>
      </c>
      <c r="K92" s="235">
        <f>IFERROR(__xludf.DUMMYFUNCTION("""COMPUTED_VALUE"""),18708.0)</f>
        <v>18708</v>
      </c>
      <c r="L92" s="235">
        <f>IFERROR(__xludf.DUMMYFUNCTION("""COMPUTED_VALUE"""),2326.0)</f>
        <v>2326</v>
      </c>
      <c r="M92" s="235">
        <f>IFERROR(__xludf.DUMMYFUNCTION("""COMPUTED_VALUE"""),179151.0)</f>
        <v>179151</v>
      </c>
      <c r="N92" s="235">
        <f>IFERROR(__xludf.DUMMYFUNCTION("""COMPUTED_VALUE"""),197859.0)</f>
        <v>197859</v>
      </c>
      <c r="O92" s="235">
        <f>IFERROR(__xludf.DUMMYFUNCTION("""COMPUTED_VALUE"""),12.0)</f>
        <v>12</v>
      </c>
      <c r="P92" s="235">
        <f>IFERROR(__xludf.DUMMYFUNCTION("""COMPUTED_VALUE"""),2228.0)</f>
        <v>2228</v>
      </c>
      <c r="Q92" s="235">
        <f>IFERROR(__xludf.DUMMYFUNCTION("""COMPUTED_VALUE"""),7.0)</f>
        <v>7</v>
      </c>
      <c r="R92" s="235">
        <f>IFERROR(__xludf.DUMMYFUNCTION("""COMPUTED_VALUE"""),1849.0)</f>
        <v>1849</v>
      </c>
      <c r="S92" s="235">
        <f>IFERROR(__xludf.DUMMYFUNCTION("""COMPUTED_VALUE"""),0.0)</f>
        <v>0</v>
      </c>
      <c r="T92" s="235">
        <f>IFERROR(__xludf.DUMMYFUNCTION("""COMPUTED_VALUE"""),316.0)</f>
        <v>316</v>
      </c>
      <c r="U92" s="235">
        <f>IFERROR(__xludf.DUMMYFUNCTION("""COMPUTED_VALUE"""),63.0)</f>
        <v>63</v>
      </c>
      <c r="V92" s="235">
        <f>IFERROR(__xludf.DUMMYFUNCTION("""COMPUTED_VALUE"""),60.0)</f>
        <v>60</v>
      </c>
      <c r="W92" s="235">
        <f>IFERROR(__xludf.DUMMYFUNCTION("""COMPUTED_VALUE"""),13.0)</f>
        <v>13</v>
      </c>
      <c r="X92" s="235">
        <f>IFERROR(__xludf.DUMMYFUNCTION("""COMPUTED_VALUE"""),8.0)</f>
        <v>8</v>
      </c>
      <c r="Y92" s="235">
        <f>IFERROR(__xludf.DUMMYFUNCTION("""COMPUTED_VALUE"""),1.0)</f>
        <v>1</v>
      </c>
      <c r="Z92" s="235">
        <f>IFERROR(__xludf.DUMMYFUNCTION("""COMPUTED_VALUE"""),1022.0)</f>
        <v>1022</v>
      </c>
    </row>
    <row r="93">
      <c r="A93" s="234">
        <f>IFERROR(__xludf.DUMMYFUNCTION("""COMPUTED_VALUE"""),44040.0)</f>
        <v>44040</v>
      </c>
      <c r="B93" s="235">
        <f>IFERROR(__xludf.DUMMYFUNCTION("""COMPUTED_VALUE"""),105.0)</f>
        <v>105</v>
      </c>
      <c r="C93" s="235">
        <f>IFERROR(__xludf.DUMMYFUNCTION("""COMPUTED_VALUE"""),118.0)</f>
        <v>118</v>
      </c>
      <c r="D93" s="235">
        <f>IFERROR(__xludf.DUMMYFUNCTION("""COMPUTED_VALUE"""),27441.0)</f>
        <v>27441</v>
      </c>
      <c r="E93" s="235">
        <f>IFERROR(__xludf.DUMMYFUNCTION("""COMPUTED_VALUE"""),3840.0)</f>
        <v>3840</v>
      </c>
      <c r="F93" s="173">
        <f>IFERROR(__xludf.DUMMYFUNCTION("""COMPUTED_VALUE"""),331349.0)</f>
        <v>331349</v>
      </c>
      <c r="G93" s="173">
        <f>IFERROR(__xludf.DUMMYFUNCTION("""COMPUTED_VALUE"""),3945.0)</f>
        <v>3945</v>
      </c>
      <c r="H93" s="173">
        <f>IFERROR(__xludf.DUMMYFUNCTION("""COMPUTED_VALUE"""),358790.0)</f>
        <v>358790</v>
      </c>
      <c r="I93" s="235">
        <f>IFERROR(__xludf.DUMMYFUNCTION("""COMPUTED_VALUE"""),95.0)</f>
        <v>95</v>
      </c>
      <c r="J93" s="235">
        <f>IFERROR(__xludf.DUMMYFUNCTION("""COMPUTED_VALUE"""),96.0)</f>
        <v>96</v>
      </c>
      <c r="K93" s="235">
        <f>IFERROR(__xludf.DUMMYFUNCTION("""COMPUTED_VALUE"""),18803.0)</f>
        <v>18803</v>
      </c>
      <c r="L93" s="235">
        <f>IFERROR(__xludf.DUMMYFUNCTION("""COMPUTED_VALUE"""),1621.0)</f>
        <v>1621</v>
      </c>
      <c r="M93" s="235">
        <f>IFERROR(__xludf.DUMMYFUNCTION("""COMPUTED_VALUE"""),180772.0)</f>
        <v>180772</v>
      </c>
      <c r="N93" s="235">
        <f>IFERROR(__xludf.DUMMYFUNCTION("""COMPUTED_VALUE"""),199575.0)</f>
        <v>199575</v>
      </c>
      <c r="O93" s="235">
        <f>IFERROR(__xludf.DUMMYFUNCTION("""COMPUTED_VALUE"""),5.0)</f>
        <v>5</v>
      </c>
      <c r="P93" s="235">
        <f>IFERROR(__xludf.DUMMYFUNCTION("""COMPUTED_VALUE"""),2233.0)</f>
        <v>2233</v>
      </c>
      <c r="Q93" s="235">
        <f>IFERROR(__xludf.DUMMYFUNCTION("""COMPUTED_VALUE"""),5.0)</f>
        <v>5</v>
      </c>
      <c r="R93" s="235">
        <f>IFERROR(__xludf.DUMMYFUNCTION("""COMPUTED_VALUE"""),1854.0)</f>
        <v>1854</v>
      </c>
      <c r="S93" s="235">
        <f>IFERROR(__xludf.DUMMYFUNCTION("""COMPUTED_VALUE"""),0.0)</f>
        <v>0</v>
      </c>
      <c r="T93" s="235">
        <f>IFERROR(__xludf.DUMMYFUNCTION("""COMPUTED_VALUE"""),316.0)</f>
        <v>316</v>
      </c>
      <c r="U93" s="235">
        <f>IFERROR(__xludf.DUMMYFUNCTION("""COMPUTED_VALUE"""),63.0)</f>
        <v>63</v>
      </c>
      <c r="V93" s="235">
        <f>IFERROR(__xludf.DUMMYFUNCTION("""COMPUTED_VALUE"""),61.0)</f>
        <v>61</v>
      </c>
      <c r="W93" s="235">
        <f>IFERROR(__xludf.DUMMYFUNCTION("""COMPUTED_VALUE"""),14.0)</f>
        <v>14</v>
      </c>
      <c r="X93" s="235">
        <f>IFERROR(__xludf.DUMMYFUNCTION("""COMPUTED_VALUE"""),7.0)</f>
        <v>7</v>
      </c>
      <c r="Y93" s="235">
        <f>IFERROR(__xludf.DUMMYFUNCTION("""COMPUTED_VALUE"""),1.0)</f>
        <v>1</v>
      </c>
      <c r="Z93" s="235">
        <f>IFERROR(__xludf.DUMMYFUNCTION("""COMPUTED_VALUE"""),1023.0)</f>
        <v>1023</v>
      </c>
    </row>
    <row r="94">
      <c r="A94" s="234">
        <f>IFERROR(__xludf.DUMMYFUNCTION("""COMPUTED_VALUE"""),44041.0)</f>
        <v>44041</v>
      </c>
      <c r="B94" s="235">
        <f>IFERROR(__xludf.DUMMYFUNCTION("""COMPUTED_VALUE"""),190.0)</f>
        <v>190</v>
      </c>
      <c r="C94" s="235">
        <f>IFERROR(__xludf.DUMMYFUNCTION("""COMPUTED_VALUE"""),161.0)</f>
        <v>161</v>
      </c>
      <c r="D94" s="235">
        <f>IFERROR(__xludf.DUMMYFUNCTION("""COMPUTED_VALUE"""),27631.0)</f>
        <v>27631</v>
      </c>
      <c r="E94" s="235">
        <f>IFERROR(__xludf.DUMMYFUNCTION("""COMPUTED_VALUE"""),5139.0)</f>
        <v>5139</v>
      </c>
      <c r="F94" s="173">
        <f>IFERROR(__xludf.DUMMYFUNCTION("""COMPUTED_VALUE"""),336488.0)</f>
        <v>336488</v>
      </c>
      <c r="G94" s="173">
        <f>IFERROR(__xludf.DUMMYFUNCTION("""COMPUTED_VALUE"""),5329.0)</f>
        <v>5329</v>
      </c>
      <c r="H94" s="173">
        <f>IFERROR(__xludf.DUMMYFUNCTION("""COMPUTED_VALUE"""),364119.0)</f>
        <v>364119</v>
      </c>
      <c r="I94" s="235">
        <f>IFERROR(__xludf.DUMMYFUNCTION("""COMPUTED_VALUE"""),154.0)</f>
        <v>154</v>
      </c>
      <c r="J94" s="235">
        <f>IFERROR(__xludf.DUMMYFUNCTION("""COMPUTED_VALUE"""),129.0)</f>
        <v>129</v>
      </c>
      <c r="K94" s="235">
        <f>IFERROR(__xludf.DUMMYFUNCTION("""COMPUTED_VALUE"""),18957.0)</f>
        <v>18957</v>
      </c>
      <c r="L94" s="235">
        <f>IFERROR(__xludf.DUMMYFUNCTION("""COMPUTED_VALUE"""),2285.0)</f>
        <v>2285</v>
      </c>
      <c r="M94" s="235">
        <f>IFERROR(__xludf.DUMMYFUNCTION("""COMPUTED_VALUE"""),183057.0)</f>
        <v>183057</v>
      </c>
      <c r="N94" s="235">
        <f>IFERROR(__xludf.DUMMYFUNCTION("""COMPUTED_VALUE"""),202014.0)</f>
        <v>202014</v>
      </c>
      <c r="O94" s="235">
        <f>IFERROR(__xludf.DUMMYFUNCTION("""COMPUTED_VALUE"""),9.0)</f>
        <v>9</v>
      </c>
      <c r="P94" s="235">
        <f>IFERROR(__xludf.DUMMYFUNCTION("""COMPUTED_VALUE"""),2242.0)</f>
        <v>2242</v>
      </c>
      <c r="Q94" s="235">
        <f>IFERROR(__xludf.DUMMYFUNCTION("""COMPUTED_VALUE"""),10.0)</f>
        <v>10</v>
      </c>
      <c r="R94" s="235">
        <f>IFERROR(__xludf.DUMMYFUNCTION("""COMPUTED_VALUE"""),1864.0)</f>
        <v>1864</v>
      </c>
      <c r="S94" s="235">
        <f>IFERROR(__xludf.DUMMYFUNCTION("""COMPUTED_VALUE"""),0.0)</f>
        <v>0</v>
      </c>
      <c r="T94" s="235">
        <f>IFERROR(__xludf.DUMMYFUNCTION("""COMPUTED_VALUE"""),316.0)</f>
        <v>316</v>
      </c>
      <c r="U94" s="235">
        <f>IFERROR(__xludf.DUMMYFUNCTION("""COMPUTED_VALUE"""),62.0)</f>
        <v>62</v>
      </c>
      <c r="V94" s="235">
        <f>IFERROR(__xludf.DUMMYFUNCTION("""COMPUTED_VALUE"""),63.0)</f>
        <v>63</v>
      </c>
      <c r="W94" s="235">
        <f>IFERROR(__xludf.DUMMYFUNCTION("""COMPUTED_VALUE"""),15.0)</f>
        <v>15</v>
      </c>
      <c r="X94" s="235">
        <f>IFERROR(__xludf.DUMMYFUNCTION("""COMPUTED_VALUE"""),7.0)</f>
        <v>7</v>
      </c>
      <c r="Y94" s="235">
        <f>IFERROR(__xludf.DUMMYFUNCTION("""COMPUTED_VALUE"""),0.0)</f>
        <v>0</v>
      </c>
      <c r="Z94" s="235">
        <f>IFERROR(__xludf.DUMMYFUNCTION("""COMPUTED_VALUE"""),1023.0)</f>
        <v>1023</v>
      </c>
    </row>
    <row r="95">
      <c r="A95" s="234">
        <f>IFERROR(__xludf.DUMMYFUNCTION("""COMPUTED_VALUE"""),44042.0)</f>
        <v>44042</v>
      </c>
      <c r="B95" s="235">
        <f>IFERROR(__xludf.DUMMYFUNCTION("""COMPUTED_VALUE"""),121.0)</f>
        <v>121</v>
      </c>
      <c r="C95" s="235">
        <f>IFERROR(__xludf.DUMMYFUNCTION("""COMPUTED_VALUE"""),139.0)</f>
        <v>139</v>
      </c>
      <c r="D95" s="235">
        <f>IFERROR(__xludf.DUMMYFUNCTION("""COMPUTED_VALUE"""),27752.0)</f>
        <v>27752</v>
      </c>
      <c r="E95" s="235">
        <f>IFERROR(__xludf.DUMMYFUNCTION("""COMPUTED_VALUE"""),4345.0)</f>
        <v>4345</v>
      </c>
      <c r="F95" s="173">
        <f>IFERROR(__xludf.DUMMYFUNCTION("""COMPUTED_VALUE"""),340833.0)</f>
        <v>340833</v>
      </c>
      <c r="G95" s="173">
        <f>IFERROR(__xludf.DUMMYFUNCTION("""COMPUTED_VALUE"""),4466.0)</f>
        <v>4466</v>
      </c>
      <c r="H95" s="173">
        <f>IFERROR(__xludf.DUMMYFUNCTION("""COMPUTED_VALUE"""),368585.0)</f>
        <v>368585</v>
      </c>
      <c r="I95" s="235">
        <f>IFERROR(__xludf.DUMMYFUNCTION("""COMPUTED_VALUE"""),97.0)</f>
        <v>97</v>
      </c>
      <c r="J95" s="235">
        <f>IFERROR(__xludf.DUMMYFUNCTION("""COMPUTED_VALUE"""),115.0)</f>
        <v>115</v>
      </c>
      <c r="K95" s="235">
        <f>IFERROR(__xludf.DUMMYFUNCTION("""COMPUTED_VALUE"""),19054.0)</f>
        <v>19054</v>
      </c>
      <c r="L95" s="235">
        <f>IFERROR(__xludf.DUMMYFUNCTION("""COMPUTED_VALUE"""),1631.0)</f>
        <v>1631</v>
      </c>
      <c r="M95" s="235">
        <f>IFERROR(__xludf.DUMMYFUNCTION("""COMPUTED_VALUE"""),184688.0)</f>
        <v>184688</v>
      </c>
      <c r="N95" s="235">
        <f>IFERROR(__xludf.DUMMYFUNCTION("""COMPUTED_VALUE"""),203742.0)</f>
        <v>203742</v>
      </c>
      <c r="O95" s="235">
        <f>IFERROR(__xludf.DUMMYFUNCTION("""COMPUTED_VALUE"""),6.0)</f>
        <v>6</v>
      </c>
      <c r="P95" s="235">
        <f>IFERROR(__xludf.DUMMYFUNCTION("""COMPUTED_VALUE"""),2248.0)</f>
        <v>2248</v>
      </c>
      <c r="Q95" s="235">
        <f>IFERROR(__xludf.DUMMYFUNCTION("""COMPUTED_VALUE"""),2.0)</f>
        <v>2</v>
      </c>
      <c r="R95" s="235">
        <f>IFERROR(__xludf.DUMMYFUNCTION("""COMPUTED_VALUE"""),1866.0)</f>
        <v>1866</v>
      </c>
      <c r="S95" s="235">
        <f>IFERROR(__xludf.DUMMYFUNCTION("""COMPUTED_VALUE"""),1.0)</f>
        <v>1</v>
      </c>
      <c r="T95" s="235">
        <f>IFERROR(__xludf.DUMMYFUNCTION("""COMPUTED_VALUE"""),317.0)</f>
        <v>317</v>
      </c>
      <c r="U95" s="235">
        <f>IFERROR(__xludf.DUMMYFUNCTION("""COMPUTED_VALUE"""),65.0)</f>
        <v>65</v>
      </c>
      <c r="V95" s="235">
        <f>IFERROR(__xludf.DUMMYFUNCTION("""COMPUTED_VALUE"""),63.0)</f>
        <v>63</v>
      </c>
      <c r="W95" s="235">
        <f>IFERROR(__xludf.DUMMYFUNCTION("""COMPUTED_VALUE"""),15.0)</f>
        <v>15</v>
      </c>
      <c r="X95" s="235">
        <f>IFERROR(__xludf.DUMMYFUNCTION("""COMPUTED_VALUE"""),6.0)</f>
        <v>6</v>
      </c>
      <c r="Y95" s="235">
        <f>IFERROR(__xludf.DUMMYFUNCTION("""COMPUTED_VALUE"""),1.0)</f>
        <v>1</v>
      </c>
      <c r="Z95" s="235">
        <f>IFERROR(__xludf.DUMMYFUNCTION("""COMPUTED_VALUE"""),1024.0)</f>
        <v>1024</v>
      </c>
    </row>
    <row r="96">
      <c r="A96" s="234">
        <f>IFERROR(__xludf.DUMMYFUNCTION("""COMPUTED_VALUE"""),44043.0)</f>
        <v>44043</v>
      </c>
      <c r="B96" s="235">
        <f>IFERROR(__xludf.DUMMYFUNCTION("""COMPUTED_VALUE"""),131.0)</f>
        <v>131</v>
      </c>
      <c r="C96" s="235">
        <f>IFERROR(__xludf.DUMMYFUNCTION("""COMPUTED_VALUE"""),147.0)</f>
        <v>147</v>
      </c>
      <c r="D96" s="235">
        <f>IFERROR(__xludf.DUMMYFUNCTION("""COMPUTED_VALUE"""),27883.0)</f>
        <v>27883</v>
      </c>
      <c r="E96" s="235">
        <f>IFERROR(__xludf.DUMMYFUNCTION("""COMPUTED_VALUE"""),5512.0)</f>
        <v>5512</v>
      </c>
      <c r="F96" s="173">
        <f>IFERROR(__xludf.DUMMYFUNCTION("""COMPUTED_VALUE"""),346345.0)</f>
        <v>346345</v>
      </c>
      <c r="G96" s="173">
        <f>IFERROR(__xludf.DUMMYFUNCTION("""COMPUTED_VALUE"""),5643.0)</f>
        <v>5643</v>
      </c>
      <c r="H96" s="173">
        <f>IFERROR(__xludf.DUMMYFUNCTION("""COMPUTED_VALUE"""),374228.0)</f>
        <v>374228</v>
      </c>
      <c r="I96" s="235">
        <f>IFERROR(__xludf.DUMMYFUNCTION("""COMPUTED_VALUE"""),89.0)</f>
        <v>89</v>
      </c>
      <c r="J96" s="235">
        <f>IFERROR(__xludf.DUMMYFUNCTION("""COMPUTED_VALUE"""),113.0)</f>
        <v>113</v>
      </c>
      <c r="K96" s="235">
        <f>IFERROR(__xludf.DUMMYFUNCTION("""COMPUTED_VALUE"""),19143.0)</f>
        <v>19143</v>
      </c>
      <c r="L96" s="235">
        <f>IFERROR(__xludf.DUMMYFUNCTION("""COMPUTED_VALUE"""),1818.0)</f>
        <v>1818</v>
      </c>
      <c r="M96" s="235">
        <f>IFERROR(__xludf.DUMMYFUNCTION("""COMPUTED_VALUE"""),186506.0)</f>
        <v>186506</v>
      </c>
      <c r="N96" s="235">
        <f>IFERROR(__xludf.DUMMYFUNCTION("""COMPUTED_VALUE"""),205649.0)</f>
        <v>205649</v>
      </c>
      <c r="O96" s="235">
        <f>IFERROR(__xludf.DUMMYFUNCTION("""COMPUTED_VALUE"""),7.0)</f>
        <v>7</v>
      </c>
      <c r="P96" s="235">
        <f>IFERROR(__xludf.DUMMYFUNCTION("""COMPUTED_VALUE"""),2255.0)</f>
        <v>2255</v>
      </c>
      <c r="Q96" s="235">
        <f>IFERROR(__xludf.DUMMYFUNCTION("""COMPUTED_VALUE"""),9.0)</f>
        <v>9</v>
      </c>
      <c r="R96" s="235">
        <f>IFERROR(__xludf.DUMMYFUNCTION("""COMPUTED_VALUE"""),1875.0)</f>
        <v>1875</v>
      </c>
      <c r="S96" s="235">
        <f>IFERROR(__xludf.DUMMYFUNCTION("""COMPUTED_VALUE"""),0.0)</f>
        <v>0</v>
      </c>
      <c r="T96" s="235">
        <f>IFERROR(__xludf.DUMMYFUNCTION("""COMPUTED_VALUE"""),317.0)</f>
        <v>317</v>
      </c>
      <c r="U96" s="235">
        <f>IFERROR(__xludf.DUMMYFUNCTION("""COMPUTED_VALUE"""),63.0)</f>
        <v>63</v>
      </c>
      <c r="V96" s="235">
        <f>IFERROR(__xludf.DUMMYFUNCTION("""COMPUTED_VALUE"""),63.0)</f>
        <v>63</v>
      </c>
      <c r="W96" s="235">
        <f>IFERROR(__xludf.DUMMYFUNCTION("""COMPUTED_VALUE"""),15.0)</f>
        <v>15</v>
      </c>
      <c r="X96" s="235">
        <f>IFERROR(__xludf.DUMMYFUNCTION("""COMPUTED_VALUE"""),7.0)</f>
        <v>7</v>
      </c>
      <c r="Y96" s="235">
        <f>IFERROR(__xludf.DUMMYFUNCTION("""COMPUTED_VALUE"""),1.0)</f>
        <v>1</v>
      </c>
      <c r="Z96" s="235">
        <f>IFERROR(__xludf.DUMMYFUNCTION("""COMPUTED_VALUE"""),1025.0)</f>
        <v>1025</v>
      </c>
    </row>
    <row r="97">
      <c r="A97" s="234">
        <f>IFERROR(__xludf.DUMMYFUNCTION("""COMPUTED_VALUE"""),44044.0)</f>
        <v>44044</v>
      </c>
      <c r="B97" s="235">
        <f>IFERROR(__xludf.DUMMYFUNCTION("""COMPUTED_VALUE"""),109.0)</f>
        <v>109</v>
      </c>
      <c r="C97" s="235">
        <f>IFERROR(__xludf.DUMMYFUNCTION("""COMPUTED_VALUE"""),120.0)</f>
        <v>120</v>
      </c>
      <c r="D97" s="235">
        <f>IFERROR(__xludf.DUMMYFUNCTION("""COMPUTED_VALUE"""),27992.0)</f>
        <v>27992</v>
      </c>
      <c r="E97" s="235">
        <f>IFERROR(__xludf.DUMMYFUNCTION("""COMPUTED_VALUE"""),4294.0)</f>
        <v>4294</v>
      </c>
      <c r="F97" s="173">
        <f>IFERROR(__xludf.DUMMYFUNCTION("""COMPUTED_VALUE"""),350639.0)</f>
        <v>350639</v>
      </c>
      <c r="G97" s="173">
        <f>IFERROR(__xludf.DUMMYFUNCTION("""COMPUTED_VALUE"""),4403.0)</f>
        <v>4403</v>
      </c>
      <c r="H97" s="173">
        <f>IFERROR(__xludf.DUMMYFUNCTION("""COMPUTED_VALUE"""),378631.0)</f>
        <v>378631</v>
      </c>
      <c r="I97" s="235">
        <f>IFERROR(__xludf.DUMMYFUNCTION("""COMPUTED_VALUE"""),89.0)</f>
        <v>89</v>
      </c>
      <c r="J97" s="235">
        <f>IFERROR(__xludf.DUMMYFUNCTION("""COMPUTED_VALUE"""),92.0)</f>
        <v>92</v>
      </c>
      <c r="K97" s="235">
        <f>IFERROR(__xludf.DUMMYFUNCTION("""COMPUTED_VALUE"""),19232.0)</f>
        <v>19232</v>
      </c>
      <c r="L97" s="235">
        <f>IFERROR(__xludf.DUMMYFUNCTION("""COMPUTED_VALUE"""),1546.0)</f>
        <v>1546</v>
      </c>
      <c r="M97" s="235">
        <f>IFERROR(__xludf.DUMMYFUNCTION("""COMPUTED_VALUE"""),188052.0)</f>
        <v>188052</v>
      </c>
      <c r="N97" s="235">
        <f>IFERROR(__xludf.DUMMYFUNCTION("""COMPUTED_VALUE"""),207284.0)</f>
        <v>207284</v>
      </c>
      <c r="O97" s="235">
        <f>IFERROR(__xludf.DUMMYFUNCTION("""COMPUTED_VALUE"""),7.0)</f>
        <v>7</v>
      </c>
      <c r="P97" s="235">
        <f>IFERROR(__xludf.DUMMYFUNCTION("""COMPUTED_VALUE"""),2262.0)</f>
        <v>2262</v>
      </c>
      <c r="Q97" s="235">
        <f>IFERROR(__xludf.DUMMYFUNCTION("""COMPUTED_VALUE"""),2.0)</f>
        <v>2</v>
      </c>
      <c r="R97" s="235">
        <f>IFERROR(__xludf.DUMMYFUNCTION("""COMPUTED_VALUE"""),1877.0)</f>
        <v>1877</v>
      </c>
      <c r="S97" s="235">
        <f>IFERROR(__xludf.DUMMYFUNCTION("""COMPUTED_VALUE"""),0.0)</f>
        <v>0</v>
      </c>
      <c r="T97" s="235">
        <f>IFERROR(__xludf.DUMMYFUNCTION("""COMPUTED_VALUE"""),317.0)</f>
        <v>317</v>
      </c>
      <c r="U97" s="235">
        <f>IFERROR(__xludf.DUMMYFUNCTION("""COMPUTED_VALUE"""),68.0)</f>
        <v>68</v>
      </c>
      <c r="V97" s="235">
        <f>IFERROR(__xludf.DUMMYFUNCTION("""COMPUTED_VALUE"""),65.0)</f>
        <v>65</v>
      </c>
      <c r="W97" s="235">
        <f>IFERROR(__xludf.DUMMYFUNCTION("""COMPUTED_VALUE"""),14.0)</f>
        <v>14</v>
      </c>
      <c r="X97" s="235">
        <f>IFERROR(__xludf.DUMMYFUNCTION("""COMPUTED_VALUE"""),7.0)</f>
        <v>7</v>
      </c>
      <c r="Y97" s="235">
        <f>IFERROR(__xludf.DUMMYFUNCTION("""COMPUTED_VALUE"""),1.0)</f>
        <v>1</v>
      </c>
      <c r="Z97" s="235">
        <f>IFERROR(__xludf.DUMMYFUNCTION("""COMPUTED_VALUE"""),1026.0)</f>
        <v>1026</v>
      </c>
    </row>
    <row r="98">
      <c r="A98" s="234">
        <f>IFERROR(__xludf.DUMMYFUNCTION("""COMPUTED_VALUE"""),44045.0)</f>
        <v>44045</v>
      </c>
      <c r="B98" s="235">
        <f>IFERROR(__xludf.DUMMYFUNCTION("""COMPUTED_VALUE"""),84.0)</f>
        <v>84</v>
      </c>
      <c r="C98" s="235">
        <f>IFERROR(__xludf.DUMMYFUNCTION("""COMPUTED_VALUE"""),108.0)</f>
        <v>108</v>
      </c>
      <c r="D98" s="235">
        <f>IFERROR(__xludf.DUMMYFUNCTION("""COMPUTED_VALUE"""),28076.0)</f>
        <v>28076</v>
      </c>
      <c r="E98" s="235">
        <f>IFERROR(__xludf.DUMMYFUNCTION("""COMPUTED_VALUE"""),2804.0)</f>
        <v>2804</v>
      </c>
      <c r="F98" s="173">
        <f>IFERROR(__xludf.DUMMYFUNCTION("""COMPUTED_VALUE"""),353443.0)</f>
        <v>353443</v>
      </c>
      <c r="G98" s="173">
        <f>IFERROR(__xludf.DUMMYFUNCTION("""COMPUTED_VALUE"""),2888.0)</f>
        <v>2888</v>
      </c>
      <c r="H98" s="173">
        <f>IFERROR(__xludf.DUMMYFUNCTION("""COMPUTED_VALUE"""),381519.0)</f>
        <v>381519</v>
      </c>
      <c r="I98" s="235">
        <f>IFERROR(__xludf.DUMMYFUNCTION("""COMPUTED_VALUE"""),62.0)</f>
        <v>62</v>
      </c>
      <c r="J98" s="235">
        <f>IFERROR(__xludf.DUMMYFUNCTION("""COMPUTED_VALUE"""),80.0)</f>
        <v>80</v>
      </c>
      <c r="K98" s="235">
        <f>IFERROR(__xludf.DUMMYFUNCTION("""COMPUTED_VALUE"""),19294.0)</f>
        <v>19294</v>
      </c>
      <c r="L98" s="235">
        <f>IFERROR(__xludf.DUMMYFUNCTION("""COMPUTED_VALUE"""),1257.0)</f>
        <v>1257</v>
      </c>
      <c r="M98" s="235">
        <f>IFERROR(__xludf.DUMMYFUNCTION("""COMPUTED_VALUE"""),189309.0)</f>
        <v>189309</v>
      </c>
      <c r="N98" s="235">
        <f>IFERROR(__xludf.DUMMYFUNCTION("""COMPUTED_VALUE"""),208603.0)</f>
        <v>208603</v>
      </c>
      <c r="O98" s="235">
        <f>IFERROR(__xludf.DUMMYFUNCTION("""COMPUTED_VALUE"""),12.0)</f>
        <v>12</v>
      </c>
      <c r="P98" s="235">
        <f>IFERROR(__xludf.DUMMYFUNCTION("""COMPUTED_VALUE"""),2274.0)</f>
        <v>2274</v>
      </c>
      <c r="Q98" s="235">
        <f>IFERROR(__xludf.DUMMYFUNCTION("""COMPUTED_VALUE"""),12.0)</f>
        <v>12</v>
      </c>
      <c r="R98" s="235">
        <f>IFERROR(__xludf.DUMMYFUNCTION("""COMPUTED_VALUE"""),1889.0)</f>
        <v>1889</v>
      </c>
      <c r="S98" s="235">
        <f>IFERROR(__xludf.DUMMYFUNCTION("""COMPUTED_VALUE"""),2.0)</f>
        <v>2</v>
      </c>
      <c r="T98" s="235">
        <f>IFERROR(__xludf.DUMMYFUNCTION("""COMPUTED_VALUE"""),319.0)</f>
        <v>319</v>
      </c>
      <c r="U98" s="235">
        <f>IFERROR(__xludf.DUMMYFUNCTION("""COMPUTED_VALUE"""),66.0)</f>
        <v>66</v>
      </c>
      <c r="V98" s="235">
        <f>IFERROR(__xludf.DUMMYFUNCTION("""COMPUTED_VALUE"""),66.0)</f>
        <v>66</v>
      </c>
      <c r="W98" s="235">
        <f>IFERROR(__xludf.DUMMYFUNCTION("""COMPUTED_VALUE"""),14.0)</f>
        <v>14</v>
      </c>
      <c r="X98" s="235">
        <f>IFERROR(__xludf.DUMMYFUNCTION("""COMPUTED_VALUE"""),8.0)</f>
        <v>8</v>
      </c>
      <c r="Y98" s="235">
        <f>IFERROR(__xludf.DUMMYFUNCTION("""COMPUTED_VALUE"""),2.0)</f>
        <v>2</v>
      </c>
      <c r="Z98" s="235">
        <f>IFERROR(__xludf.DUMMYFUNCTION("""COMPUTED_VALUE"""),1028.0)</f>
        <v>1028</v>
      </c>
    </row>
    <row r="99">
      <c r="A99" s="234">
        <f>IFERROR(__xludf.DUMMYFUNCTION("""COMPUTED_VALUE"""),44046.0)</f>
        <v>44046</v>
      </c>
      <c r="B99" s="235">
        <f>IFERROR(__xludf.DUMMYFUNCTION("""COMPUTED_VALUE"""),188.0)</f>
        <v>188</v>
      </c>
      <c r="C99" s="235">
        <f>IFERROR(__xludf.DUMMYFUNCTION("""COMPUTED_VALUE"""),127.0)</f>
        <v>127</v>
      </c>
      <c r="D99" s="235">
        <f>IFERROR(__xludf.DUMMYFUNCTION("""COMPUTED_VALUE"""),28264.0)</f>
        <v>28264</v>
      </c>
      <c r="E99" s="235">
        <f>IFERROR(__xludf.DUMMYFUNCTION("""COMPUTED_VALUE"""),5248.0)</f>
        <v>5248</v>
      </c>
      <c r="F99" s="173">
        <f>IFERROR(__xludf.DUMMYFUNCTION("""COMPUTED_VALUE"""),358691.0)</f>
        <v>358691</v>
      </c>
      <c r="G99" s="173">
        <f>IFERROR(__xludf.DUMMYFUNCTION("""COMPUTED_VALUE"""),5436.0)</f>
        <v>5436</v>
      </c>
      <c r="H99" s="173">
        <f>IFERROR(__xludf.DUMMYFUNCTION("""COMPUTED_VALUE"""),386955.0)</f>
        <v>386955</v>
      </c>
      <c r="I99" s="235">
        <f>IFERROR(__xludf.DUMMYFUNCTION("""COMPUTED_VALUE"""),150.0)</f>
        <v>150</v>
      </c>
      <c r="J99" s="235">
        <f>IFERROR(__xludf.DUMMYFUNCTION("""COMPUTED_VALUE"""),100.0)</f>
        <v>100</v>
      </c>
      <c r="K99" s="235">
        <f>IFERROR(__xludf.DUMMYFUNCTION("""COMPUTED_VALUE"""),19444.0)</f>
        <v>19444</v>
      </c>
      <c r="L99" s="235">
        <f>IFERROR(__xludf.DUMMYFUNCTION("""COMPUTED_VALUE"""),2183.0)</f>
        <v>2183</v>
      </c>
      <c r="M99" s="235">
        <f>IFERROR(__xludf.DUMMYFUNCTION("""COMPUTED_VALUE"""),191492.0)</f>
        <v>191492</v>
      </c>
      <c r="N99" s="235">
        <f>IFERROR(__xludf.DUMMYFUNCTION("""COMPUTED_VALUE"""),210936.0)</f>
        <v>210936</v>
      </c>
      <c r="O99" s="235">
        <f>IFERROR(__xludf.DUMMYFUNCTION("""COMPUTED_VALUE"""),11.0)</f>
        <v>11</v>
      </c>
      <c r="P99" s="235">
        <f>IFERROR(__xludf.DUMMYFUNCTION("""COMPUTED_VALUE"""),2285.0)</f>
        <v>2285</v>
      </c>
      <c r="Q99" s="235">
        <f>IFERROR(__xludf.DUMMYFUNCTION("""COMPUTED_VALUE"""),10.0)</f>
        <v>10</v>
      </c>
      <c r="R99" s="235">
        <f>IFERROR(__xludf.DUMMYFUNCTION("""COMPUTED_VALUE"""),1899.0)</f>
        <v>1899</v>
      </c>
      <c r="S99" s="235">
        <f>IFERROR(__xludf.DUMMYFUNCTION("""COMPUTED_VALUE"""),0.0)</f>
        <v>0</v>
      </c>
      <c r="T99" s="235">
        <f>IFERROR(__xludf.DUMMYFUNCTION("""COMPUTED_VALUE"""),319.0)</f>
        <v>319</v>
      </c>
      <c r="U99" s="235">
        <f>IFERROR(__xludf.DUMMYFUNCTION("""COMPUTED_VALUE"""),67.0)</f>
        <v>67</v>
      </c>
      <c r="V99" s="235">
        <f>IFERROR(__xludf.DUMMYFUNCTION("""COMPUTED_VALUE"""),67.0)</f>
        <v>67</v>
      </c>
      <c r="W99" s="235">
        <f>IFERROR(__xludf.DUMMYFUNCTION("""COMPUTED_VALUE"""),16.0)</f>
        <v>16</v>
      </c>
      <c r="X99" s="235">
        <f>IFERROR(__xludf.DUMMYFUNCTION("""COMPUTED_VALUE"""),7.0)</f>
        <v>7</v>
      </c>
      <c r="Y99" s="235">
        <f>IFERROR(__xludf.DUMMYFUNCTION("""COMPUTED_VALUE"""),1.0)</f>
        <v>1</v>
      </c>
      <c r="Z99" s="235">
        <f>IFERROR(__xludf.DUMMYFUNCTION("""COMPUTED_VALUE"""),1029.0)</f>
        <v>1029</v>
      </c>
    </row>
    <row r="100">
      <c r="A100" s="234">
        <f>IFERROR(__xludf.DUMMYFUNCTION("""COMPUTED_VALUE"""),44047.0)</f>
        <v>44047</v>
      </c>
      <c r="B100" s="235">
        <f>IFERROR(__xludf.DUMMYFUNCTION("""COMPUTED_VALUE"""),125.0)</f>
        <v>125</v>
      </c>
      <c r="C100" s="235">
        <f>IFERROR(__xludf.DUMMYFUNCTION("""COMPUTED_VALUE"""),132.0)</f>
        <v>132</v>
      </c>
      <c r="D100" s="235">
        <f>IFERROR(__xludf.DUMMYFUNCTION("""COMPUTED_VALUE"""),28389.0)</f>
        <v>28389</v>
      </c>
      <c r="E100" s="235">
        <f>IFERROR(__xludf.DUMMYFUNCTION("""COMPUTED_VALUE"""),3691.0)</f>
        <v>3691</v>
      </c>
      <c r="F100" s="173">
        <f>IFERROR(__xludf.DUMMYFUNCTION("""COMPUTED_VALUE"""),362382.0)</f>
        <v>362382</v>
      </c>
      <c r="G100" s="173">
        <f>IFERROR(__xludf.DUMMYFUNCTION("""COMPUTED_VALUE"""),3816.0)</f>
        <v>3816</v>
      </c>
      <c r="H100" s="173">
        <f>IFERROR(__xludf.DUMMYFUNCTION("""COMPUTED_VALUE"""),390771.0)</f>
        <v>390771</v>
      </c>
      <c r="I100" s="235">
        <f>IFERROR(__xludf.DUMMYFUNCTION("""COMPUTED_VALUE"""),99.0)</f>
        <v>99</v>
      </c>
      <c r="J100" s="235">
        <f>IFERROR(__xludf.DUMMYFUNCTION("""COMPUTED_VALUE"""),104.0)</f>
        <v>104</v>
      </c>
      <c r="K100" s="235">
        <f>IFERROR(__xludf.DUMMYFUNCTION("""COMPUTED_VALUE"""),19543.0)</f>
        <v>19543</v>
      </c>
      <c r="L100" s="235">
        <f>IFERROR(__xludf.DUMMYFUNCTION("""COMPUTED_VALUE"""),1750.0)</f>
        <v>1750</v>
      </c>
      <c r="M100" s="235">
        <f>IFERROR(__xludf.DUMMYFUNCTION("""COMPUTED_VALUE"""),193242.0)</f>
        <v>193242</v>
      </c>
      <c r="N100" s="235">
        <f>IFERROR(__xludf.DUMMYFUNCTION("""COMPUTED_VALUE"""),212785.0)</f>
        <v>212785</v>
      </c>
      <c r="O100" s="235">
        <f>IFERROR(__xludf.DUMMYFUNCTION("""COMPUTED_VALUE"""),8.0)</f>
        <v>8</v>
      </c>
      <c r="P100" s="235">
        <f>IFERROR(__xludf.DUMMYFUNCTION("""COMPUTED_VALUE"""),2293.0)</f>
        <v>2293</v>
      </c>
      <c r="Q100" s="235">
        <f>IFERROR(__xludf.DUMMYFUNCTION("""COMPUTED_VALUE"""),5.0)</f>
        <v>5</v>
      </c>
      <c r="R100" s="235">
        <f>IFERROR(__xludf.DUMMYFUNCTION("""COMPUTED_VALUE"""),1904.0)</f>
        <v>1904</v>
      </c>
      <c r="S100" s="235">
        <f>IFERROR(__xludf.DUMMYFUNCTION("""COMPUTED_VALUE"""),1.0)</f>
        <v>1</v>
      </c>
      <c r="T100" s="235">
        <f>IFERROR(__xludf.DUMMYFUNCTION("""COMPUTED_VALUE"""),320.0)</f>
        <v>320</v>
      </c>
      <c r="U100" s="235">
        <f>IFERROR(__xludf.DUMMYFUNCTION("""COMPUTED_VALUE"""),69.0)</f>
        <v>69</v>
      </c>
      <c r="V100" s="235">
        <f>IFERROR(__xludf.DUMMYFUNCTION("""COMPUTED_VALUE"""),67.0)</f>
        <v>67</v>
      </c>
      <c r="W100" s="235">
        <f>IFERROR(__xludf.DUMMYFUNCTION("""COMPUTED_VALUE"""),12.0)</f>
        <v>12</v>
      </c>
      <c r="X100" s="235">
        <f>IFERROR(__xludf.DUMMYFUNCTION("""COMPUTED_VALUE"""),5.0)</f>
        <v>5</v>
      </c>
      <c r="Y100" s="235">
        <f>IFERROR(__xludf.DUMMYFUNCTION("""COMPUTED_VALUE"""),2.0)</f>
        <v>2</v>
      </c>
      <c r="Z100" s="235">
        <f>IFERROR(__xludf.DUMMYFUNCTION("""COMPUTED_VALUE"""),1031.0)</f>
        <v>1031</v>
      </c>
    </row>
    <row r="101">
      <c r="A101" s="234">
        <f>IFERROR(__xludf.DUMMYFUNCTION("""COMPUTED_VALUE"""),44048.0)</f>
        <v>44048</v>
      </c>
      <c r="B101" s="235">
        <f>IFERROR(__xludf.DUMMYFUNCTION("""COMPUTED_VALUE"""),147.0)</f>
        <v>147</v>
      </c>
      <c r="C101" s="235">
        <f>IFERROR(__xludf.DUMMYFUNCTION("""COMPUTED_VALUE"""),153.0)</f>
        <v>153</v>
      </c>
      <c r="D101" s="235">
        <f>IFERROR(__xludf.DUMMYFUNCTION("""COMPUTED_VALUE"""),28536.0)</f>
        <v>28536</v>
      </c>
      <c r="E101" s="235">
        <f>IFERROR(__xludf.DUMMYFUNCTION("""COMPUTED_VALUE"""),5935.0)</f>
        <v>5935</v>
      </c>
      <c r="F101" s="173">
        <f>IFERROR(__xludf.DUMMYFUNCTION("""COMPUTED_VALUE"""),368317.0)</f>
        <v>368317</v>
      </c>
      <c r="G101" s="173">
        <f>IFERROR(__xludf.DUMMYFUNCTION("""COMPUTED_VALUE"""),6082.0)</f>
        <v>6082</v>
      </c>
      <c r="H101" s="173">
        <f>IFERROR(__xludf.DUMMYFUNCTION("""COMPUTED_VALUE"""),396853.0)</f>
        <v>396853</v>
      </c>
      <c r="I101" s="235">
        <f>IFERROR(__xludf.DUMMYFUNCTION("""COMPUTED_VALUE"""),119.0)</f>
        <v>119</v>
      </c>
      <c r="J101" s="235">
        <f>IFERROR(__xludf.DUMMYFUNCTION("""COMPUTED_VALUE"""),123.0)</f>
        <v>123</v>
      </c>
      <c r="K101" s="235">
        <f>IFERROR(__xludf.DUMMYFUNCTION("""COMPUTED_VALUE"""),19662.0)</f>
        <v>19662</v>
      </c>
      <c r="L101" s="235">
        <f>IFERROR(__xludf.DUMMYFUNCTION("""COMPUTED_VALUE"""),2442.0)</f>
        <v>2442</v>
      </c>
      <c r="M101" s="235">
        <f>IFERROR(__xludf.DUMMYFUNCTION("""COMPUTED_VALUE"""),195684.0)</f>
        <v>195684</v>
      </c>
      <c r="N101" s="235">
        <f>IFERROR(__xludf.DUMMYFUNCTION("""COMPUTED_VALUE"""),215346.0)</f>
        <v>215346</v>
      </c>
      <c r="O101" s="235">
        <f>IFERROR(__xludf.DUMMYFUNCTION("""COMPUTED_VALUE"""),11.0)</f>
        <v>11</v>
      </c>
      <c r="P101" s="235">
        <f>IFERROR(__xludf.DUMMYFUNCTION("""COMPUTED_VALUE"""),2304.0)</f>
        <v>2304</v>
      </c>
      <c r="Q101" s="235">
        <f>IFERROR(__xludf.DUMMYFUNCTION("""COMPUTED_VALUE"""),9.0)</f>
        <v>9</v>
      </c>
      <c r="R101" s="235">
        <f>IFERROR(__xludf.DUMMYFUNCTION("""COMPUTED_VALUE"""),1913.0)</f>
        <v>1913</v>
      </c>
      <c r="S101" s="235">
        <f>IFERROR(__xludf.DUMMYFUNCTION("""COMPUTED_VALUE"""),1.0)</f>
        <v>1</v>
      </c>
      <c r="T101" s="235">
        <f>IFERROR(__xludf.DUMMYFUNCTION("""COMPUTED_VALUE"""),321.0)</f>
        <v>321</v>
      </c>
      <c r="U101" s="235">
        <f>IFERROR(__xludf.DUMMYFUNCTION("""COMPUTED_VALUE"""),70.0)</f>
        <v>70</v>
      </c>
      <c r="V101" s="235">
        <f>IFERROR(__xludf.DUMMYFUNCTION("""COMPUTED_VALUE"""),69.0)</f>
        <v>69</v>
      </c>
      <c r="W101" s="235">
        <f>IFERROR(__xludf.DUMMYFUNCTION("""COMPUTED_VALUE"""),10.0)</f>
        <v>10</v>
      </c>
      <c r="X101" s="235">
        <f>IFERROR(__xludf.DUMMYFUNCTION("""COMPUTED_VALUE"""),5.0)</f>
        <v>5</v>
      </c>
      <c r="Y101" s="235">
        <f>IFERROR(__xludf.DUMMYFUNCTION("""COMPUTED_VALUE"""),2.0)</f>
        <v>2</v>
      </c>
      <c r="Z101" s="235">
        <f>IFERROR(__xludf.DUMMYFUNCTION("""COMPUTED_VALUE"""),1033.0)</f>
        <v>1033</v>
      </c>
    </row>
    <row r="102">
      <c r="A102" s="234">
        <f>IFERROR(__xludf.DUMMYFUNCTION("""COMPUTED_VALUE"""),44049.0)</f>
        <v>44049</v>
      </c>
      <c r="B102" s="235">
        <f>IFERROR(__xludf.DUMMYFUNCTION("""COMPUTED_VALUE"""),169.0)</f>
        <v>169</v>
      </c>
      <c r="C102" s="235">
        <f>IFERROR(__xludf.DUMMYFUNCTION("""COMPUTED_VALUE"""),147.0)</f>
        <v>147</v>
      </c>
      <c r="D102" s="235">
        <f>IFERROR(__xludf.DUMMYFUNCTION("""COMPUTED_VALUE"""),28705.0)</f>
        <v>28705</v>
      </c>
      <c r="E102" s="235">
        <f>IFERROR(__xludf.DUMMYFUNCTION("""COMPUTED_VALUE"""),5546.0)</f>
        <v>5546</v>
      </c>
      <c r="F102" s="173">
        <f>IFERROR(__xludf.DUMMYFUNCTION("""COMPUTED_VALUE"""),373863.0)</f>
        <v>373863</v>
      </c>
      <c r="G102" s="173">
        <f>IFERROR(__xludf.DUMMYFUNCTION("""COMPUTED_VALUE"""),5715.0)</f>
        <v>5715</v>
      </c>
      <c r="H102" s="173">
        <f>IFERROR(__xludf.DUMMYFUNCTION("""COMPUTED_VALUE"""),402568.0)</f>
        <v>402568</v>
      </c>
      <c r="I102" s="235">
        <f>IFERROR(__xludf.DUMMYFUNCTION("""COMPUTED_VALUE"""),120.0)</f>
        <v>120</v>
      </c>
      <c r="J102" s="235">
        <f>IFERROR(__xludf.DUMMYFUNCTION("""COMPUTED_VALUE"""),113.0)</f>
        <v>113</v>
      </c>
      <c r="K102" s="235">
        <f>IFERROR(__xludf.DUMMYFUNCTION("""COMPUTED_VALUE"""),19782.0)</f>
        <v>19782</v>
      </c>
      <c r="L102" s="235">
        <f>IFERROR(__xludf.DUMMYFUNCTION("""COMPUTED_VALUE"""),2376.0)</f>
        <v>2376</v>
      </c>
      <c r="M102" s="235">
        <f>IFERROR(__xludf.DUMMYFUNCTION("""COMPUTED_VALUE"""),198060.0)</f>
        <v>198060</v>
      </c>
      <c r="N102" s="235">
        <f>IFERROR(__xludf.DUMMYFUNCTION("""COMPUTED_VALUE"""),217842.0)</f>
        <v>217842</v>
      </c>
      <c r="O102" s="235">
        <f>IFERROR(__xludf.DUMMYFUNCTION("""COMPUTED_VALUE"""),7.0)</f>
        <v>7</v>
      </c>
      <c r="P102" s="235">
        <f>IFERROR(__xludf.DUMMYFUNCTION("""COMPUTED_VALUE"""),2311.0)</f>
        <v>2311</v>
      </c>
      <c r="Q102" s="235">
        <f>IFERROR(__xludf.DUMMYFUNCTION("""COMPUTED_VALUE"""),9.0)</f>
        <v>9</v>
      </c>
      <c r="R102" s="235">
        <f>IFERROR(__xludf.DUMMYFUNCTION("""COMPUTED_VALUE"""),1922.0)</f>
        <v>1922</v>
      </c>
      <c r="S102" s="235">
        <f>IFERROR(__xludf.DUMMYFUNCTION("""COMPUTED_VALUE"""),0.0)</f>
        <v>0</v>
      </c>
      <c r="T102" s="235">
        <f>IFERROR(__xludf.DUMMYFUNCTION("""COMPUTED_VALUE"""),321.0)</f>
        <v>321</v>
      </c>
      <c r="U102" s="235">
        <f>IFERROR(__xludf.DUMMYFUNCTION("""COMPUTED_VALUE"""),68.0)</f>
        <v>68</v>
      </c>
      <c r="V102" s="235">
        <f>IFERROR(__xludf.DUMMYFUNCTION("""COMPUTED_VALUE"""),69.0)</f>
        <v>69</v>
      </c>
      <c r="W102" s="235">
        <f>IFERROR(__xludf.DUMMYFUNCTION("""COMPUTED_VALUE"""),9.0)</f>
        <v>9</v>
      </c>
      <c r="X102" s="235">
        <f>IFERROR(__xludf.DUMMYFUNCTION("""COMPUTED_VALUE"""),4.0)</f>
        <v>4</v>
      </c>
      <c r="Y102" s="235">
        <f>IFERROR(__xludf.DUMMYFUNCTION("""COMPUTED_VALUE"""),0.0)</f>
        <v>0</v>
      </c>
      <c r="Z102" s="235">
        <f>IFERROR(__xludf.DUMMYFUNCTION("""COMPUTED_VALUE"""),1033.0)</f>
        <v>1033</v>
      </c>
    </row>
    <row r="103">
      <c r="A103" s="234">
        <f>IFERROR(__xludf.DUMMYFUNCTION("""COMPUTED_VALUE"""),44050.0)</f>
        <v>44050</v>
      </c>
      <c r="B103" s="235">
        <f>IFERROR(__xludf.DUMMYFUNCTION("""COMPUTED_VALUE"""),123.0)</f>
        <v>123</v>
      </c>
      <c r="C103" s="235">
        <f>IFERROR(__xludf.DUMMYFUNCTION("""COMPUTED_VALUE"""),146.0)</f>
        <v>146</v>
      </c>
      <c r="D103" s="235">
        <f>IFERROR(__xludf.DUMMYFUNCTION("""COMPUTED_VALUE"""),28828.0)</f>
        <v>28828</v>
      </c>
      <c r="E103" s="235">
        <f>IFERROR(__xludf.DUMMYFUNCTION("""COMPUTED_VALUE"""),4851.0)</f>
        <v>4851</v>
      </c>
      <c r="F103" s="173">
        <f>IFERROR(__xludf.DUMMYFUNCTION("""COMPUTED_VALUE"""),378714.0)</f>
        <v>378714</v>
      </c>
      <c r="G103" s="173">
        <f>IFERROR(__xludf.DUMMYFUNCTION("""COMPUTED_VALUE"""),4974.0)</f>
        <v>4974</v>
      </c>
      <c r="H103" s="173">
        <f>IFERROR(__xludf.DUMMYFUNCTION("""COMPUTED_VALUE"""),407542.0)</f>
        <v>407542</v>
      </c>
      <c r="I103" s="235">
        <f>IFERROR(__xludf.DUMMYFUNCTION("""COMPUTED_VALUE"""),87.0)</f>
        <v>87</v>
      </c>
      <c r="J103" s="235">
        <f>IFERROR(__xludf.DUMMYFUNCTION("""COMPUTED_VALUE"""),109.0)</f>
        <v>109</v>
      </c>
      <c r="K103" s="235">
        <f>IFERROR(__xludf.DUMMYFUNCTION("""COMPUTED_VALUE"""),19869.0)</f>
        <v>19869</v>
      </c>
      <c r="L103" s="235">
        <f>IFERROR(__xludf.DUMMYFUNCTION("""COMPUTED_VALUE"""),2117.0)</f>
        <v>2117</v>
      </c>
      <c r="M103" s="235">
        <f>IFERROR(__xludf.DUMMYFUNCTION("""COMPUTED_VALUE"""),200177.0)</f>
        <v>200177</v>
      </c>
      <c r="N103" s="235">
        <f>IFERROR(__xludf.DUMMYFUNCTION("""COMPUTED_VALUE"""),220046.0)</f>
        <v>220046</v>
      </c>
      <c r="O103" s="235">
        <f>IFERROR(__xludf.DUMMYFUNCTION("""COMPUTED_VALUE"""),12.0)</f>
        <v>12</v>
      </c>
      <c r="P103" s="235">
        <f>IFERROR(__xludf.DUMMYFUNCTION("""COMPUTED_VALUE"""),2323.0)</f>
        <v>2323</v>
      </c>
      <c r="Q103" s="235">
        <f>IFERROR(__xludf.DUMMYFUNCTION("""COMPUTED_VALUE"""),9.0)</f>
        <v>9</v>
      </c>
      <c r="R103" s="235">
        <f>IFERROR(__xludf.DUMMYFUNCTION("""COMPUTED_VALUE"""),1931.0)</f>
        <v>1931</v>
      </c>
      <c r="S103" s="235">
        <f>IFERROR(__xludf.DUMMYFUNCTION("""COMPUTED_VALUE"""),1.0)</f>
        <v>1</v>
      </c>
      <c r="T103" s="235">
        <f>IFERROR(__xludf.DUMMYFUNCTION("""COMPUTED_VALUE"""),322.0)</f>
        <v>322</v>
      </c>
      <c r="U103" s="235">
        <f>IFERROR(__xludf.DUMMYFUNCTION("""COMPUTED_VALUE"""),70.0)</f>
        <v>70</v>
      </c>
      <c r="V103" s="235">
        <f>IFERROR(__xludf.DUMMYFUNCTION("""COMPUTED_VALUE"""),69.0)</f>
        <v>69</v>
      </c>
      <c r="W103" s="235">
        <f>IFERROR(__xludf.DUMMYFUNCTION("""COMPUTED_VALUE"""),9.0)</f>
        <v>9</v>
      </c>
      <c r="X103" s="235">
        <f>IFERROR(__xludf.DUMMYFUNCTION("""COMPUTED_VALUE"""),3.0)</f>
        <v>3</v>
      </c>
      <c r="Y103" s="235">
        <f>IFERROR(__xludf.DUMMYFUNCTION("""COMPUTED_VALUE"""),2.0)</f>
        <v>2</v>
      </c>
      <c r="Z103" s="235">
        <f>IFERROR(__xludf.DUMMYFUNCTION("""COMPUTED_VALUE"""),1035.0)</f>
        <v>1035</v>
      </c>
    </row>
    <row r="104">
      <c r="A104" s="234">
        <f>IFERROR(__xludf.DUMMYFUNCTION("""COMPUTED_VALUE"""),44051.0)</f>
        <v>44051</v>
      </c>
      <c r="B104" s="235">
        <f>IFERROR(__xludf.DUMMYFUNCTION("""COMPUTED_VALUE"""),123.0)</f>
        <v>123</v>
      </c>
      <c r="C104" s="235">
        <f>IFERROR(__xludf.DUMMYFUNCTION("""COMPUTED_VALUE"""),138.0)</f>
        <v>138</v>
      </c>
      <c r="D104" s="235">
        <f>IFERROR(__xludf.DUMMYFUNCTION("""COMPUTED_VALUE"""),28951.0)</f>
        <v>28951</v>
      </c>
      <c r="E104" s="235">
        <f>IFERROR(__xludf.DUMMYFUNCTION("""COMPUTED_VALUE"""),4112.0)</f>
        <v>4112</v>
      </c>
      <c r="F104" s="173">
        <f>IFERROR(__xludf.DUMMYFUNCTION("""COMPUTED_VALUE"""),382826.0)</f>
        <v>382826</v>
      </c>
      <c r="G104" s="173">
        <f>IFERROR(__xludf.DUMMYFUNCTION("""COMPUTED_VALUE"""),4235.0)</f>
        <v>4235</v>
      </c>
      <c r="H104" s="173">
        <f>IFERROR(__xludf.DUMMYFUNCTION("""COMPUTED_VALUE"""),411777.0)</f>
        <v>411777</v>
      </c>
      <c r="I104" s="235">
        <f>IFERROR(__xludf.DUMMYFUNCTION("""COMPUTED_VALUE"""),91.0)</f>
        <v>91</v>
      </c>
      <c r="J104" s="235">
        <f>IFERROR(__xludf.DUMMYFUNCTION("""COMPUTED_VALUE"""),99.0)</f>
        <v>99</v>
      </c>
      <c r="K104" s="235">
        <f>IFERROR(__xludf.DUMMYFUNCTION("""COMPUTED_VALUE"""),19960.0)</f>
        <v>19960</v>
      </c>
      <c r="L104" s="235">
        <f>IFERROR(__xludf.DUMMYFUNCTION("""COMPUTED_VALUE"""),1768.0)</f>
        <v>1768</v>
      </c>
      <c r="M104" s="235">
        <f>IFERROR(__xludf.DUMMYFUNCTION("""COMPUTED_VALUE"""),201945.0)</f>
        <v>201945</v>
      </c>
      <c r="N104" s="235">
        <f>IFERROR(__xludf.DUMMYFUNCTION("""COMPUTED_VALUE"""),221905.0)</f>
        <v>221905</v>
      </c>
      <c r="O104" s="235">
        <f>IFERROR(__xludf.DUMMYFUNCTION("""COMPUTED_VALUE"""),19.0)</f>
        <v>19</v>
      </c>
      <c r="P104" s="235">
        <f>IFERROR(__xludf.DUMMYFUNCTION("""COMPUTED_VALUE"""),2342.0)</f>
        <v>2342</v>
      </c>
      <c r="Q104" s="235">
        <f>IFERROR(__xludf.DUMMYFUNCTION("""COMPUTED_VALUE"""),6.0)</f>
        <v>6</v>
      </c>
      <c r="R104" s="235">
        <f>IFERROR(__xludf.DUMMYFUNCTION("""COMPUTED_VALUE"""),1937.0)</f>
        <v>1937</v>
      </c>
      <c r="S104" s="235">
        <f>IFERROR(__xludf.DUMMYFUNCTION("""COMPUTED_VALUE"""),1.0)</f>
        <v>1</v>
      </c>
      <c r="T104" s="235">
        <f>IFERROR(__xludf.DUMMYFUNCTION("""COMPUTED_VALUE"""),323.0)</f>
        <v>323</v>
      </c>
      <c r="U104" s="235">
        <f>IFERROR(__xludf.DUMMYFUNCTION("""COMPUTED_VALUE"""),82.0)</f>
        <v>82</v>
      </c>
      <c r="V104" s="235">
        <f>IFERROR(__xludf.DUMMYFUNCTION("""COMPUTED_VALUE"""),73.0)</f>
        <v>73</v>
      </c>
      <c r="W104" s="235">
        <f>IFERROR(__xludf.DUMMYFUNCTION("""COMPUTED_VALUE"""),8.0)</f>
        <v>8</v>
      </c>
      <c r="X104" s="235">
        <f>IFERROR(__xludf.DUMMYFUNCTION("""COMPUTED_VALUE"""),3.0)</f>
        <v>3</v>
      </c>
      <c r="Y104" s="235">
        <f>IFERROR(__xludf.DUMMYFUNCTION("""COMPUTED_VALUE"""),1.0)</f>
        <v>1</v>
      </c>
      <c r="Z104" s="235">
        <f>IFERROR(__xludf.DUMMYFUNCTION("""COMPUTED_VALUE"""),1036.0)</f>
        <v>1036</v>
      </c>
    </row>
    <row r="105">
      <c r="A105" s="234">
        <f>IFERROR(__xludf.DUMMYFUNCTION("""COMPUTED_VALUE"""),44052.0)</f>
        <v>44052</v>
      </c>
      <c r="B105" s="235">
        <f>IFERROR(__xludf.DUMMYFUNCTION("""COMPUTED_VALUE"""),42.0)</f>
        <v>42</v>
      </c>
      <c r="C105" s="235">
        <f>IFERROR(__xludf.DUMMYFUNCTION("""COMPUTED_VALUE"""),96.0)</f>
        <v>96</v>
      </c>
      <c r="D105" s="235">
        <f>IFERROR(__xludf.DUMMYFUNCTION("""COMPUTED_VALUE"""),28993.0)</f>
        <v>28993</v>
      </c>
      <c r="E105" s="235">
        <f>IFERROR(__xludf.DUMMYFUNCTION("""COMPUTED_VALUE"""),1727.0)</f>
        <v>1727</v>
      </c>
      <c r="F105" s="173">
        <f>IFERROR(__xludf.DUMMYFUNCTION("""COMPUTED_VALUE"""),384553.0)</f>
        <v>384553</v>
      </c>
      <c r="G105" s="173">
        <f>IFERROR(__xludf.DUMMYFUNCTION("""COMPUTED_VALUE"""),1769.0)</f>
        <v>1769</v>
      </c>
      <c r="H105" s="173">
        <f>IFERROR(__xludf.DUMMYFUNCTION("""COMPUTED_VALUE"""),413546.0)</f>
        <v>413546</v>
      </c>
      <c r="I105" s="235">
        <f>IFERROR(__xludf.DUMMYFUNCTION("""COMPUTED_VALUE"""),35.0)</f>
        <v>35</v>
      </c>
      <c r="J105" s="235">
        <f>IFERROR(__xludf.DUMMYFUNCTION("""COMPUTED_VALUE"""),71.0)</f>
        <v>71</v>
      </c>
      <c r="K105" s="235">
        <f>IFERROR(__xludf.DUMMYFUNCTION("""COMPUTED_VALUE"""),19995.0)</f>
        <v>19995</v>
      </c>
      <c r="L105" s="235">
        <f>IFERROR(__xludf.DUMMYFUNCTION("""COMPUTED_VALUE"""),1060.0)</f>
        <v>1060</v>
      </c>
      <c r="M105" s="235">
        <f>IFERROR(__xludf.DUMMYFUNCTION("""COMPUTED_VALUE"""),203005.0)</f>
        <v>203005</v>
      </c>
      <c r="N105" s="235">
        <f>IFERROR(__xludf.DUMMYFUNCTION("""COMPUTED_VALUE"""),223000.0)</f>
        <v>223000</v>
      </c>
      <c r="O105" s="235">
        <f>IFERROR(__xludf.DUMMYFUNCTION("""COMPUTED_VALUE"""),6.0)</f>
        <v>6</v>
      </c>
      <c r="P105" s="235">
        <f>IFERROR(__xludf.DUMMYFUNCTION("""COMPUTED_VALUE"""),2348.0)</f>
        <v>2348</v>
      </c>
      <c r="Q105" s="235">
        <f>IFERROR(__xludf.DUMMYFUNCTION("""COMPUTED_VALUE"""),8.0)</f>
        <v>8</v>
      </c>
      <c r="R105" s="235">
        <f>IFERROR(__xludf.DUMMYFUNCTION("""COMPUTED_VALUE"""),1945.0)</f>
        <v>1945</v>
      </c>
      <c r="S105" s="235">
        <f>IFERROR(__xludf.DUMMYFUNCTION("""COMPUTED_VALUE"""),0.0)</f>
        <v>0</v>
      </c>
      <c r="T105" s="235">
        <f>IFERROR(__xludf.DUMMYFUNCTION("""COMPUTED_VALUE"""),323.0)</f>
        <v>323</v>
      </c>
      <c r="U105" s="235">
        <f>IFERROR(__xludf.DUMMYFUNCTION("""COMPUTED_VALUE"""),80.0)</f>
        <v>80</v>
      </c>
      <c r="V105" s="235">
        <f>IFERROR(__xludf.DUMMYFUNCTION("""COMPUTED_VALUE"""),77.0)</f>
        <v>77</v>
      </c>
      <c r="W105" s="235">
        <f>IFERROR(__xludf.DUMMYFUNCTION("""COMPUTED_VALUE"""),9.0)</f>
        <v>9</v>
      </c>
      <c r="X105" s="235">
        <f>IFERROR(__xludf.DUMMYFUNCTION("""COMPUTED_VALUE"""),4.0)</f>
        <v>4</v>
      </c>
      <c r="Y105" s="235">
        <f>IFERROR(__xludf.DUMMYFUNCTION("""COMPUTED_VALUE"""),0.0)</f>
        <v>0</v>
      </c>
      <c r="Z105" s="235">
        <f>IFERROR(__xludf.DUMMYFUNCTION("""COMPUTED_VALUE"""),1036.0)</f>
        <v>1036</v>
      </c>
    </row>
    <row r="106">
      <c r="A106" s="234">
        <f>IFERROR(__xludf.DUMMYFUNCTION("""COMPUTED_VALUE"""),44053.0)</f>
        <v>44053</v>
      </c>
      <c r="B106" s="235">
        <f>IFERROR(__xludf.DUMMYFUNCTION("""COMPUTED_VALUE"""),149.0)</f>
        <v>149</v>
      </c>
      <c r="C106" s="235">
        <f>IFERROR(__xludf.DUMMYFUNCTION("""COMPUTED_VALUE"""),105.0)</f>
        <v>105</v>
      </c>
      <c r="D106" s="235">
        <f>IFERROR(__xludf.DUMMYFUNCTION("""COMPUTED_VALUE"""),29142.0)</f>
        <v>29142</v>
      </c>
      <c r="E106" s="235">
        <f>IFERROR(__xludf.DUMMYFUNCTION("""COMPUTED_VALUE"""),4587.0)</f>
        <v>4587</v>
      </c>
      <c r="F106" s="173">
        <f>IFERROR(__xludf.DUMMYFUNCTION("""COMPUTED_VALUE"""),389140.0)</f>
        <v>389140</v>
      </c>
      <c r="G106" s="173">
        <f>IFERROR(__xludf.DUMMYFUNCTION("""COMPUTED_VALUE"""),4736.0)</f>
        <v>4736</v>
      </c>
      <c r="H106" s="173">
        <f>IFERROR(__xludf.DUMMYFUNCTION("""COMPUTED_VALUE"""),418282.0)</f>
        <v>418282</v>
      </c>
      <c r="I106" s="235">
        <f>IFERROR(__xludf.DUMMYFUNCTION("""COMPUTED_VALUE"""),113.0)</f>
        <v>113</v>
      </c>
      <c r="J106" s="235">
        <f>IFERROR(__xludf.DUMMYFUNCTION("""COMPUTED_VALUE"""),80.0)</f>
        <v>80</v>
      </c>
      <c r="K106" s="235">
        <f>IFERROR(__xludf.DUMMYFUNCTION("""COMPUTED_VALUE"""),20108.0)</f>
        <v>20108</v>
      </c>
      <c r="L106" s="235">
        <f>IFERROR(__xludf.DUMMYFUNCTION("""COMPUTED_VALUE"""),2004.0)</f>
        <v>2004</v>
      </c>
      <c r="M106" s="235">
        <f>IFERROR(__xludf.DUMMYFUNCTION("""COMPUTED_VALUE"""),205009.0)</f>
        <v>205009</v>
      </c>
      <c r="N106" s="235">
        <f>IFERROR(__xludf.DUMMYFUNCTION("""COMPUTED_VALUE"""),225117.0)</f>
        <v>225117</v>
      </c>
      <c r="O106" s="235">
        <f>IFERROR(__xludf.DUMMYFUNCTION("""COMPUTED_VALUE"""),8.0)</f>
        <v>8</v>
      </c>
      <c r="P106" s="235">
        <f>IFERROR(__xludf.DUMMYFUNCTION("""COMPUTED_VALUE"""),2356.0)</f>
        <v>2356</v>
      </c>
      <c r="Q106" s="235">
        <f>IFERROR(__xludf.DUMMYFUNCTION("""COMPUTED_VALUE"""),9.0)</f>
        <v>9</v>
      </c>
      <c r="R106" s="235">
        <f>IFERROR(__xludf.DUMMYFUNCTION("""COMPUTED_VALUE"""),1954.0)</f>
        <v>1954</v>
      </c>
      <c r="S106" s="235">
        <f>IFERROR(__xludf.DUMMYFUNCTION("""COMPUTED_VALUE"""),0.0)</f>
        <v>0</v>
      </c>
      <c r="T106" s="235">
        <f>IFERROR(__xludf.DUMMYFUNCTION("""COMPUTED_VALUE"""),323.0)</f>
        <v>323</v>
      </c>
      <c r="U106" s="235">
        <f>IFERROR(__xludf.DUMMYFUNCTION("""COMPUTED_VALUE"""),79.0)</f>
        <v>79</v>
      </c>
      <c r="V106" s="235">
        <f>IFERROR(__xludf.DUMMYFUNCTION("""COMPUTED_VALUE"""),80.0)</f>
        <v>80</v>
      </c>
      <c r="W106" s="235">
        <f>IFERROR(__xludf.DUMMYFUNCTION("""COMPUTED_VALUE"""),9.0)</f>
        <v>9</v>
      </c>
      <c r="X106" s="235">
        <f>IFERROR(__xludf.DUMMYFUNCTION("""COMPUTED_VALUE"""),4.0)</f>
        <v>4</v>
      </c>
      <c r="Y106" s="235">
        <f>IFERROR(__xludf.DUMMYFUNCTION("""COMPUTED_VALUE"""),1.0)</f>
        <v>1</v>
      </c>
      <c r="Z106" s="235">
        <f>IFERROR(__xludf.DUMMYFUNCTION("""COMPUTED_VALUE"""),1037.0)</f>
        <v>1037</v>
      </c>
    </row>
    <row r="107">
      <c r="A107" s="234">
        <f>IFERROR(__xludf.DUMMYFUNCTION("""COMPUTED_VALUE"""),44054.0)</f>
        <v>44054</v>
      </c>
      <c r="B107" s="235">
        <f>IFERROR(__xludf.DUMMYFUNCTION("""COMPUTED_VALUE"""),106.0)</f>
        <v>106</v>
      </c>
      <c r="C107" s="235">
        <f>IFERROR(__xludf.DUMMYFUNCTION("""COMPUTED_VALUE"""),99.0)</f>
        <v>99</v>
      </c>
      <c r="D107" s="235">
        <f>IFERROR(__xludf.DUMMYFUNCTION("""COMPUTED_VALUE"""),29248.0)</f>
        <v>29248</v>
      </c>
      <c r="E107" s="235">
        <f>IFERROR(__xludf.DUMMYFUNCTION("""COMPUTED_VALUE"""),4334.0)</f>
        <v>4334</v>
      </c>
      <c r="F107" s="173">
        <f>IFERROR(__xludf.DUMMYFUNCTION("""COMPUTED_VALUE"""),393474.0)</f>
        <v>393474</v>
      </c>
      <c r="G107" s="173">
        <f>IFERROR(__xludf.DUMMYFUNCTION("""COMPUTED_VALUE"""),4440.0)</f>
        <v>4440</v>
      </c>
      <c r="H107" s="173">
        <f>IFERROR(__xludf.DUMMYFUNCTION("""COMPUTED_VALUE"""),422722.0)</f>
        <v>422722</v>
      </c>
      <c r="I107" s="235">
        <f>IFERROR(__xludf.DUMMYFUNCTION("""COMPUTED_VALUE"""),92.0)</f>
        <v>92</v>
      </c>
      <c r="J107" s="235">
        <f>IFERROR(__xludf.DUMMYFUNCTION("""COMPUTED_VALUE"""),80.0)</f>
        <v>80</v>
      </c>
      <c r="K107" s="235">
        <f>IFERROR(__xludf.DUMMYFUNCTION("""COMPUTED_VALUE"""),20200.0)</f>
        <v>20200</v>
      </c>
      <c r="L107" s="235">
        <f>IFERROR(__xludf.DUMMYFUNCTION("""COMPUTED_VALUE"""),2249.0)</f>
        <v>2249</v>
      </c>
      <c r="M107" s="235">
        <f>IFERROR(__xludf.DUMMYFUNCTION("""COMPUTED_VALUE"""),207258.0)</f>
        <v>207258</v>
      </c>
      <c r="N107" s="235">
        <f>IFERROR(__xludf.DUMMYFUNCTION("""COMPUTED_VALUE"""),227458.0)</f>
        <v>227458</v>
      </c>
      <c r="O107" s="235">
        <f>IFERROR(__xludf.DUMMYFUNCTION("""COMPUTED_VALUE"""),5.0)</f>
        <v>5</v>
      </c>
      <c r="P107" s="235">
        <f>IFERROR(__xludf.DUMMYFUNCTION("""COMPUTED_VALUE"""),2361.0)</f>
        <v>2361</v>
      </c>
      <c r="Q107" s="235">
        <f>IFERROR(__xludf.DUMMYFUNCTION("""COMPUTED_VALUE"""),13.0)</f>
        <v>13</v>
      </c>
      <c r="R107" s="235">
        <f>IFERROR(__xludf.DUMMYFUNCTION("""COMPUTED_VALUE"""),1967.0)</f>
        <v>1967</v>
      </c>
      <c r="S107" s="235">
        <f>IFERROR(__xludf.DUMMYFUNCTION("""COMPUTED_VALUE"""),0.0)</f>
        <v>0</v>
      </c>
      <c r="T107" s="235">
        <f>IFERROR(__xludf.DUMMYFUNCTION("""COMPUTED_VALUE"""),323.0)</f>
        <v>323</v>
      </c>
      <c r="U107" s="235">
        <f>IFERROR(__xludf.DUMMYFUNCTION("""COMPUTED_VALUE"""),71.0)</f>
        <v>71</v>
      </c>
      <c r="V107" s="235">
        <f>IFERROR(__xludf.DUMMYFUNCTION("""COMPUTED_VALUE"""),77.0)</f>
        <v>77</v>
      </c>
      <c r="W107" s="235">
        <f>IFERROR(__xludf.DUMMYFUNCTION("""COMPUTED_VALUE"""),10.0)</f>
        <v>10</v>
      </c>
      <c r="X107" s="235">
        <f>IFERROR(__xludf.DUMMYFUNCTION("""COMPUTED_VALUE"""),4.0)</f>
        <v>4</v>
      </c>
      <c r="Y107" s="235">
        <f>IFERROR(__xludf.DUMMYFUNCTION("""COMPUTED_VALUE"""),3.0)</f>
        <v>3</v>
      </c>
      <c r="Z107" s="235">
        <f>IFERROR(__xludf.DUMMYFUNCTION("""COMPUTED_VALUE"""),1040.0)</f>
        <v>1040</v>
      </c>
    </row>
    <row r="108">
      <c r="A108" s="234">
        <f>IFERROR(__xludf.DUMMYFUNCTION("""COMPUTED_VALUE"""),44055.0)</f>
        <v>44055</v>
      </c>
      <c r="B108" s="235">
        <f>IFERROR(__xludf.DUMMYFUNCTION("""COMPUTED_VALUE"""),121.0)</f>
        <v>121</v>
      </c>
      <c r="C108" s="235">
        <f>IFERROR(__xludf.DUMMYFUNCTION("""COMPUTED_VALUE"""),125.0)</f>
        <v>125</v>
      </c>
      <c r="D108" s="235">
        <f>IFERROR(__xludf.DUMMYFUNCTION("""COMPUTED_VALUE"""),29369.0)</f>
        <v>29369</v>
      </c>
      <c r="E108" s="235">
        <f>IFERROR(__xludf.DUMMYFUNCTION("""COMPUTED_VALUE"""),5188.0)</f>
        <v>5188</v>
      </c>
      <c r="F108" s="173">
        <f>IFERROR(__xludf.DUMMYFUNCTION("""COMPUTED_VALUE"""),398662.0)</f>
        <v>398662</v>
      </c>
      <c r="G108" s="173">
        <f>IFERROR(__xludf.DUMMYFUNCTION("""COMPUTED_VALUE"""),5309.0)</f>
        <v>5309</v>
      </c>
      <c r="H108" s="173">
        <f>IFERROR(__xludf.DUMMYFUNCTION("""COMPUTED_VALUE"""),428031.0)</f>
        <v>428031</v>
      </c>
      <c r="I108" s="235">
        <f>IFERROR(__xludf.DUMMYFUNCTION("""COMPUTED_VALUE"""),101.0)</f>
        <v>101</v>
      </c>
      <c r="J108" s="235">
        <f>IFERROR(__xludf.DUMMYFUNCTION("""COMPUTED_VALUE"""),102.0)</f>
        <v>102</v>
      </c>
      <c r="K108" s="235">
        <f>IFERROR(__xludf.DUMMYFUNCTION("""COMPUTED_VALUE"""),20301.0)</f>
        <v>20301</v>
      </c>
      <c r="L108" s="235">
        <f>IFERROR(__xludf.DUMMYFUNCTION("""COMPUTED_VALUE"""),2599.0)</f>
        <v>2599</v>
      </c>
      <c r="M108" s="235">
        <f>IFERROR(__xludf.DUMMYFUNCTION("""COMPUTED_VALUE"""),209857.0)</f>
        <v>209857</v>
      </c>
      <c r="N108" s="235">
        <f>IFERROR(__xludf.DUMMYFUNCTION("""COMPUTED_VALUE"""),230158.0)</f>
        <v>230158</v>
      </c>
      <c r="O108" s="235">
        <f>IFERROR(__xludf.DUMMYFUNCTION("""COMPUTED_VALUE"""),8.0)</f>
        <v>8</v>
      </c>
      <c r="P108" s="235">
        <f>IFERROR(__xludf.DUMMYFUNCTION("""COMPUTED_VALUE"""),2369.0)</f>
        <v>2369</v>
      </c>
      <c r="Q108" s="235">
        <f>IFERROR(__xludf.DUMMYFUNCTION("""COMPUTED_VALUE"""),11.0)</f>
        <v>11</v>
      </c>
      <c r="R108" s="235">
        <f>IFERROR(__xludf.DUMMYFUNCTION("""COMPUTED_VALUE"""),1978.0)</f>
        <v>1978</v>
      </c>
      <c r="S108" s="235">
        <f>IFERROR(__xludf.DUMMYFUNCTION("""COMPUTED_VALUE"""),0.0)</f>
        <v>0</v>
      </c>
      <c r="T108" s="235">
        <f>IFERROR(__xludf.DUMMYFUNCTION("""COMPUTED_VALUE"""),323.0)</f>
        <v>323</v>
      </c>
      <c r="U108" s="235">
        <f>IFERROR(__xludf.DUMMYFUNCTION("""COMPUTED_VALUE"""),68.0)</f>
        <v>68</v>
      </c>
      <c r="V108" s="235">
        <f>IFERROR(__xludf.DUMMYFUNCTION("""COMPUTED_VALUE"""),73.0)</f>
        <v>73</v>
      </c>
      <c r="W108" s="235">
        <f>IFERROR(__xludf.DUMMYFUNCTION("""COMPUTED_VALUE"""),9.0)</f>
        <v>9</v>
      </c>
      <c r="X108" s="235">
        <f>IFERROR(__xludf.DUMMYFUNCTION("""COMPUTED_VALUE"""),3.0)</f>
        <v>3</v>
      </c>
      <c r="Y108" s="235">
        <f>IFERROR(__xludf.DUMMYFUNCTION("""COMPUTED_VALUE"""),1.0)</f>
        <v>1</v>
      </c>
      <c r="Z108" s="235">
        <f>IFERROR(__xludf.DUMMYFUNCTION("""COMPUTED_VALUE"""),1041.0)</f>
        <v>1041</v>
      </c>
    </row>
    <row r="109">
      <c r="A109" s="234">
        <f>IFERROR(__xludf.DUMMYFUNCTION("""COMPUTED_VALUE"""),44056.0)</f>
        <v>44056</v>
      </c>
      <c r="B109" s="235">
        <f>IFERROR(__xludf.DUMMYFUNCTION("""COMPUTED_VALUE"""),135.0)</f>
        <v>135</v>
      </c>
      <c r="C109" s="235">
        <f>IFERROR(__xludf.DUMMYFUNCTION("""COMPUTED_VALUE"""),121.0)</f>
        <v>121</v>
      </c>
      <c r="D109" s="235">
        <f>IFERROR(__xludf.DUMMYFUNCTION("""COMPUTED_VALUE"""),29504.0)</f>
        <v>29504</v>
      </c>
      <c r="E109" s="235">
        <f>IFERROR(__xludf.DUMMYFUNCTION("""COMPUTED_VALUE"""),4196.0)</f>
        <v>4196</v>
      </c>
      <c r="F109" s="173">
        <f>IFERROR(__xludf.DUMMYFUNCTION("""COMPUTED_VALUE"""),402858.0)</f>
        <v>402858</v>
      </c>
      <c r="G109" s="173">
        <f>IFERROR(__xludf.DUMMYFUNCTION("""COMPUTED_VALUE"""),4331.0)</f>
        <v>4331</v>
      </c>
      <c r="H109" s="173">
        <f>IFERROR(__xludf.DUMMYFUNCTION("""COMPUTED_VALUE"""),432362.0)</f>
        <v>432362</v>
      </c>
      <c r="I109" s="235">
        <f>IFERROR(__xludf.DUMMYFUNCTION("""COMPUTED_VALUE"""),95.0)</f>
        <v>95</v>
      </c>
      <c r="J109" s="235">
        <f>IFERROR(__xludf.DUMMYFUNCTION("""COMPUTED_VALUE"""),96.0)</f>
        <v>96</v>
      </c>
      <c r="K109" s="235">
        <f>IFERROR(__xludf.DUMMYFUNCTION("""COMPUTED_VALUE"""),20396.0)</f>
        <v>20396</v>
      </c>
      <c r="L109" s="235">
        <f>IFERROR(__xludf.DUMMYFUNCTION("""COMPUTED_VALUE"""),1888.0)</f>
        <v>1888</v>
      </c>
      <c r="M109" s="235">
        <f>IFERROR(__xludf.DUMMYFUNCTION("""COMPUTED_VALUE"""),211745.0)</f>
        <v>211745</v>
      </c>
      <c r="N109" s="235">
        <f>IFERROR(__xludf.DUMMYFUNCTION("""COMPUTED_VALUE"""),232141.0)</f>
        <v>232141</v>
      </c>
      <c r="O109" s="235">
        <f>IFERROR(__xludf.DUMMYFUNCTION("""COMPUTED_VALUE"""),13.0)</f>
        <v>13</v>
      </c>
      <c r="P109" s="235">
        <f>IFERROR(__xludf.DUMMYFUNCTION("""COMPUTED_VALUE"""),2382.0)</f>
        <v>2382</v>
      </c>
      <c r="Q109" s="235">
        <f>IFERROR(__xludf.DUMMYFUNCTION("""COMPUTED_VALUE"""),12.0)</f>
        <v>12</v>
      </c>
      <c r="R109" s="235">
        <f>IFERROR(__xludf.DUMMYFUNCTION("""COMPUTED_VALUE"""),1990.0)</f>
        <v>1990</v>
      </c>
      <c r="S109" s="235">
        <f>IFERROR(__xludf.DUMMYFUNCTION("""COMPUTED_VALUE"""),0.0)</f>
        <v>0</v>
      </c>
      <c r="T109" s="235">
        <f>IFERROR(__xludf.DUMMYFUNCTION("""COMPUTED_VALUE"""),323.0)</f>
        <v>323</v>
      </c>
      <c r="U109" s="235">
        <f>IFERROR(__xludf.DUMMYFUNCTION("""COMPUTED_VALUE"""),69.0)</f>
        <v>69</v>
      </c>
      <c r="V109" s="235">
        <f>IFERROR(__xludf.DUMMYFUNCTION("""COMPUTED_VALUE"""),69.0)</f>
        <v>69</v>
      </c>
      <c r="W109" s="235">
        <f>IFERROR(__xludf.DUMMYFUNCTION("""COMPUTED_VALUE"""),11.0)</f>
        <v>11</v>
      </c>
      <c r="X109" s="235">
        <f>IFERROR(__xludf.DUMMYFUNCTION("""COMPUTED_VALUE"""),3.0)</f>
        <v>3</v>
      </c>
      <c r="Y109" s="235">
        <f>IFERROR(__xludf.DUMMYFUNCTION("""COMPUTED_VALUE"""),0.0)</f>
        <v>0</v>
      </c>
      <c r="Z109" s="235">
        <f>IFERROR(__xludf.DUMMYFUNCTION("""COMPUTED_VALUE"""),1041.0)</f>
        <v>1041</v>
      </c>
    </row>
    <row r="110">
      <c r="A110" s="234">
        <f>IFERROR(__xludf.DUMMYFUNCTION("""COMPUTED_VALUE"""),44057.0)</f>
        <v>44057</v>
      </c>
      <c r="B110" s="235">
        <f>IFERROR(__xludf.DUMMYFUNCTION("""COMPUTED_VALUE"""),145.0)</f>
        <v>145</v>
      </c>
      <c r="C110" s="235">
        <f>IFERROR(__xludf.DUMMYFUNCTION("""COMPUTED_VALUE"""),134.0)</f>
        <v>134</v>
      </c>
      <c r="D110" s="235">
        <f>IFERROR(__xludf.DUMMYFUNCTION("""COMPUTED_VALUE"""),29649.0)</f>
        <v>29649</v>
      </c>
      <c r="E110" s="235">
        <f>IFERROR(__xludf.DUMMYFUNCTION("""COMPUTED_VALUE"""),5498.0)</f>
        <v>5498</v>
      </c>
      <c r="F110" s="173">
        <f>IFERROR(__xludf.DUMMYFUNCTION("""COMPUTED_VALUE"""),408356.0)</f>
        <v>408356</v>
      </c>
      <c r="G110" s="173">
        <f>IFERROR(__xludf.DUMMYFUNCTION("""COMPUTED_VALUE"""),5643.0)</f>
        <v>5643</v>
      </c>
      <c r="H110" s="173">
        <f>IFERROR(__xludf.DUMMYFUNCTION("""COMPUTED_VALUE"""),438005.0)</f>
        <v>438005</v>
      </c>
      <c r="I110" s="235">
        <f>IFERROR(__xludf.DUMMYFUNCTION("""COMPUTED_VALUE"""),98.0)</f>
        <v>98</v>
      </c>
      <c r="J110" s="235">
        <f>IFERROR(__xludf.DUMMYFUNCTION("""COMPUTED_VALUE"""),98.0)</f>
        <v>98</v>
      </c>
      <c r="K110" s="235">
        <f>IFERROR(__xludf.DUMMYFUNCTION("""COMPUTED_VALUE"""),20494.0)</f>
        <v>20494</v>
      </c>
      <c r="L110" s="235">
        <f>IFERROR(__xludf.DUMMYFUNCTION("""COMPUTED_VALUE"""),1959.0)</f>
        <v>1959</v>
      </c>
      <c r="M110" s="235">
        <f>IFERROR(__xludf.DUMMYFUNCTION("""COMPUTED_VALUE"""),213704.0)</f>
        <v>213704</v>
      </c>
      <c r="N110" s="235">
        <f>IFERROR(__xludf.DUMMYFUNCTION("""COMPUTED_VALUE"""),234198.0)</f>
        <v>234198</v>
      </c>
      <c r="O110" s="235">
        <f>IFERROR(__xludf.DUMMYFUNCTION("""COMPUTED_VALUE"""),13.0)</f>
        <v>13</v>
      </c>
      <c r="P110" s="235">
        <f>IFERROR(__xludf.DUMMYFUNCTION("""COMPUTED_VALUE"""),2395.0)</f>
        <v>2395</v>
      </c>
      <c r="Q110" s="235">
        <f>IFERROR(__xludf.DUMMYFUNCTION("""COMPUTED_VALUE"""),11.0)</f>
        <v>11</v>
      </c>
      <c r="R110" s="235">
        <f>IFERROR(__xludf.DUMMYFUNCTION("""COMPUTED_VALUE"""),2001.0)</f>
        <v>2001</v>
      </c>
      <c r="S110" s="235">
        <f>IFERROR(__xludf.DUMMYFUNCTION("""COMPUTED_VALUE"""),0.0)</f>
        <v>0</v>
      </c>
      <c r="T110" s="235">
        <f>IFERROR(__xludf.DUMMYFUNCTION("""COMPUTED_VALUE"""),323.0)</f>
        <v>323</v>
      </c>
      <c r="U110" s="235">
        <f>IFERROR(__xludf.DUMMYFUNCTION("""COMPUTED_VALUE"""),71.0)</f>
        <v>71</v>
      </c>
      <c r="V110" s="235">
        <f>IFERROR(__xludf.DUMMYFUNCTION("""COMPUTED_VALUE"""),69.0)</f>
        <v>69</v>
      </c>
      <c r="W110" s="235">
        <f>IFERROR(__xludf.DUMMYFUNCTION("""COMPUTED_VALUE"""),11.0)</f>
        <v>11</v>
      </c>
      <c r="X110" s="235">
        <f>IFERROR(__xludf.DUMMYFUNCTION("""COMPUTED_VALUE"""),4.0)</f>
        <v>4</v>
      </c>
      <c r="Y110" s="235">
        <f>IFERROR(__xludf.DUMMYFUNCTION("""COMPUTED_VALUE"""),3.0)</f>
        <v>3</v>
      </c>
      <c r="Z110" s="235">
        <f>IFERROR(__xludf.DUMMYFUNCTION("""COMPUTED_VALUE"""),1044.0)</f>
        <v>1044</v>
      </c>
    </row>
    <row r="111">
      <c r="A111" s="234">
        <f>IFERROR(__xludf.DUMMYFUNCTION("""COMPUTED_VALUE"""),44058.0)</f>
        <v>44058</v>
      </c>
      <c r="B111" s="235">
        <f>IFERROR(__xludf.DUMMYFUNCTION("""COMPUTED_VALUE"""),106.0)</f>
        <v>106</v>
      </c>
      <c r="C111" s="235">
        <f>IFERROR(__xludf.DUMMYFUNCTION("""COMPUTED_VALUE"""),129.0)</f>
        <v>129</v>
      </c>
      <c r="D111" s="235">
        <f>IFERROR(__xludf.DUMMYFUNCTION("""COMPUTED_VALUE"""),29755.0)</f>
        <v>29755</v>
      </c>
      <c r="E111" s="235">
        <f>IFERROR(__xludf.DUMMYFUNCTION("""COMPUTED_VALUE"""),4534.0)</f>
        <v>4534</v>
      </c>
      <c r="F111" s="173">
        <f>IFERROR(__xludf.DUMMYFUNCTION("""COMPUTED_VALUE"""),412890.0)</f>
        <v>412890</v>
      </c>
      <c r="G111" s="173">
        <f>IFERROR(__xludf.DUMMYFUNCTION("""COMPUTED_VALUE"""),4640.0)</f>
        <v>4640</v>
      </c>
      <c r="H111" s="173">
        <f>IFERROR(__xludf.DUMMYFUNCTION("""COMPUTED_VALUE"""),442645.0)</f>
        <v>442645</v>
      </c>
      <c r="I111" s="235">
        <f>IFERROR(__xludf.DUMMYFUNCTION("""COMPUTED_VALUE"""),88.0)</f>
        <v>88</v>
      </c>
      <c r="J111" s="235">
        <f>IFERROR(__xludf.DUMMYFUNCTION("""COMPUTED_VALUE"""),94.0)</f>
        <v>94</v>
      </c>
      <c r="K111" s="235">
        <f>IFERROR(__xludf.DUMMYFUNCTION("""COMPUTED_VALUE"""),20582.0)</f>
        <v>20582</v>
      </c>
      <c r="L111" s="235">
        <f>IFERROR(__xludf.DUMMYFUNCTION("""COMPUTED_VALUE"""),1671.0)</f>
        <v>1671</v>
      </c>
      <c r="M111" s="235">
        <f>IFERROR(__xludf.DUMMYFUNCTION("""COMPUTED_VALUE"""),215375.0)</f>
        <v>215375</v>
      </c>
      <c r="N111" s="235">
        <f>IFERROR(__xludf.DUMMYFUNCTION("""COMPUTED_VALUE"""),235957.0)</f>
        <v>235957</v>
      </c>
      <c r="O111" s="235">
        <f>IFERROR(__xludf.DUMMYFUNCTION("""COMPUTED_VALUE"""),9.0)</f>
        <v>9</v>
      </c>
      <c r="P111" s="235">
        <f>IFERROR(__xludf.DUMMYFUNCTION("""COMPUTED_VALUE"""),2404.0)</f>
        <v>2404</v>
      </c>
      <c r="Q111" s="235">
        <f>IFERROR(__xludf.DUMMYFUNCTION("""COMPUTED_VALUE"""),11.0)</f>
        <v>11</v>
      </c>
      <c r="R111" s="235">
        <f>IFERROR(__xludf.DUMMYFUNCTION("""COMPUTED_VALUE"""),2012.0)</f>
        <v>2012</v>
      </c>
      <c r="S111" s="235">
        <f>IFERROR(__xludf.DUMMYFUNCTION("""COMPUTED_VALUE"""),1.0)</f>
        <v>1</v>
      </c>
      <c r="T111" s="235">
        <f>IFERROR(__xludf.DUMMYFUNCTION("""COMPUTED_VALUE"""),324.0)</f>
        <v>324</v>
      </c>
      <c r="U111" s="235">
        <f>IFERROR(__xludf.DUMMYFUNCTION("""COMPUTED_VALUE"""),68.0)</f>
        <v>68</v>
      </c>
      <c r="V111" s="235">
        <f>IFERROR(__xludf.DUMMYFUNCTION("""COMPUTED_VALUE"""),69.0)</f>
        <v>69</v>
      </c>
      <c r="W111" s="235">
        <f>IFERROR(__xludf.DUMMYFUNCTION("""COMPUTED_VALUE"""),11.0)</f>
        <v>11</v>
      </c>
      <c r="X111" s="235">
        <f>IFERROR(__xludf.DUMMYFUNCTION("""COMPUTED_VALUE"""),5.0)</f>
        <v>5</v>
      </c>
      <c r="Y111" s="235">
        <f>IFERROR(__xludf.DUMMYFUNCTION("""COMPUTED_VALUE"""),0.0)</f>
        <v>0</v>
      </c>
      <c r="Z111" s="235">
        <f>IFERROR(__xludf.DUMMYFUNCTION("""COMPUTED_VALUE"""),1044.0)</f>
        <v>1044</v>
      </c>
    </row>
    <row r="112">
      <c r="A112" s="234">
        <f>IFERROR(__xludf.DUMMYFUNCTION("""COMPUTED_VALUE"""),44059.0)</f>
        <v>44059</v>
      </c>
      <c r="B112" s="235">
        <f>IFERROR(__xludf.DUMMYFUNCTION("""COMPUTED_VALUE"""),83.0)</f>
        <v>83</v>
      </c>
      <c r="C112" s="235">
        <f>IFERROR(__xludf.DUMMYFUNCTION("""COMPUTED_VALUE"""),111.0)</f>
        <v>111</v>
      </c>
      <c r="D112" s="235">
        <f>IFERROR(__xludf.DUMMYFUNCTION("""COMPUTED_VALUE"""),29838.0)</f>
        <v>29838</v>
      </c>
      <c r="E112" s="235">
        <f>IFERROR(__xludf.DUMMYFUNCTION("""COMPUTED_VALUE"""),2477.0)</f>
        <v>2477</v>
      </c>
      <c r="F112" s="173">
        <f>IFERROR(__xludf.DUMMYFUNCTION("""COMPUTED_VALUE"""),415367.0)</f>
        <v>415367</v>
      </c>
      <c r="G112" s="173">
        <f>IFERROR(__xludf.DUMMYFUNCTION("""COMPUTED_VALUE"""),2560.0)</f>
        <v>2560</v>
      </c>
      <c r="H112" s="173">
        <f>IFERROR(__xludf.DUMMYFUNCTION("""COMPUTED_VALUE"""),445205.0)</f>
        <v>445205</v>
      </c>
      <c r="I112" s="235">
        <f>IFERROR(__xludf.DUMMYFUNCTION("""COMPUTED_VALUE"""),70.0)</f>
        <v>70</v>
      </c>
      <c r="J112" s="235">
        <f>IFERROR(__xludf.DUMMYFUNCTION("""COMPUTED_VALUE"""),85.0)</f>
        <v>85</v>
      </c>
      <c r="K112" s="235">
        <f>IFERROR(__xludf.DUMMYFUNCTION("""COMPUTED_VALUE"""),20652.0)</f>
        <v>20652</v>
      </c>
      <c r="L112" s="235">
        <f>IFERROR(__xludf.DUMMYFUNCTION("""COMPUTED_VALUE"""),950.0)</f>
        <v>950</v>
      </c>
      <c r="M112" s="235">
        <f>IFERROR(__xludf.DUMMYFUNCTION("""COMPUTED_VALUE"""),216325.0)</f>
        <v>216325</v>
      </c>
      <c r="N112" s="235">
        <f>IFERROR(__xludf.DUMMYFUNCTION("""COMPUTED_VALUE"""),236977.0)</f>
        <v>236977</v>
      </c>
      <c r="O112" s="235">
        <f>IFERROR(__xludf.DUMMYFUNCTION("""COMPUTED_VALUE"""),6.0)</f>
        <v>6</v>
      </c>
      <c r="P112" s="235">
        <f>IFERROR(__xludf.DUMMYFUNCTION("""COMPUTED_VALUE"""),2410.0)</f>
        <v>2410</v>
      </c>
      <c r="Q112" s="235">
        <f>IFERROR(__xludf.DUMMYFUNCTION("""COMPUTED_VALUE"""),5.0)</f>
        <v>5</v>
      </c>
      <c r="R112" s="235">
        <f>IFERROR(__xludf.DUMMYFUNCTION("""COMPUTED_VALUE"""),2017.0)</f>
        <v>2017</v>
      </c>
      <c r="S112" s="235">
        <f>IFERROR(__xludf.DUMMYFUNCTION("""COMPUTED_VALUE"""),4.0)</f>
        <v>4</v>
      </c>
      <c r="T112" s="235">
        <f>IFERROR(__xludf.DUMMYFUNCTION("""COMPUTED_VALUE"""),328.0)</f>
        <v>328</v>
      </c>
      <c r="U112" s="235">
        <f>IFERROR(__xludf.DUMMYFUNCTION("""COMPUTED_VALUE"""),65.0)</f>
        <v>65</v>
      </c>
      <c r="V112" s="235">
        <f>IFERROR(__xludf.DUMMYFUNCTION("""COMPUTED_VALUE"""),68.0)</f>
        <v>68</v>
      </c>
      <c r="W112" s="235">
        <f>IFERROR(__xludf.DUMMYFUNCTION("""COMPUTED_VALUE"""),8.0)</f>
        <v>8</v>
      </c>
      <c r="X112" s="235">
        <f>IFERROR(__xludf.DUMMYFUNCTION("""COMPUTED_VALUE"""),4.0)</f>
        <v>4</v>
      </c>
      <c r="Y112" s="235">
        <f>IFERROR(__xludf.DUMMYFUNCTION("""COMPUTED_VALUE"""),6.0)</f>
        <v>6</v>
      </c>
      <c r="Z112" s="235">
        <f>IFERROR(__xludf.DUMMYFUNCTION("""COMPUTED_VALUE"""),1050.0)</f>
        <v>1050</v>
      </c>
    </row>
    <row r="113">
      <c r="A113" s="234">
        <f>IFERROR(__xludf.DUMMYFUNCTION("""COMPUTED_VALUE"""),44060.0)</f>
        <v>44060</v>
      </c>
      <c r="B113" s="235">
        <f>IFERROR(__xludf.DUMMYFUNCTION("""COMPUTED_VALUE"""),106.0)</f>
        <v>106</v>
      </c>
      <c r="C113" s="235">
        <f>IFERROR(__xludf.DUMMYFUNCTION("""COMPUTED_VALUE"""),98.0)</f>
        <v>98</v>
      </c>
      <c r="D113" s="235">
        <f>IFERROR(__xludf.DUMMYFUNCTION("""COMPUTED_VALUE"""),29944.0)</f>
        <v>29944</v>
      </c>
      <c r="E113" s="235">
        <f>IFERROR(__xludf.DUMMYFUNCTION("""COMPUTED_VALUE"""),4575.0)</f>
        <v>4575</v>
      </c>
      <c r="F113" s="173">
        <f>IFERROR(__xludf.DUMMYFUNCTION("""COMPUTED_VALUE"""),419942.0)</f>
        <v>419942</v>
      </c>
      <c r="G113" s="173">
        <f>IFERROR(__xludf.DUMMYFUNCTION("""COMPUTED_VALUE"""),4681.0)</f>
        <v>4681</v>
      </c>
      <c r="H113" s="173">
        <f>IFERROR(__xludf.DUMMYFUNCTION("""COMPUTED_VALUE"""),449886.0)</f>
        <v>449886</v>
      </c>
      <c r="I113" s="235">
        <f>IFERROR(__xludf.DUMMYFUNCTION("""COMPUTED_VALUE"""),87.0)</f>
        <v>87</v>
      </c>
      <c r="J113" s="235">
        <f>IFERROR(__xludf.DUMMYFUNCTION("""COMPUTED_VALUE"""),82.0)</f>
        <v>82</v>
      </c>
      <c r="K113" s="235">
        <f>IFERROR(__xludf.DUMMYFUNCTION("""COMPUTED_VALUE"""),20739.0)</f>
        <v>20739</v>
      </c>
      <c r="L113" s="235">
        <f>IFERROR(__xludf.DUMMYFUNCTION("""COMPUTED_VALUE"""),2365.0)</f>
        <v>2365</v>
      </c>
      <c r="M113" s="235">
        <f>IFERROR(__xludf.DUMMYFUNCTION("""COMPUTED_VALUE"""),218690.0)</f>
        <v>218690</v>
      </c>
      <c r="N113" s="235">
        <f>IFERROR(__xludf.DUMMYFUNCTION("""COMPUTED_VALUE"""),239429.0)</f>
        <v>239429</v>
      </c>
      <c r="O113" s="235">
        <f>IFERROR(__xludf.DUMMYFUNCTION("""COMPUTED_VALUE"""),8.0)</f>
        <v>8</v>
      </c>
      <c r="P113" s="235">
        <f>IFERROR(__xludf.DUMMYFUNCTION("""COMPUTED_VALUE"""),2418.0)</f>
        <v>2418</v>
      </c>
      <c r="Q113" s="235">
        <f>IFERROR(__xludf.DUMMYFUNCTION("""COMPUTED_VALUE"""),6.0)</f>
        <v>6</v>
      </c>
      <c r="R113" s="235">
        <f>IFERROR(__xludf.DUMMYFUNCTION("""COMPUTED_VALUE"""),2023.0)</f>
        <v>2023</v>
      </c>
      <c r="S113" s="235">
        <f>IFERROR(__xludf.DUMMYFUNCTION("""COMPUTED_VALUE"""),0.0)</f>
        <v>0</v>
      </c>
      <c r="T113" s="235">
        <f>IFERROR(__xludf.DUMMYFUNCTION("""COMPUTED_VALUE"""),328.0)</f>
        <v>328</v>
      </c>
      <c r="U113" s="235">
        <f>IFERROR(__xludf.DUMMYFUNCTION("""COMPUTED_VALUE"""),67.0)</f>
        <v>67</v>
      </c>
      <c r="V113" s="235">
        <f>IFERROR(__xludf.DUMMYFUNCTION("""COMPUTED_VALUE"""),67.0)</f>
        <v>67</v>
      </c>
      <c r="W113" s="235">
        <f>IFERROR(__xludf.DUMMYFUNCTION("""COMPUTED_VALUE"""),8.0)</f>
        <v>8</v>
      </c>
      <c r="X113" s="235">
        <f>IFERROR(__xludf.DUMMYFUNCTION("""COMPUTED_VALUE"""),5.0)</f>
        <v>5</v>
      </c>
      <c r="Y113" s="235">
        <f>IFERROR(__xludf.DUMMYFUNCTION("""COMPUTED_VALUE"""),2.0)</f>
        <v>2</v>
      </c>
      <c r="Z113" s="235">
        <f>IFERROR(__xludf.DUMMYFUNCTION("""COMPUTED_VALUE"""),1052.0)</f>
        <v>1052</v>
      </c>
    </row>
    <row r="114">
      <c r="A114" s="234">
        <f>IFERROR(__xludf.DUMMYFUNCTION("""COMPUTED_VALUE"""),44061.0)</f>
        <v>44061</v>
      </c>
      <c r="B114" s="235">
        <f>IFERROR(__xludf.DUMMYFUNCTION("""COMPUTED_VALUE"""),128.0)</f>
        <v>128</v>
      </c>
      <c r="C114" s="235">
        <f>IFERROR(__xludf.DUMMYFUNCTION("""COMPUTED_VALUE"""),106.0)</f>
        <v>106</v>
      </c>
      <c r="D114" s="235">
        <f>IFERROR(__xludf.DUMMYFUNCTION("""COMPUTED_VALUE"""),30072.0)</f>
        <v>30072</v>
      </c>
      <c r="E114" s="235">
        <f>IFERROR(__xludf.DUMMYFUNCTION("""COMPUTED_VALUE"""),4911.0)</f>
        <v>4911</v>
      </c>
      <c r="F114" s="173">
        <f>IFERROR(__xludf.DUMMYFUNCTION("""COMPUTED_VALUE"""),424853.0)</f>
        <v>424853</v>
      </c>
      <c r="G114" s="173">
        <f>IFERROR(__xludf.DUMMYFUNCTION("""COMPUTED_VALUE"""),5039.0)</f>
        <v>5039</v>
      </c>
      <c r="H114" s="173">
        <f>IFERROR(__xludf.DUMMYFUNCTION("""COMPUTED_VALUE"""),454925.0)</f>
        <v>454925</v>
      </c>
      <c r="I114" s="235">
        <f>IFERROR(__xludf.DUMMYFUNCTION("""COMPUTED_VALUE"""),94.0)</f>
        <v>94</v>
      </c>
      <c r="J114" s="235">
        <f>IFERROR(__xludf.DUMMYFUNCTION("""COMPUTED_VALUE"""),84.0)</f>
        <v>84</v>
      </c>
      <c r="K114" s="235">
        <f>IFERROR(__xludf.DUMMYFUNCTION("""COMPUTED_VALUE"""),20833.0)</f>
        <v>20833</v>
      </c>
      <c r="L114" s="235">
        <f>IFERROR(__xludf.DUMMYFUNCTION("""COMPUTED_VALUE"""),2728.0)</f>
        <v>2728</v>
      </c>
      <c r="M114" s="235">
        <f>IFERROR(__xludf.DUMMYFUNCTION("""COMPUTED_VALUE"""),221418.0)</f>
        <v>221418</v>
      </c>
      <c r="N114" s="235">
        <f>IFERROR(__xludf.DUMMYFUNCTION("""COMPUTED_VALUE"""),242251.0)</f>
        <v>242251</v>
      </c>
      <c r="O114" s="235">
        <f>IFERROR(__xludf.DUMMYFUNCTION("""COMPUTED_VALUE"""),11.0)</f>
        <v>11</v>
      </c>
      <c r="P114" s="235">
        <f>IFERROR(__xludf.DUMMYFUNCTION("""COMPUTED_VALUE"""),2429.0)</f>
        <v>2429</v>
      </c>
      <c r="Q114" s="235">
        <f>IFERROR(__xludf.DUMMYFUNCTION("""COMPUTED_VALUE"""),8.0)</f>
        <v>8</v>
      </c>
      <c r="R114" s="235">
        <f>IFERROR(__xludf.DUMMYFUNCTION("""COMPUTED_VALUE"""),2031.0)</f>
        <v>2031</v>
      </c>
      <c r="S114" s="235">
        <f>IFERROR(__xludf.DUMMYFUNCTION("""COMPUTED_VALUE"""),1.0)</f>
        <v>1</v>
      </c>
      <c r="T114" s="235">
        <f>IFERROR(__xludf.DUMMYFUNCTION("""COMPUTED_VALUE"""),329.0)</f>
        <v>329</v>
      </c>
      <c r="U114" s="235">
        <f>IFERROR(__xludf.DUMMYFUNCTION("""COMPUTED_VALUE"""),69.0)</f>
        <v>69</v>
      </c>
      <c r="V114" s="235">
        <f>IFERROR(__xludf.DUMMYFUNCTION("""COMPUTED_VALUE"""),67.0)</f>
        <v>67</v>
      </c>
      <c r="W114" s="235">
        <f>IFERROR(__xludf.DUMMYFUNCTION("""COMPUTED_VALUE"""),8.0)</f>
        <v>8</v>
      </c>
      <c r="X114" s="235">
        <f>IFERROR(__xludf.DUMMYFUNCTION("""COMPUTED_VALUE"""),4.0)</f>
        <v>4</v>
      </c>
      <c r="Y114" s="235">
        <f>IFERROR(__xludf.DUMMYFUNCTION("""COMPUTED_VALUE"""),5.0)</f>
        <v>5</v>
      </c>
      <c r="Z114" s="235">
        <f>IFERROR(__xludf.DUMMYFUNCTION("""COMPUTED_VALUE"""),1057.0)</f>
        <v>1057</v>
      </c>
    </row>
    <row r="115">
      <c r="A115" s="234">
        <f>IFERROR(__xludf.DUMMYFUNCTION("""COMPUTED_VALUE"""),44062.0)</f>
        <v>44062</v>
      </c>
      <c r="B115" s="235">
        <f>IFERROR(__xludf.DUMMYFUNCTION("""COMPUTED_VALUE"""),113.0)</f>
        <v>113</v>
      </c>
      <c r="C115" s="235">
        <f>IFERROR(__xludf.DUMMYFUNCTION("""COMPUTED_VALUE"""),116.0)</f>
        <v>116</v>
      </c>
      <c r="D115" s="235">
        <f>IFERROR(__xludf.DUMMYFUNCTION("""COMPUTED_VALUE"""),30185.0)</f>
        <v>30185</v>
      </c>
      <c r="E115" s="235">
        <f>IFERROR(__xludf.DUMMYFUNCTION("""COMPUTED_VALUE"""),5077.0)</f>
        <v>5077</v>
      </c>
      <c r="F115" s="173">
        <f>IFERROR(__xludf.DUMMYFUNCTION("""COMPUTED_VALUE"""),429930.0)</f>
        <v>429930</v>
      </c>
      <c r="G115" s="173">
        <f>IFERROR(__xludf.DUMMYFUNCTION("""COMPUTED_VALUE"""),5190.0)</f>
        <v>5190</v>
      </c>
      <c r="H115" s="173">
        <f>IFERROR(__xludf.DUMMYFUNCTION("""COMPUTED_VALUE"""),460115.0)</f>
        <v>460115</v>
      </c>
      <c r="I115" s="235">
        <f>IFERROR(__xludf.DUMMYFUNCTION("""COMPUTED_VALUE"""),90.0)</f>
        <v>90</v>
      </c>
      <c r="J115" s="235">
        <f>IFERROR(__xludf.DUMMYFUNCTION("""COMPUTED_VALUE"""),90.0)</f>
        <v>90</v>
      </c>
      <c r="K115" s="235">
        <f>IFERROR(__xludf.DUMMYFUNCTION("""COMPUTED_VALUE"""),20923.0)</f>
        <v>20923</v>
      </c>
      <c r="L115" s="235">
        <f>IFERROR(__xludf.DUMMYFUNCTION("""COMPUTED_VALUE"""),2614.0)</f>
        <v>2614</v>
      </c>
      <c r="M115" s="235">
        <f>IFERROR(__xludf.DUMMYFUNCTION("""COMPUTED_VALUE"""),224032.0)</f>
        <v>224032</v>
      </c>
      <c r="N115" s="235">
        <f>IFERROR(__xludf.DUMMYFUNCTION("""COMPUTED_VALUE"""),244955.0)</f>
        <v>244955</v>
      </c>
      <c r="O115" s="235">
        <f>IFERROR(__xludf.DUMMYFUNCTION("""COMPUTED_VALUE"""),8.0)</f>
        <v>8</v>
      </c>
      <c r="P115" s="235">
        <f>IFERROR(__xludf.DUMMYFUNCTION("""COMPUTED_VALUE"""),2437.0)</f>
        <v>2437</v>
      </c>
      <c r="Q115" s="235">
        <f>IFERROR(__xludf.DUMMYFUNCTION("""COMPUTED_VALUE"""),9.0)</f>
        <v>9</v>
      </c>
      <c r="R115" s="235">
        <f>IFERROR(__xludf.DUMMYFUNCTION("""COMPUTED_VALUE"""),2040.0)</f>
        <v>2040</v>
      </c>
      <c r="S115" s="235">
        <f>IFERROR(__xludf.DUMMYFUNCTION("""COMPUTED_VALUE"""),1.0)</f>
        <v>1</v>
      </c>
      <c r="T115" s="235">
        <f>IFERROR(__xludf.DUMMYFUNCTION("""COMPUTED_VALUE"""),330.0)</f>
        <v>330</v>
      </c>
      <c r="U115" s="235">
        <f>IFERROR(__xludf.DUMMYFUNCTION("""COMPUTED_VALUE"""),67.0)</f>
        <v>67</v>
      </c>
      <c r="V115" s="235">
        <f>IFERROR(__xludf.DUMMYFUNCTION("""COMPUTED_VALUE"""),68.0)</f>
        <v>68</v>
      </c>
      <c r="W115" s="235">
        <f>IFERROR(__xludf.DUMMYFUNCTION("""COMPUTED_VALUE"""),9.0)</f>
        <v>9</v>
      </c>
      <c r="X115" s="235">
        <f>IFERROR(__xludf.DUMMYFUNCTION("""COMPUTED_VALUE"""),5.0)</f>
        <v>5</v>
      </c>
      <c r="Y115" s="235">
        <f>IFERROR(__xludf.DUMMYFUNCTION("""COMPUTED_VALUE"""),0.0)</f>
        <v>0</v>
      </c>
      <c r="Z115" s="235">
        <f>IFERROR(__xludf.DUMMYFUNCTION("""COMPUTED_VALUE"""),1057.0)</f>
        <v>1057</v>
      </c>
    </row>
    <row r="116">
      <c r="A116" s="234">
        <f>IFERROR(__xludf.DUMMYFUNCTION("""COMPUTED_VALUE"""),44063.0)</f>
        <v>44063</v>
      </c>
      <c r="B116" s="235">
        <f>IFERROR(__xludf.DUMMYFUNCTION("""COMPUTED_VALUE"""),173.0)</f>
        <v>173</v>
      </c>
      <c r="C116" s="235">
        <f>IFERROR(__xludf.DUMMYFUNCTION("""COMPUTED_VALUE"""),138.0)</f>
        <v>138</v>
      </c>
      <c r="D116" s="235">
        <f>IFERROR(__xludf.DUMMYFUNCTION("""COMPUTED_VALUE"""),30358.0)</f>
        <v>30358</v>
      </c>
      <c r="E116" s="235">
        <f>IFERROR(__xludf.DUMMYFUNCTION("""COMPUTED_VALUE"""),7411.0)</f>
        <v>7411</v>
      </c>
      <c r="F116" s="173">
        <f>IFERROR(__xludf.DUMMYFUNCTION("""COMPUTED_VALUE"""),437341.0)</f>
        <v>437341</v>
      </c>
      <c r="G116" s="173">
        <f>IFERROR(__xludf.DUMMYFUNCTION("""COMPUTED_VALUE"""),7584.0)</f>
        <v>7584</v>
      </c>
      <c r="H116" s="173">
        <f>IFERROR(__xludf.DUMMYFUNCTION("""COMPUTED_VALUE"""),467699.0)</f>
        <v>467699</v>
      </c>
      <c r="I116" s="235">
        <f>IFERROR(__xludf.DUMMYFUNCTION("""COMPUTED_VALUE"""),139.0)</f>
        <v>139</v>
      </c>
      <c r="J116" s="235">
        <f>IFERROR(__xludf.DUMMYFUNCTION("""COMPUTED_VALUE"""),108.0)</f>
        <v>108</v>
      </c>
      <c r="K116" s="235">
        <f>IFERROR(__xludf.DUMMYFUNCTION("""COMPUTED_VALUE"""),21062.0)</f>
        <v>21062</v>
      </c>
      <c r="L116" s="235">
        <f>IFERROR(__xludf.DUMMYFUNCTION("""COMPUTED_VALUE"""),3482.0)</f>
        <v>3482</v>
      </c>
      <c r="M116" s="235">
        <f>IFERROR(__xludf.DUMMYFUNCTION("""COMPUTED_VALUE"""),227514.0)</f>
        <v>227514</v>
      </c>
      <c r="N116" s="235">
        <f>IFERROR(__xludf.DUMMYFUNCTION("""COMPUTED_VALUE"""),248576.0)</f>
        <v>248576</v>
      </c>
      <c r="O116" s="235">
        <f>IFERROR(__xludf.DUMMYFUNCTION("""COMPUTED_VALUE"""),12.0)</f>
        <v>12</v>
      </c>
      <c r="P116" s="235">
        <f>IFERROR(__xludf.DUMMYFUNCTION("""COMPUTED_VALUE"""),2449.0)</f>
        <v>2449</v>
      </c>
      <c r="Q116" s="235">
        <f>IFERROR(__xludf.DUMMYFUNCTION("""COMPUTED_VALUE"""),6.0)</f>
        <v>6</v>
      </c>
      <c r="R116" s="235">
        <f>IFERROR(__xludf.DUMMYFUNCTION("""COMPUTED_VALUE"""),2046.0)</f>
        <v>2046</v>
      </c>
      <c r="S116" s="235">
        <f>IFERROR(__xludf.DUMMYFUNCTION("""COMPUTED_VALUE"""),2.0)</f>
        <v>2</v>
      </c>
      <c r="T116" s="235">
        <f>IFERROR(__xludf.DUMMYFUNCTION("""COMPUTED_VALUE"""),332.0)</f>
        <v>332</v>
      </c>
      <c r="U116" s="235">
        <f>IFERROR(__xludf.DUMMYFUNCTION("""COMPUTED_VALUE"""),71.0)</f>
        <v>71</v>
      </c>
      <c r="V116" s="235">
        <f>IFERROR(__xludf.DUMMYFUNCTION("""COMPUTED_VALUE"""),69.0)</f>
        <v>69</v>
      </c>
      <c r="W116" s="235">
        <f>IFERROR(__xludf.DUMMYFUNCTION("""COMPUTED_VALUE"""),10.0)</f>
        <v>10</v>
      </c>
      <c r="X116" s="235">
        <f>IFERROR(__xludf.DUMMYFUNCTION("""COMPUTED_VALUE"""),5.0)</f>
        <v>5</v>
      </c>
      <c r="Y116" s="235">
        <f>IFERROR(__xludf.DUMMYFUNCTION("""COMPUTED_VALUE"""),3.0)</f>
        <v>3</v>
      </c>
      <c r="Z116" s="235">
        <f>IFERROR(__xludf.DUMMYFUNCTION("""COMPUTED_VALUE"""),1060.0)</f>
        <v>1060</v>
      </c>
    </row>
    <row r="117">
      <c r="A117" s="234">
        <f>IFERROR(__xludf.DUMMYFUNCTION("""COMPUTED_VALUE"""),44064.0)</f>
        <v>44064</v>
      </c>
      <c r="B117" s="235">
        <f>IFERROR(__xludf.DUMMYFUNCTION("""COMPUTED_VALUE"""),151.0)</f>
        <v>151</v>
      </c>
      <c r="C117" s="235">
        <f>IFERROR(__xludf.DUMMYFUNCTION("""COMPUTED_VALUE"""),146.0)</f>
        <v>146</v>
      </c>
      <c r="D117" s="235">
        <f>IFERROR(__xludf.DUMMYFUNCTION("""COMPUTED_VALUE"""),30509.0)</f>
        <v>30509</v>
      </c>
      <c r="E117" s="235">
        <f>IFERROR(__xludf.DUMMYFUNCTION("""COMPUTED_VALUE"""),6577.0)</f>
        <v>6577</v>
      </c>
      <c r="F117" s="173">
        <f>IFERROR(__xludf.DUMMYFUNCTION("""COMPUTED_VALUE"""),443918.0)</f>
        <v>443918</v>
      </c>
      <c r="G117" s="173">
        <f>IFERROR(__xludf.DUMMYFUNCTION("""COMPUTED_VALUE"""),6728.0)</f>
        <v>6728</v>
      </c>
      <c r="H117" s="173">
        <f>IFERROR(__xludf.DUMMYFUNCTION("""COMPUTED_VALUE"""),474427.0)</f>
        <v>474427</v>
      </c>
      <c r="I117" s="235">
        <f>IFERROR(__xludf.DUMMYFUNCTION("""COMPUTED_VALUE"""),125.0)</f>
        <v>125</v>
      </c>
      <c r="J117" s="235">
        <f>IFERROR(__xludf.DUMMYFUNCTION("""COMPUTED_VALUE"""),118.0)</f>
        <v>118</v>
      </c>
      <c r="K117" s="235">
        <f>IFERROR(__xludf.DUMMYFUNCTION("""COMPUTED_VALUE"""),21187.0)</f>
        <v>21187</v>
      </c>
      <c r="L117" s="235">
        <f>IFERROR(__xludf.DUMMYFUNCTION("""COMPUTED_VALUE"""),2917.0)</f>
        <v>2917</v>
      </c>
      <c r="M117" s="235">
        <f>IFERROR(__xludf.DUMMYFUNCTION("""COMPUTED_VALUE"""),230431.0)</f>
        <v>230431</v>
      </c>
      <c r="N117" s="235">
        <f>IFERROR(__xludf.DUMMYFUNCTION("""COMPUTED_VALUE"""),251618.0)</f>
        <v>251618</v>
      </c>
      <c r="O117" s="235">
        <f>IFERROR(__xludf.DUMMYFUNCTION("""COMPUTED_VALUE"""),8.0)</f>
        <v>8</v>
      </c>
      <c r="P117" s="235">
        <f>IFERROR(__xludf.DUMMYFUNCTION("""COMPUTED_VALUE"""),2457.0)</f>
        <v>2457</v>
      </c>
      <c r="Q117" s="235">
        <f>IFERROR(__xludf.DUMMYFUNCTION("""COMPUTED_VALUE"""),5.0)</f>
        <v>5</v>
      </c>
      <c r="R117" s="235">
        <f>IFERROR(__xludf.DUMMYFUNCTION("""COMPUTED_VALUE"""),2051.0)</f>
        <v>2051</v>
      </c>
      <c r="S117" s="235">
        <f>IFERROR(__xludf.DUMMYFUNCTION("""COMPUTED_VALUE"""),1.0)</f>
        <v>1</v>
      </c>
      <c r="T117" s="235">
        <f>IFERROR(__xludf.DUMMYFUNCTION("""COMPUTED_VALUE"""),333.0)</f>
        <v>333</v>
      </c>
      <c r="U117" s="235">
        <f>IFERROR(__xludf.DUMMYFUNCTION("""COMPUTED_VALUE"""),73.0)</f>
        <v>73</v>
      </c>
      <c r="V117" s="235">
        <f>IFERROR(__xludf.DUMMYFUNCTION("""COMPUTED_VALUE"""),70.0)</f>
        <v>70</v>
      </c>
      <c r="W117" s="235">
        <f>IFERROR(__xludf.DUMMYFUNCTION("""COMPUTED_VALUE"""),9.0)</f>
        <v>9</v>
      </c>
      <c r="X117" s="235">
        <f>IFERROR(__xludf.DUMMYFUNCTION("""COMPUTED_VALUE"""),4.0)</f>
        <v>4</v>
      </c>
      <c r="Y117" s="235">
        <f>IFERROR(__xludf.DUMMYFUNCTION("""COMPUTED_VALUE"""),2.0)</f>
        <v>2</v>
      </c>
      <c r="Z117" s="235">
        <f>IFERROR(__xludf.DUMMYFUNCTION("""COMPUTED_VALUE"""),1062.0)</f>
        <v>1062</v>
      </c>
    </row>
    <row r="118">
      <c r="A118" s="234">
        <f>IFERROR(__xludf.DUMMYFUNCTION("""COMPUTED_VALUE"""),44065.0)</f>
        <v>44065</v>
      </c>
      <c r="B118" s="235">
        <f>IFERROR(__xludf.DUMMYFUNCTION("""COMPUTED_VALUE"""),96.0)</f>
        <v>96</v>
      </c>
      <c r="C118" s="235">
        <f>IFERROR(__xludf.DUMMYFUNCTION("""COMPUTED_VALUE"""),140.0)</f>
        <v>140</v>
      </c>
      <c r="D118" s="235">
        <f>IFERROR(__xludf.DUMMYFUNCTION("""COMPUTED_VALUE"""),30605.0)</f>
        <v>30605</v>
      </c>
      <c r="E118" s="235">
        <f>IFERROR(__xludf.DUMMYFUNCTION("""COMPUTED_VALUE"""),5550.0)</f>
        <v>5550</v>
      </c>
      <c r="F118" s="173">
        <f>IFERROR(__xludf.DUMMYFUNCTION("""COMPUTED_VALUE"""),449468.0)</f>
        <v>449468</v>
      </c>
      <c r="G118" s="173">
        <f>IFERROR(__xludf.DUMMYFUNCTION("""COMPUTED_VALUE"""),5646.0)</f>
        <v>5646</v>
      </c>
      <c r="H118" s="173">
        <f>IFERROR(__xludf.DUMMYFUNCTION("""COMPUTED_VALUE"""),480073.0)</f>
        <v>480073</v>
      </c>
      <c r="I118" s="235">
        <f>IFERROR(__xludf.DUMMYFUNCTION("""COMPUTED_VALUE"""),84.0)</f>
        <v>84</v>
      </c>
      <c r="J118" s="235">
        <f>IFERROR(__xludf.DUMMYFUNCTION("""COMPUTED_VALUE"""),116.0)</f>
        <v>116</v>
      </c>
      <c r="K118" s="235">
        <f>IFERROR(__xludf.DUMMYFUNCTION("""COMPUTED_VALUE"""),21271.0)</f>
        <v>21271</v>
      </c>
      <c r="L118" s="235">
        <f>IFERROR(__xludf.DUMMYFUNCTION("""COMPUTED_VALUE"""),2574.0)</f>
        <v>2574</v>
      </c>
      <c r="M118" s="235">
        <f>IFERROR(__xludf.DUMMYFUNCTION("""COMPUTED_VALUE"""),233005.0)</f>
        <v>233005</v>
      </c>
      <c r="N118" s="235">
        <f>IFERROR(__xludf.DUMMYFUNCTION("""COMPUTED_VALUE"""),254276.0)</f>
        <v>254276</v>
      </c>
      <c r="O118" s="235">
        <f>IFERROR(__xludf.DUMMYFUNCTION("""COMPUTED_VALUE"""),11.0)</f>
        <v>11</v>
      </c>
      <c r="P118" s="235">
        <f>IFERROR(__xludf.DUMMYFUNCTION("""COMPUTED_VALUE"""),2468.0)</f>
        <v>2468</v>
      </c>
      <c r="Q118" s="235">
        <f>IFERROR(__xludf.DUMMYFUNCTION("""COMPUTED_VALUE"""),12.0)</f>
        <v>12</v>
      </c>
      <c r="R118" s="235">
        <f>IFERROR(__xludf.DUMMYFUNCTION("""COMPUTED_VALUE"""),2063.0)</f>
        <v>2063</v>
      </c>
      <c r="S118" s="235">
        <f>IFERROR(__xludf.DUMMYFUNCTION("""COMPUTED_VALUE"""),0.0)</f>
        <v>0</v>
      </c>
      <c r="T118" s="235">
        <f>IFERROR(__xludf.DUMMYFUNCTION("""COMPUTED_VALUE"""),333.0)</f>
        <v>333</v>
      </c>
      <c r="U118" s="235">
        <f>IFERROR(__xludf.DUMMYFUNCTION("""COMPUTED_VALUE"""),72.0)</f>
        <v>72</v>
      </c>
      <c r="V118" s="235">
        <f>IFERROR(__xludf.DUMMYFUNCTION("""COMPUTED_VALUE"""),72.0)</f>
        <v>72</v>
      </c>
      <c r="W118" s="235">
        <f>IFERROR(__xludf.DUMMYFUNCTION("""COMPUTED_VALUE"""),11.0)</f>
        <v>11</v>
      </c>
      <c r="X118" s="235">
        <f>IFERROR(__xludf.DUMMYFUNCTION("""COMPUTED_VALUE"""),4.0)</f>
        <v>4</v>
      </c>
      <c r="Y118" s="235">
        <f>IFERROR(__xludf.DUMMYFUNCTION("""COMPUTED_VALUE"""),1.0)</f>
        <v>1</v>
      </c>
      <c r="Z118" s="235">
        <f>IFERROR(__xludf.DUMMYFUNCTION("""COMPUTED_VALUE"""),1063.0)</f>
        <v>1063</v>
      </c>
    </row>
    <row r="119">
      <c r="A119" s="234">
        <f>IFERROR(__xludf.DUMMYFUNCTION("""COMPUTED_VALUE"""),44066.0)</f>
        <v>44066</v>
      </c>
      <c r="B119" s="235">
        <f>IFERROR(__xludf.DUMMYFUNCTION("""COMPUTED_VALUE"""),71.0)</f>
        <v>71</v>
      </c>
      <c r="C119" s="235">
        <f>IFERROR(__xludf.DUMMYFUNCTION("""COMPUTED_VALUE"""),106.0)</f>
        <v>106</v>
      </c>
      <c r="D119" s="235">
        <f>IFERROR(__xludf.DUMMYFUNCTION("""COMPUTED_VALUE"""),30676.0)</f>
        <v>30676</v>
      </c>
      <c r="E119" s="235">
        <f>IFERROR(__xludf.DUMMYFUNCTION("""COMPUTED_VALUE"""),4375.0)</f>
        <v>4375</v>
      </c>
      <c r="F119" s="173">
        <f>IFERROR(__xludf.DUMMYFUNCTION("""COMPUTED_VALUE"""),453843.0)</f>
        <v>453843</v>
      </c>
      <c r="G119" s="173">
        <f>IFERROR(__xludf.DUMMYFUNCTION("""COMPUTED_VALUE"""),4446.0)</f>
        <v>4446</v>
      </c>
      <c r="H119" s="173">
        <f>IFERROR(__xludf.DUMMYFUNCTION("""COMPUTED_VALUE"""),484519.0)</f>
        <v>484519</v>
      </c>
      <c r="I119" s="235">
        <f>IFERROR(__xludf.DUMMYFUNCTION("""COMPUTED_VALUE"""),56.0)</f>
        <v>56</v>
      </c>
      <c r="J119" s="235">
        <f>IFERROR(__xludf.DUMMYFUNCTION("""COMPUTED_VALUE"""),88.0)</f>
        <v>88</v>
      </c>
      <c r="K119" s="235">
        <f>IFERROR(__xludf.DUMMYFUNCTION("""COMPUTED_VALUE"""),21327.0)</f>
        <v>21327</v>
      </c>
      <c r="L119" s="235">
        <f>IFERROR(__xludf.DUMMYFUNCTION("""COMPUTED_VALUE"""),2457.0)</f>
        <v>2457</v>
      </c>
      <c r="M119" s="235">
        <f>IFERROR(__xludf.DUMMYFUNCTION("""COMPUTED_VALUE"""),235462.0)</f>
        <v>235462</v>
      </c>
      <c r="N119" s="235">
        <f>IFERROR(__xludf.DUMMYFUNCTION("""COMPUTED_VALUE"""),256789.0)</f>
        <v>256789</v>
      </c>
      <c r="O119" s="235">
        <f>IFERROR(__xludf.DUMMYFUNCTION("""COMPUTED_VALUE"""),11.0)</f>
        <v>11</v>
      </c>
      <c r="P119" s="235">
        <f>IFERROR(__xludf.DUMMYFUNCTION("""COMPUTED_VALUE"""),2479.0)</f>
        <v>2479</v>
      </c>
      <c r="Q119" s="235">
        <f>IFERROR(__xludf.DUMMYFUNCTION("""COMPUTED_VALUE"""),6.0)</f>
        <v>6</v>
      </c>
      <c r="R119" s="235">
        <f>IFERROR(__xludf.DUMMYFUNCTION("""COMPUTED_VALUE"""),2069.0)</f>
        <v>2069</v>
      </c>
      <c r="S119" s="235">
        <f>IFERROR(__xludf.DUMMYFUNCTION("""COMPUTED_VALUE"""),0.0)</f>
        <v>0</v>
      </c>
      <c r="T119" s="235">
        <f>IFERROR(__xludf.DUMMYFUNCTION("""COMPUTED_VALUE"""),333.0)</f>
        <v>333</v>
      </c>
      <c r="U119" s="235">
        <f>IFERROR(__xludf.DUMMYFUNCTION("""COMPUTED_VALUE"""),77.0)</f>
        <v>77</v>
      </c>
      <c r="V119" s="235">
        <f>IFERROR(__xludf.DUMMYFUNCTION("""COMPUTED_VALUE"""),74.0)</f>
        <v>74</v>
      </c>
      <c r="W119" s="235">
        <f>IFERROR(__xludf.DUMMYFUNCTION("""COMPUTED_VALUE"""),12.0)</f>
        <v>12</v>
      </c>
      <c r="X119" s="235">
        <f>IFERROR(__xludf.DUMMYFUNCTION("""COMPUTED_VALUE"""),2.0)</f>
        <v>2</v>
      </c>
      <c r="Y119" s="235">
        <f>IFERROR(__xludf.DUMMYFUNCTION("""COMPUTED_VALUE"""),1.0)</f>
        <v>1</v>
      </c>
      <c r="Z119" s="235">
        <f>IFERROR(__xludf.DUMMYFUNCTION("""COMPUTED_VALUE"""),1064.0)</f>
        <v>1064</v>
      </c>
    </row>
    <row r="120">
      <c r="A120" s="234">
        <f>IFERROR(__xludf.DUMMYFUNCTION("""COMPUTED_VALUE"""),44067.0)</f>
        <v>44067</v>
      </c>
      <c r="B120" s="235">
        <f>IFERROR(__xludf.DUMMYFUNCTION("""COMPUTED_VALUE"""),105.0)</f>
        <v>105</v>
      </c>
      <c r="C120" s="235">
        <f>IFERROR(__xludf.DUMMYFUNCTION("""COMPUTED_VALUE"""),91.0)</f>
        <v>91</v>
      </c>
      <c r="D120" s="235">
        <f>IFERROR(__xludf.DUMMYFUNCTION("""COMPUTED_VALUE"""),30781.0)</f>
        <v>30781</v>
      </c>
      <c r="E120" s="235">
        <f>IFERROR(__xludf.DUMMYFUNCTION("""COMPUTED_VALUE"""),5784.0)</f>
        <v>5784</v>
      </c>
      <c r="F120" s="173">
        <f>IFERROR(__xludf.DUMMYFUNCTION("""COMPUTED_VALUE"""),459627.0)</f>
        <v>459627</v>
      </c>
      <c r="G120" s="173">
        <f>IFERROR(__xludf.DUMMYFUNCTION("""COMPUTED_VALUE"""),5889.0)</f>
        <v>5889</v>
      </c>
      <c r="H120" s="173">
        <f>IFERROR(__xludf.DUMMYFUNCTION("""COMPUTED_VALUE"""),490408.0)</f>
        <v>490408</v>
      </c>
      <c r="I120" s="235">
        <f>IFERROR(__xludf.DUMMYFUNCTION("""COMPUTED_VALUE"""),77.0)</f>
        <v>77</v>
      </c>
      <c r="J120" s="235">
        <f>IFERROR(__xludf.DUMMYFUNCTION("""COMPUTED_VALUE"""),72.0)</f>
        <v>72</v>
      </c>
      <c r="K120" s="235">
        <f>IFERROR(__xludf.DUMMYFUNCTION("""COMPUTED_VALUE"""),21404.0)</f>
        <v>21404</v>
      </c>
      <c r="L120" s="235">
        <f>IFERROR(__xludf.DUMMYFUNCTION("""COMPUTED_VALUE"""),3128.0)</f>
        <v>3128</v>
      </c>
      <c r="M120" s="235">
        <f>IFERROR(__xludf.DUMMYFUNCTION("""COMPUTED_VALUE"""),238590.0)</f>
        <v>238590</v>
      </c>
      <c r="N120" s="235">
        <f>IFERROR(__xludf.DUMMYFUNCTION("""COMPUTED_VALUE"""),259994.0)</f>
        <v>259994</v>
      </c>
      <c r="O120" s="235">
        <f>IFERROR(__xludf.DUMMYFUNCTION("""COMPUTED_VALUE"""),7.0)</f>
        <v>7</v>
      </c>
      <c r="P120" s="235">
        <f>IFERROR(__xludf.DUMMYFUNCTION("""COMPUTED_VALUE"""),2486.0)</f>
        <v>2486</v>
      </c>
      <c r="Q120" s="235">
        <f>IFERROR(__xludf.DUMMYFUNCTION("""COMPUTED_VALUE"""),10.0)</f>
        <v>10</v>
      </c>
      <c r="R120" s="235">
        <f>IFERROR(__xludf.DUMMYFUNCTION("""COMPUTED_VALUE"""),2079.0)</f>
        <v>2079</v>
      </c>
      <c r="S120" s="235">
        <f>IFERROR(__xludf.DUMMYFUNCTION("""COMPUTED_VALUE"""),1.0)</f>
        <v>1</v>
      </c>
      <c r="T120" s="235">
        <f>IFERROR(__xludf.DUMMYFUNCTION("""COMPUTED_VALUE"""),334.0)</f>
        <v>334</v>
      </c>
      <c r="U120" s="235">
        <f>IFERROR(__xludf.DUMMYFUNCTION("""COMPUTED_VALUE"""),73.0)</f>
        <v>73</v>
      </c>
      <c r="V120" s="235">
        <f>IFERROR(__xludf.DUMMYFUNCTION("""COMPUTED_VALUE"""),74.0)</f>
        <v>74</v>
      </c>
      <c r="W120" s="235">
        <f>IFERROR(__xludf.DUMMYFUNCTION("""COMPUTED_VALUE"""),14.0)</f>
        <v>14</v>
      </c>
      <c r="X120" s="235">
        <f>IFERROR(__xludf.DUMMYFUNCTION("""COMPUTED_VALUE"""),4.0)</f>
        <v>4</v>
      </c>
      <c r="Y120" s="235">
        <f>IFERROR(__xludf.DUMMYFUNCTION("""COMPUTED_VALUE"""),1.0)</f>
        <v>1</v>
      </c>
      <c r="Z120" s="235">
        <f>IFERROR(__xludf.DUMMYFUNCTION("""COMPUTED_VALUE"""),1065.0)</f>
        <v>1065</v>
      </c>
    </row>
    <row r="121">
      <c r="A121" s="234">
        <f>IFERROR(__xludf.DUMMYFUNCTION("""COMPUTED_VALUE"""),44068.0)</f>
        <v>44068</v>
      </c>
      <c r="B121" s="235">
        <f>IFERROR(__xludf.DUMMYFUNCTION("""COMPUTED_VALUE"""),108.0)</f>
        <v>108</v>
      </c>
      <c r="C121" s="235">
        <f>IFERROR(__xludf.DUMMYFUNCTION("""COMPUTED_VALUE"""),95.0)</f>
        <v>95</v>
      </c>
      <c r="D121" s="235">
        <f>IFERROR(__xludf.DUMMYFUNCTION("""COMPUTED_VALUE"""),30889.0)</f>
        <v>30889</v>
      </c>
      <c r="E121" s="235">
        <f>IFERROR(__xludf.DUMMYFUNCTION("""COMPUTED_VALUE"""),4764.0)</f>
        <v>4764</v>
      </c>
      <c r="F121" s="173">
        <f>IFERROR(__xludf.DUMMYFUNCTION("""COMPUTED_VALUE"""),464391.0)</f>
        <v>464391</v>
      </c>
      <c r="G121" s="173">
        <f>IFERROR(__xludf.DUMMYFUNCTION("""COMPUTED_VALUE"""),4872.0)</f>
        <v>4872</v>
      </c>
      <c r="H121" s="173">
        <f>IFERROR(__xludf.DUMMYFUNCTION("""COMPUTED_VALUE"""),495280.0)</f>
        <v>495280</v>
      </c>
      <c r="I121" s="235">
        <f>IFERROR(__xludf.DUMMYFUNCTION("""COMPUTED_VALUE"""),92.0)</f>
        <v>92</v>
      </c>
      <c r="J121" s="235">
        <f>IFERROR(__xludf.DUMMYFUNCTION("""COMPUTED_VALUE"""),75.0)</f>
        <v>75</v>
      </c>
      <c r="K121" s="235">
        <f>IFERROR(__xludf.DUMMYFUNCTION("""COMPUTED_VALUE"""),21496.0)</f>
        <v>21496</v>
      </c>
      <c r="L121" s="235">
        <f>IFERROR(__xludf.DUMMYFUNCTION("""COMPUTED_VALUE"""),2273.0)</f>
        <v>2273</v>
      </c>
      <c r="M121" s="235">
        <f>IFERROR(__xludf.DUMMYFUNCTION("""COMPUTED_VALUE"""),240863.0)</f>
        <v>240863</v>
      </c>
      <c r="N121" s="235">
        <f>IFERROR(__xludf.DUMMYFUNCTION("""COMPUTED_VALUE"""),262359.0)</f>
        <v>262359</v>
      </c>
      <c r="O121" s="235">
        <f>IFERROR(__xludf.DUMMYFUNCTION("""COMPUTED_VALUE"""),10.0)</f>
        <v>10</v>
      </c>
      <c r="P121" s="235">
        <f>IFERROR(__xludf.DUMMYFUNCTION("""COMPUTED_VALUE"""),2496.0)</f>
        <v>2496</v>
      </c>
      <c r="Q121" s="235">
        <f>IFERROR(__xludf.DUMMYFUNCTION("""COMPUTED_VALUE"""),4.0)</f>
        <v>4</v>
      </c>
      <c r="R121" s="235">
        <f>IFERROR(__xludf.DUMMYFUNCTION("""COMPUTED_VALUE"""),2083.0)</f>
        <v>2083</v>
      </c>
      <c r="S121" s="235">
        <f>IFERROR(__xludf.DUMMYFUNCTION("""COMPUTED_VALUE"""),1.0)</f>
        <v>1</v>
      </c>
      <c r="T121" s="235">
        <f>IFERROR(__xludf.DUMMYFUNCTION("""COMPUTED_VALUE"""),335.0)</f>
        <v>335</v>
      </c>
      <c r="U121" s="235">
        <f>IFERROR(__xludf.DUMMYFUNCTION("""COMPUTED_VALUE"""),78.0)</f>
        <v>78</v>
      </c>
      <c r="V121" s="235">
        <f>IFERROR(__xludf.DUMMYFUNCTION("""COMPUTED_VALUE"""),76.0)</f>
        <v>76</v>
      </c>
      <c r="W121" s="235">
        <f>IFERROR(__xludf.DUMMYFUNCTION("""COMPUTED_VALUE"""),12.0)</f>
        <v>12</v>
      </c>
      <c r="X121" s="235">
        <f>IFERROR(__xludf.DUMMYFUNCTION("""COMPUTED_VALUE"""),4.0)</f>
        <v>4</v>
      </c>
      <c r="Y121" s="235">
        <f>IFERROR(__xludf.DUMMYFUNCTION("""COMPUTED_VALUE"""),1.0)</f>
        <v>1</v>
      </c>
      <c r="Z121" s="235">
        <f>IFERROR(__xludf.DUMMYFUNCTION("""COMPUTED_VALUE"""),1066.0)</f>
        <v>1066</v>
      </c>
    </row>
    <row r="122">
      <c r="A122" s="234">
        <f>IFERROR(__xludf.DUMMYFUNCTION("""COMPUTED_VALUE"""),44069.0)</f>
        <v>44069</v>
      </c>
      <c r="B122" s="235">
        <f>IFERROR(__xludf.DUMMYFUNCTION("""COMPUTED_VALUE"""),170.0)</f>
        <v>170</v>
      </c>
      <c r="C122" s="235">
        <f>IFERROR(__xludf.DUMMYFUNCTION("""COMPUTED_VALUE"""),128.0)</f>
        <v>128</v>
      </c>
      <c r="D122" s="235">
        <f>IFERROR(__xludf.DUMMYFUNCTION("""COMPUTED_VALUE"""),31059.0)</f>
        <v>31059</v>
      </c>
      <c r="E122" s="235">
        <f>IFERROR(__xludf.DUMMYFUNCTION("""COMPUTED_VALUE"""),9482.0)</f>
        <v>9482</v>
      </c>
      <c r="F122" s="173">
        <f>IFERROR(__xludf.DUMMYFUNCTION("""COMPUTED_VALUE"""),473873.0)</f>
        <v>473873</v>
      </c>
      <c r="G122" s="173">
        <f>IFERROR(__xludf.DUMMYFUNCTION("""COMPUTED_VALUE"""),9652.0)</f>
        <v>9652</v>
      </c>
      <c r="H122" s="173">
        <f>IFERROR(__xludf.DUMMYFUNCTION("""COMPUTED_VALUE"""),504932.0)</f>
        <v>504932</v>
      </c>
      <c r="I122" s="235">
        <f>IFERROR(__xludf.DUMMYFUNCTION("""COMPUTED_VALUE"""),127.0)</f>
        <v>127</v>
      </c>
      <c r="J122" s="235">
        <f>IFERROR(__xludf.DUMMYFUNCTION("""COMPUTED_VALUE"""),99.0)</f>
        <v>99</v>
      </c>
      <c r="K122" s="235">
        <f>IFERROR(__xludf.DUMMYFUNCTION("""COMPUTED_VALUE"""),21623.0)</f>
        <v>21623</v>
      </c>
      <c r="L122" s="235">
        <f>IFERROR(__xludf.DUMMYFUNCTION("""COMPUTED_VALUE"""),3064.0)</f>
        <v>3064</v>
      </c>
      <c r="M122" s="235">
        <f>IFERROR(__xludf.DUMMYFUNCTION("""COMPUTED_VALUE"""),243927.0)</f>
        <v>243927</v>
      </c>
      <c r="N122" s="235">
        <f>IFERROR(__xludf.DUMMYFUNCTION("""COMPUTED_VALUE"""),265550.0)</f>
        <v>265550</v>
      </c>
      <c r="O122" s="235">
        <f>IFERROR(__xludf.DUMMYFUNCTION("""COMPUTED_VALUE"""),4.0)</f>
        <v>4</v>
      </c>
      <c r="P122" s="235">
        <f>IFERROR(__xludf.DUMMYFUNCTION("""COMPUTED_VALUE"""),2500.0)</f>
        <v>2500</v>
      </c>
      <c r="Q122" s="235">
        <f>IFERROR(__xludf.DUMMYFUNCTION("""COMPUTED_VALUE"""),8.0)</f>
        <v>8</v>
      </c>
      <c r="R122" s="235">
        <f>IFERROR(__xludf.DUMMYFUNCTION("""COMPUTED_VALUE"""),2091.0)</f>
        <v>2091</v>
      </c>
      <c r="S122" s="235">
        <f>IFERROR(__xludf.DUMMYFUNCTION("""COMPUTED_VALUE"""),0.0)</f>
        <v>0</v>
      </c>
      <c r="T122" s="235">
        <f>IFERROR(__xludf.DUMMYFUNCTION("""COMPUTED_VALUE"""),335.0)</f>
        <v>335</v>
      </c>
      <c r="U122" s="235">
        <f>IFERROR(__xludf.DUMMYFUNCTION("""COMPUTED_VALUE"""),74.0)</f>
        <v>74</v>
      </c>
      <c r="V122" s="235">
        <f>IFERROR(__xludf.DUMMYFUNCTION("""COMPUTED_VALUE"""),75.0)</f>
        <v>75</v>
      </c>
      <c r="W122" s="235">
        <f>IFERROR(__xludf.DUMMYFUNCTION("""COMPUTED_VALUE"""),10.0)</f>
        <v>10</v>
      </c>
      <c r="X122" s="235">
        <f>IFERROR(__xludf.DUMMYFUNCTION("""COMPUTED_VALUE"""),5.0)</f>
        <v>5</v>
      </c>
      <c r="Y122" s="235">
        <f>IFERROR(__xludf.DUMMYFUNCTION("""COMPUTED_VALUE"""),1.0)</f>
        <v>1</v>
      </c>
      <c r="Z122" s="235">
        <f>IFERROR(__xludf.DUMMYFUNCTION("""COMPUTED_VALUE"""),1067.0)</f>
        <v>1067</v>
      </c>
    </row>
    <row r="123">
      <c r="A123" s="234">
        <f>IFERROR(__xludf.DUMMYFUNCTION("""COMPUTED_VALUE"""),44070.0)</f>
        <v>44070</v>
      </c>
      <c r="B123" s="235">
        <f>IFERROR(__xludf.DUMMYFUNCTION("""COMPUTED_VALUE"""),92.0)</f>
        <v>92</v>
      </c>
      <c r="C123" s="235">
        <f>IFERROR(__xludf.DUMMYFUNCTION("""COMPUTED_VALUE"""),123.0)</f>
        <v>123</v>
      </c>
      <c r="D123" s="235">
        <f>IFERROR(__xludf.DUMMYFUNCTION("""COMPUTED_VALUE"""),31151.0)</f>
        <v>31151</v>
      </c>
      <c r="E123" s="235">
        <f>IFERROR(__xludf.DUMMYFUNCTION("""COMPUTED_VALUE"""),8565.0)</f>
        <v>8565</v>
      </c>
      <c r="F123" s="173">
        <f>IFERROR(__xludf.DUMMYFUNCTION("""COMPUTED_VALUE"""),482438.0)</f>
        <v>482438</v>
      </c>
      <c r="G123" s="173">
        <f>IFERROR(__xludf.DUMMYFUNCTION("""COMPUTED_VALUE"""),8657.0)</f>
        <v>8657</v>
      </c>
      <c r="H123" s="173">
        <f>IFERROR(__xludf.DUMMYFUNCTION("""COMPUTED_VALUE"""),513589.0)</f>
        <v>513589</v>
      </c>
      <c r="I123" s="235">
        <f>IFERROR(__xludf.DUMMYFUNCTION("""COMPUTED_VALUE"""),70.0)</f>
        <v>70</v>
      </c>
      <c r="J123" s="235">
        <f>IFERROR(__xludf.DUMMYFUNCTION("""COMPUTED_VALUE"""),96.0)</f>
        <v>96</v>
      </c>
      <c r="K123" s="235">
        <f>IFERROR(__xludf.DUMMYFUNCTION("""COMPUTED_VALUE"""),21693.0)</f>
        <v>21693</v>
      </c>
      <c r="L123" s="235">
        <f>IFERROR(__xludf.DUMMYFUNCTION("""COMPUTED_VALUE"""),3129.0)</f>
        <v>3129</v>
      </c>
      <c r="M123" s="235">
        <f>IFERROR(__xludf.DUMMYFUNCTION("""COMPUTED_VALUE"""),247056.0)</f>
        <v>247056</v>
      </c>
      <c r="N123" s="235">
        <f>IFERROR(__xludf.DUMMYFUNCTION("""COMPUTED_VALUE"""),268749.0)</f>
        <v>268749</v>
      </c>
      <c r="O123" s="235">
        <f>IFERROR(__xludf.DUMMYFUNCTION("""COMPUTED_VALUE"""),6.0)</f>
        <v>6</v>
      </c>
      <c r="P123" s="235">
        <f>IFERROR(__xludf.DUMMYFUNCTION("""COMPUTED_VALUE"""),2506.0)</f>
        <v>2506</v>
      </c>
      <c r="Q123" s="235">
        <f>IFERROR(__xludf.DUMMYFUNCTION("""COMPUTED_VALUE"""),13.0)</f>
        <v>13</v>
      </c>
      <c r="R123" s="235">
        <f>IFERROR(__xludf.DUMMYFUNCTION("""COMPUTED_VALUE"""),2104.0)</f>
        <v>2104</v>
      </c>
      <c r="S123" s="235">
        <f>IFERROR(__xludf.DUMMYFUNCTION("""COMPUTED_VALUE"""),1.0)</f>
        <v>1</v>
      </c>
      <c r="T123" s="235">
        <f>IFERROR(__xludf.DUMMYFUNCTION("""COMPUTED_VALUE"""),336.0)</f>
        <v>336</v>
      </c>
      <c r="U123" s="235">
        <f>IFERROR(__xludf.DUMMYFUNCTION("""COMPUTED_VALUE"""),66.0)</f>
        <v>66</v>
      </c>
      <c r="V123" s="235">
        <f>IFERROR(__xludf.DUMMYFUNCTION("""COMPUTED_VALUE"""),73.0)</f>
        <v>73</v>
      </c>
      <c r="W123" s="235">
        <f>IFERROR(__xludf.DUMMYFUNCTION("""COMPUTED_VALUE"""),7.0)</f>
        <v>7</v>
      </c>
      <c r="X123" s="235">
        <f>IFERROR(__xludf.DUMMYFUNCTION("""COMPUTED_VALUE"""),5.0)</f>
        <v>5</v>
      </c>
      <c r="Y123" s="235">
        <f>IFERROR(__xludf.DUMMYFUNCTION("""COMPUTED_VALUE"""),2.0)</f>
        <v>2</v>
      </c>
      <c r="Z123" s="235">
        <f>IFERROR(__xludf.DUMMYFUNCTION("""COMPUTED_VALUE"""),1069.0)</f>
        <v>1069</v>
      </c>
    </row>
    <row r="124">
      <c r="A124" s="234">
        <f>IFERROR(__xludf.DUMMYFUNCTION("""COMPUTED_VALUE"""),44071.0)</f>
        <v>44071</v>
      </c>
      <c r="B124" s="235">
        <f>IFERROR(__xludf.DUMMYFUNCTION("""COMPUTED_VALUE"""),113.0)</f>
        <v>113</v>
      </c>
      <c r="C124" s="235">
        <f>IFERROR(__xludf.DUMMYFUNCTION("""COMPUTED_VALUE"""),125.0)</f>
        <v>125</v>
      </c>
      <c r="D124" s="235">
        <f>IFERROR(__xludf.DUMMYFUNCTION("""COMPUTED_VALUE"""),31264.0)</f>
        <v>31264</v>
      </c>
      <c r="E124" s="235">
        <f>IFERROR(__xludf.DUMMYFUNCTION("""COMPUTED_VALUE"""),7994.0)</f>
        <v>7994</v>
      </c>
      <c r="F124" s="173">
        <f>IFERROR(__xludf.DUMMYFUNCTION("""COMPUTED_VALUE"""),490432.0)</f>
        <v>490432</v>
      </c>
      <c r="G124" s="173">
        <f>IFERROR(__xludf.DUMMYFUNCTION("""COMPUTED_VALUE"""),8107.0)</f>
        <v>8107</v>
      </c>
      <c r="H124" s="173">
        <f>IFERROR(__xludf.DUMMYFUNCTION("""COMPUTED_VALUE"""),521696.0)</f>
        <v>521696</v>
      </c>
      <c r="I124" s="235">
        <f>IFERROR(__xludf.DUMMYFUNCTION("""COMPUTED_VALUE"""),87.0)</f>
        <v>87</v>
      </c>
      <c r="J124" s="235">
        <f>IFERROR(__xludf.DUMMYFUNCTION("""COMPUTED_VALUE"""),95.0)</f>
        <v>95</v>
      </c>
      <c r="K124" s="235">
        <f>IFERROR(__xludf.DUMMYFUNCTION("""COMPUTED_VALUE"""),21780.0)</f>
        <v>21780</v>
      </c>
      <c r="L124" s="235">
        <f>IFERROR(__xludf.DUMMYFUNCTION("""COMPUTED_VALUE"""),2411.0)</f>
        <v>2411</v>
      </c>
      <c r="M124" s="235">
        <f>IFERROR(__xludf.DUMMYFUNCTION("""COMPUTED_VALUE"""),249467.0)</f>
        <v>249467</v>
      </c>
      <c r="N124" s="235">
        <f>IFERROR(__xludf.DUMMYFUNCTION("""COMPUTED_VALUE"""),271247.0)</f>
        <v>271247</v>
      </c>
      <c r="O124" s="235">
        <f>IFERROR(__xludf.DUMMYFUNCTION("""COMPUTED_VALUE"""),14.0)</f>
        <v>14</v>
      </c>
      <c r="P124" s="235">
        <f>IFERROR(__xludf.DUMMYFUNCTION("""COMPUTED_VALUE"""),2520.0)</f>
        <v>2520</v>
      </c>
      <c r="Q124" s="235">
        <f>IFERROR(__xludf.DUMMYFUNCTION("""COMPUTED_VALUE"""),4.0)</f>
        <v>4</v>
      </c>
      <c r="R124" s="235">
        <f>IFERROR(__xludf.DUMMYFUNCTION("""COMPUTED_VALUE"""),2108.0)</f>
        <v>2108</v>
      </c>
      <c r="S124" s="235">
        <f>IFERROR(__xludf.DUMMYFUNCTION("""COMPUTED_VALUE"""),0.0)</f>
        <v>0</v>
      </c>
      <c r="T124" s="235">
        <f>IFERROR(__xludf.DUMMYFUNCTION("""COMPUTED_VALUE"""),336.0)</f>
        <v>336</v>
      </c>
      <c r="U124" s="235">
        <f>IFERROR(__xludf.DUMMYFUNCTION("""COMPUTED_VALUE"""),76.0)</f>
        <v>76</v>
      </c>
      <c r="V124" s="235">
        <f>IFERROR(__xludf.DUMMYFUNCTION("""COMPUTED_VALUE"""),72.0)</f>
        <v>72</v>
      </c>
      <c r="W124" s="235">
        <f>IFERROR(__xludf.DUMMYFUNCTION("""COMPUTED_VALUE"""),10.0)</f>
        <v>10</v>
      </c>
      <c r="X124" s="235">
        <f>IFERROR(__xludf.DUMMYFUNCTION("""COMPUTED_VALUE"""),7.0)</f>
        <v>7</v>
      </c>
      <c r="Y124" s="235">
        <f>IFERROR(__xludf.DUMMYFUNCTION("""COMPUTED_VALUE"""),2.0)</f>
        <v>2</v>
      </c>
      <c r="Z124" s="235">
        <f>IFERROR(__xludf.DUMMYFUNCTION("""COMPUTED_VALUE"""),1071.0)</f>
        <v>1071</v>
      </c>
    </row>
    <row r="125">
      <c r="A125" s="234">
        <f>IFERROR(__xludf.DUMMYFUNCTION("""COMPUTED_VALUE"""),44072.0)</f>
        <v>44072</v>
      </c>
      <c r="B125" s="235">
        <f>IFERROR(__xludf.DUMMYFUNCTION("""COMPUTED_VALUE"""),65.0)</f>
        <v>65</v>
      </c>
      <c r="C125" s="235">
        <f>IFERROR(__xludf.DUMMYFUNCTION("""COMPUTED_VALUE"""),90.0)</f>
        <v>90</v>
      </c>
      <c r="D125" s="235">
        <f>IFERROR(__xludf.DUMMYFUNCTION("""COMPUTED_VALUE"""),31329.0)</f>
        <v>31329</v>
      </c>
      <c r="E125" s="235">
        <f>IFERROR(__xludf.DUMMYFUNCTION("""COMPUTED_VALUE"""),5374.0)</f>
        <v>5374</v>
      </c>
      <c r="F125" s="173">
        <f>IFERROR(__xludf.DUMMYFUNCTION("""COMPUTED_VALUE"""),495806.0)</f>
        <v>495806</v>
      </c>
      <c r="G125" s="173">
        <f>IFERROR(__xludf.DUMMYFUNCTION("""COMPUTED_VALUE"""),5439.0)</f>
        <v>5439</v>
      </c>
      <c r="H125" s="173">
        <f>IFERROR(__xludf.DUMMYFUNCTION("""COMPUTED_VALUE"""),527135.0)</f>
        <v>527135</v>
      </c>
      <c r="I125" s="235">
        <f>IFERROR(__xludf.DUMMYFUNCTION("""COMPUTED_VALUE"""),51.0)</f>
        <v>51</v>
      </c>
      <c r="J125" s="235">
        <f>IFERROR(__xludf.DUMMYFUNCTION("""COMPUTED_VALUE"""),69.0)</f>
        <v>69</v>
      </c>
      <c r="K125" s="235">
        <f>IFERROR(__xludf.DUMMYFUNCTION("""COMPUTED_VALUE"""),21831.0)</f>
        <v>21831</v>
      </c>
      <c r="L125" s="235">
        <f>IFERROR(__xludf.DUMMYFUNCTION("""COMPUTED_VALUE"""),1902.0)</f>
        <v>1902</v>
      </c>
      <c r="M125" s="235">
        <f>IFERROR(__xludf.DUMMYFUNCTION("""COMPUTED_VALUE"""),251369.0)</f>
        <v>251369</v>
      </c>
      <c r="N125" s="235">
        <f>IFERROR(__xludf.DUMMYFUNCTION("""COMPUTED_VALUE"""),273200.0)</f>
        <v>273200</v>
      </c>
      <c r="O125" s="235">
        <f>IFERROR(__xludf.DUMMYFUNCTION("""COMPUTED_VALUE"""),6.0)</f>
        <v>6</v>
      </c>
      <c r="P125" s="235">
        <f>IFERROR(__xludf.DUMMYFUNCTION("""COMPUTED_VALUE"""),2526.0)</f>
        <v>2526</v>
      </c>
      <c r="Q125" s="235">
        <f>IFERROR(__xludf.DUMMYFUNCTION("""COMPUTED_VALUE"""),8.0)</f>
        <v>8</v>
      </c>
      <c r="R125" s="235">
        <f>IFERROR(__xludf.DUMMYFUNCTION("""COMPUTED_VALUE"""),2116.0)</f>
        <v>2116</v>
      </c>
      <c r="S125" s="235">
        <f>IFERROR(__xludf.DUMMYFUNCTION("""COMPUTED_VALUE"""),1.0)</f>
        <v>1</v>
      </c>
      <c r="T125" s="235">
        <f>IFERROR(__xludf.DUMMYFUNCTION("""COMPUTED_VALUE"""),337.0)</f>
        <v>337</v>
      </c>
      <c r="U125" s="235">
        <f>IFERROR(__xludf.DUMMYFUNCTION("""COMPUTED_VALUE"""),73.0)</f>
        <v>73</v>
      </c>
      <c r="V125" s="235">
        <f>IFERROR(__xludf.DUMMYFUNCTION("""COMPUTED_VALUE"""),72.0)</f>
        <v>72</v>
      </c>
      <c r="W125" s="235">
        <f>IFERROR(__xludf.DUMMYFUNCTION("""COMPUTED_VALUE"""),11.0)</f>
        <v>11</v>
      </c>
      <c r="X125" s="235">
        <f>IFERROR(__xludf.DUMMYFUNCTION("""COMPUTED_VALUE"""),6.0)</f>
        <v>6</v>
      </c>
      <c r="Y125" s="235">
        <f>IFERROR(__xludf.DUMMYFUNCTION("""COMPUTED_VALUE"""),2.0)</f>
        <v>2</v>
      </c>
      <c r="Z125" s="235">
        <f>IFERROR(__xludf.DUMMYFUNCTION("""COMPUTED_VALUE"""),1073.0)</f>
        <v>1073</v>
      </c>
    </row>
    <row r="126">
      <c r="A126" s="234">
        <f>IFERROR(__xludf.DUMMYFUNCTION("""COMPUTED_VALUE"""),44073.0)</f>
        <v>44073</v>
      </c>
      <c r="B126" s="235">
        <f>IFERROR(__xludf.DUMMYFUNCTION("""COMPUTED_VALUE"""),66.0)</f>
        <v>66</v>
      </c>
      <c r="C126" s="235">
        <f>IFERROR(__xludf.DUMMYFUNCTION("""COMPUTED_VALUE"""),81.0)</f>
        <v>81</v>
      </c>
      <c r="D126" s="235">
        <f>IFERROR(__xludf.DUMMYFUNCTION("""COMPUTED_VALUE"""),31395.0)</f>
        <v>31395</v>
      </c>
      <c r="E126" s="235">
        <f>IFERROR(__xludf.DUMMYFUNCTION("""COMPUTED_VALUE"""),4323.0)</f>
        <v>4323</v>
      </c>
      <c r="F126" s="173">
        <f>IFERROR(__xludf.DUMMYFUNCTION("""COMPUTED_VALUE"""),500129.0)</f>
        <v>500129</v>
      </c>
      <c r="G126" s="173">
        <f>IFERROR(__xludf.DUMMYFUNCTION("""COMPUTED_VALUE"""),4389.0)</f>
        <v>4389</v>
      </c>
      <c r="H126" s="173">
        <f>IFERROR(__xludf.DUMMYFUNCTION("""COMPUTED_VALUE"""),531524.0)</f>
        <v>531524</v>
      </c>
      <c r="I126" s="235">
        <f>IFERROR(__xludf.DUMMYFUNCTION("""COMPUTED_VALUE"""),48.0)</f>
        <v>48</v>
      </c>
      <c r="J126" s="235">
        <f>IFERROR(__xludf.DUMMYFUNCTION("""COMPUTED_VALUE"""),62.0)</f>
        <v>62</v>
      </c>
      <c r="K126" s="235">
        <f>IFERROR(__xludf.DUMMYFUNCTION("""COMPUTED_VALUE"""),21879.0)</f>
        <v>21879</v>
      </c>
      <c r="L126" s="235">
        <f>IFERROR(__xludf.DUMMYFUNCTION("""COMPUTED_VALUE"""),1978.0)</f>
        <v>1978</v>
      </c>
      <c r="M126" s="235">
        <f>IFERROR(__xludf.DUMMYFUNCTION("""COMPUTED_VALUE"""),253347.0)</f>
        <v>253347</v>
      </c>
      <c r="N126" s="235">
        <f>IFERROR(__xludf.DUMMYFUNCTION("""COMPUTED_VALUE"""),275226.0)</f>
        <v>275226</v>
      </c>
      <c r="O126" s="235">
        <f>IFERROR(__xludf.DUMMYFUNCTION("""COMPUTED_VALUE"""),7.0)</f>
        <v>7</v>
      </c>
      <c r="P126" s="235">
        <f>IFERROR(__xludf.DUMMYFUNCTION("""COMPUTED_VALUE"""),2533.0)</f>
        <v>2533</v>
      </c>
      <c r="Q126" s="235">
        <f>IFERROR(__xludf.DUMMYFUNCTION("""COMPUTED_VALUE"""),4.0)</f>
        <v>4</v>
      </c>
      <c r="R126" s="235">
        <f>IFERROR(__xludf.DUMMYFUNCTION("""COMPUTED_VALUE"""),2120.0)</f>
        <v>2120</v>
      </c>
      <c r="S126" s="235">
        <f>IFERROR(__xludf.DUMMYFUNCTION("""COMPUTED_VALUE"""),0.0)</f>
        <v>0</v>
      </c>
      <c r="T126" s="235">
        <f>IFERROR(__xludf.DUMMYFUNCTION("""COMPUTED_VALUE"""),337.0)</f>
        <v>337</v>
      </c>
      <c r="U126" s="235">
        <f>IFERROR(__xludf.DUMMYFUNCTION("""COMPUTED_VALUE"""),76.0)</f>
        <v>76</v>
      </c>
      <c r="V126" s="235">
        <f>IFERROR(__xludf.DUMMYFUNCTION("""COMPUTED_VALUE"""),75.0)</f>
        <v>75</v>
      </c>
      <c r="W126" s="235">
        <f>IFERROR(__xludf.DUMMYFUNCTION("""COMPUTED_VALUE"""),9.0)</f>
        <v>9</v>
      </c>
      <c r="X126" s="235">
        <f>IFERROR(__xludf.DUMMYFUNCTION("""COMPUTED_VALUE"""),5.0)</f>
        <v>5</v>
      </c>
      <c r="Y126" s="235">
        <f>IFERROR(__xludf.DUMMYFUNCTION("""COMPUTED_VALUE"""),2.0)</f>
        <v>2</v>
      </c>
      <c r="Z126" s="235">
        <f>IFERROR(__xludf.DUMMYFUNCTION("""COMPUTED_VALUE"""),1075.0)</f>
        <v>1075</v>
      </c>
    </row>
    <row r="127">
      <c r="A127" s="234">
        <f>IFERROR(__xludf.DUMMYFUNCTION("""COMPUTED_VALUE"""),44074.0)</f>
        <v>44074</v>
      </c>
      <c r="B127" s="235">
        <f>IFERROR(__xludf.DUMMYFUNCTION("""COMPUTED_VALUE"""),105.0)</f>
        <v>105</v>
      </c>
      <c r="C127" s="235">
        <f>IFERROR(__xludf.DUMMYFUNCTION("""COMPUTED_VALUE"""),79.0)</f>
        <v>79</v>
      </c>
      <c r="D127" s="235">
        <f>IFERROR(__xludf.DUMMYFUNCTION("""COMPUTED_VALUE"""),31500.0)</f>
        <v>31500</v>
      </c>
      <c r="E127" s="235">
        <f>IFERROR(__xludf.DUMMYFUNCTION("""COMPUTED_VALUE"""),4863.0)</f>
        <v>4863</v>
      </c>
      <c r="F127" s="173">
        <f>IFERROR(__xludf.DUMMYFUNCTION("""COMPUTED_VALUE"""),504992.0)</f>
        <v>504992</v>
      </c>
      <c r="G127" s="173">
        <f>IFERROR(__xludf.DUMMYFUNCTION("""COMPUTED_VALUE"""),4968.0)</f>
        <v>4968</v>
      </c>
      <c r="H127" s="173">
        <f>IFERROR(__xludf.DUMMYFUNCTION("""COMPUTED_VALUE"""),536492.0)</f>
        <v>536492</v>
      </c>
      <c r="I127" s="235">
        <f>IFERROR(__xludf.DUMMYFUNCTION("""COMPUTED_VALUE"""),81.0)</f>
        <v>81</v>
      </c>
      <c r="J127" s="235">
        <f>IFERROR(__xludf.DUMMYFUNCTION("""COMPUTED_VALUE"""),60.0)</f>
        <v>60</v>
      </c>
      <c r="K127" s="235">
        <f>IFERROR(__xludf.DUMMYFUNCTION("""COMPUTED_VALUE"""),21960.0)</f>
        <v>21960</v>
      </c>
      <c r="L127" s="235">
        <f>IFERROR(__xludf.DUMMYFUNCTION("""COMPUTED_VALUE"""),2170.0)</f>
        <v>2170</v>
      </c>
      <c r="M127" s="235">
        <f>IFERROR(__xludf.DUMMYFUNCTION("""COMPUTED_VALUE"""),255517.0)</f>
        <v>255517</v>
      </c>
      <c r="N127" s="235">
        <f>IFERROR(__xludf.DUMMYFUNCTION("""COMPUTED_VALUE"""),277477.0)</f>
        <v>277477</v>
      </c>
      <c r="O127" s="235">
        <f>IFERROR(__xludf.DUMMYFUNCTION("""COMPUTED_VALUE"""),12.0)</f>
        <v>12</v>
      </c>
      <c r="P127" s="235">
        <f>IFERROR(__xludf.DUMMYFUNCTION("""COMPUTED_VALUE"""),2545.0)</f>
        <v>2545</v>
      </c>
      <c r="Q127" s="235">
        <f>IFERROR(__xludf.DUMMYFUNCTION("""COMPUTED_VALUE"""),16.0)</f>
        <v>16</v>
      </c>
      <c r="R127" s="235">
        <f>IFERROR(__xludf.DUMMYFUNCTION("""COMPUTED_VALUE"""),2136.0)</f>
        <v>2136</v>
      </c>
      <c r="S127" s="235">
        <f>IFERROR(__xludf.DUMMYFUNCTION("""COMPUTED_VALUE"""),0.0)</f>
        <v>0</v>
      </c>
      <c r="T127" s="235">
        <f>IFERROR(__xludf.DUMMYFUNCTION("""COMPUTED_VALUE"""),337.0)</f>
        <v>337</v>
      </c>
      <c r="U127" s="235">
        <f>IFERROR(__xludf.DUMMYFUNCTION("""COMPUTED_VALUE"""),72.0)</f>
        <v>72</v>
      </c>
      <c r="V127" s="235">
        <f>IFERROR(__xludf.DUMMYFUNCTION("""COMPUTED_VALUE"""),74.0)</f>
        <v>74</v>
      </c>
      <c r="W127" s="235">
        <f>IFERROR(__xludf.DUMMYFUNCTION("""COMPUTED_VALUE"""),8.0)</f>
        <v>8</v>
      </c>
      <c r="X127" s="235">
        <f>IFERROR(__xludf.DUMMYFUNCTION("""COMPUTED_VALUE"""),4.0)</f>
        <v>4</v>
      </c>
      <c r="Y127" s="235">
        <f>IFERROR(__xludf.DUMMYFUNCTION("""COMPUTED_VALUE"""),1.0)</f>
        <v>1</v>
      </c>
      <c r="Z127" s="235">
        <f>IFERROR(__xludf.DUMMYFUNCTION("""COMPUTED_VALUE"""),1076.0)</f>
        <v>1076</v>
      </c>
    </row>
    <row r="128">
      <c r="A128" s="234">
        <f>IFERROR(__xludf.DUMMYFUNCTION("""COMPUTED_VALUE"""),44075.0)</f>
        <v>44075</v>
      </c>
      <c r="B128" s="235">
        <f>IFERROR(__xludf.DUMMYFUNCTION("""COMPUTED_VALUE"""),98.0)</f>
        <v>98</v>
      </c>
      <c r="C128" s="235">
        <f>IFERROR(__xludf.DUMMYFUNCTION("""COMPUTED_VALUE"""),90.0)</f>
        <v>90</v>
      </c>
      <c r="D128" s="235">
        <f>IFERROR(__xludf.DUMMYFUNCTION("""COMPUTED_VALUE"""),31598.0)</f>
        <v>31598</v>
      </c>
      <c r="E128" s="235">
        <f>IFERROR(__xludf.DUMMYFUNCTION("""COMPUTED_VALUE"""),7109.0)</f>
        <v>7109</v>
      </c>
      <c r="F128" s="173">
        <f>IFERROR(__xludf.DUMMYFUNCTION("""COMPUTED_VALUE"""),512101.0)</f>
        <v>512101</v>
      </c>
      <c r="G128" s="173">
        <f>IFERROR(__xludf.DUMMYFUNCTION("""COMPUTED_VALUE"""),7207.0)</f>
        <v>7207</v>
      </c>
      <c r="H128" s="173">
        <f>IFERROR(__xludf.DUMMYFUNCTION("""COMPUTED_VALUE"""),543699.0)</f>
        <v>543699</v>
      </c>
      <c r="I128" s="235">
        <f>IFERROR(__xludf.DUMMYFUNCTION("""COMPUTED_VALUE"""),66.0)</f>
        <v>66</v>
      </c>
      <c r="J128" s="235">
        <f>IFERROR(__xludf.DUMMYFUNCTION("""COMPUTED_VALUE"""),65.0)</f>
        <v>65</v>
      </c>
      <c r="K128" s="235">
        <f>IFERROR(__xludf.DUMMYFUNCTION("""COMPUTED_VALUE"""),22026.0)</f>
        <v>22026</v>
      </c>
      <c r="L128" s="235">
        <f>IFERROR(__xludf.DUMMYFUNCTION("""COMPUTED_VALUE"""),2361.0)</f>
        <v>2361</v>
      </c>
      <c r="M128" s="235">
        <f>IFERROR(__xludf.DUMMYFUNCTION("""COMPUTED_VALUE"""),257878.0)</f>
        <v>257878</v>
      </c>
      <c r="N128" s="235">
        <f>IFERROR(__xludf.DUMMYFUNCTION("""COMPUTED_VALUE"""),279904.0)</f>
        <v>279904</v>
      </c>
      <c r="O128" s="235">
        <f>IFERROR(__xludf.DUMMYFUNCTION("""COMPUTED_VALUE"""),6.0)</f>
        <v>6</v>
      </c>
      <c r="P128" s="235">
        <f>IFERROR(__xludf.DUMMYFUNCTION("""COMPUTED_VALUE"""),2551.0)</f>
        <v>2551</v>
      </c>
      <c r="Q128" s="235">
        <f>IFERROR(__xludf.DUMMYFUNCTION("""COMPUTED_VALUE"""),9.0)</f>
        <v>9</v>
      </c>
      <c r="R128" s="235">
        <f>IFERROR(__xludf.DUMMYFUNCTION("""COMPUTED_VALUE"""),2145.0)</f>
        <v>2145</v>
      </c>
      <c r="S128" s="235">
        <f>IFERROR(__xludf.DUMMYFUNCTION("""COMPUTED_VALUE"""),1.0)</f>
        <v>1</v>
      </c>
      <c r="T128" s="235">
        <f>IFERROR(__xludf.DUMMYFUNCTION("""COMPUTED_VALUE"""),338.0)</f>
        <v>338</v>
      </c>
      <c r="U128" s="235">
        <f>IFERROR(__xludf.DUMMYFUNCTION("""COMPUTED_VALUE"""),68.0)</f>
        <v>68</v>
      </c>
      <c r="V128" s="235">
        <f>IFERROR(__xludf.DUMMYFUNCTION("""COMPUTED_VALUE"""),72.0)</f>
        <v>72</v>
      </c>
      <c r="W128" s="235">
        <f>IFERROR(__xludf.DUMMYFUNCTION("""COMPUTED_VALUE"""),7.0)</f>
        <v>7</v>
      </c>
      <c r="X128" s="235">
        <f>IFERROR(__xludf.DUMMYFUNCTION("""COMPUTED_VALUE"""),4.0)</f>
        <v>4</v>
      </c>
      <c r="Y128" s="235">
        <f>IFERROR(__xludf.DUMMYFUNCTION("""COMPUTED_VALUE"""),2.0)</f>
        <v>2</v>
      </c>
      <c r="Z128" s="235">
        <f>IFERROR(__xludf.DUMMYFUNCTION("""COMPUTED_VALUE"""),1078.0)</f>
        <v>1078</v>
      </c>
    </row>
    <row r="129">
      <c r="A129" s="234">
        <f>IFERROR(__xludf.DUMMYFUNCTION("""COMPUTED_VALUE"""),44076.0)</f>
        <v>44076</v>
      </c>
      <c r="B129" s="235">
        <f>IFERROR(__xludf.DUMMYFUNCTION("""COMPUTED_VALUE"""),125.0)</f>
        <v>125</v>
      </c>
      <c r="C129" s="235">
        <f>IFERROR(__xludf.DUMMYFUNCTION("""COMPUTED_VALUE"""),109.0)</f>
        <v>109</v>
      </c>
      <c r="D129" s="235">
        <f>IFERROR(__xludf.DUMMYFUNCTION("""COMPUTED_VALUE"""),31723.0)</f>
        <v>31723</v>
      </c>
      <c r="E129" s="235">
        <f>IFERROR(__xludf.DUMMYFUNCTION("""COMPUTED_VALUE"""),10529.0)</f>
        <v>10529</v>
      </c>
      <c r="F129" s="173">
        <f>IFERROR(__xludf.DUMMYFUNCTION("""COMPUTED_VALUE"""),522630.0)</f>
        <v>522630</v>
      </c>
      <c r="G129" s="173">
        <f>IFERROR(__xludf.DUMMYFUNCTION("""COMPUTED_VALUE"""),10654.0)</f>
        <v>10654</v>
      </c>
      <c r="H129" s="173">
        <f>IFERROR(__xludf.DUMMYFUNCTION("""COMPUTED_VALUE"""),554353.0)</f>
        <v>554353</v>
      </c>
      <c r="I129" s="235">
        <f>IFERROR(__xludf.DUMMYFUNCTION("""COMPUTED_VALUE"""),104.0)</f>
        <v>104</v>
      </c>
      <c r="J129" s="235">
        <f>IFERROR(__xludf.DUMMYFUNCTION("""COMPUTED_VALUE"""),84.0)</f>
        <v>84</v>
      </c>
      <c r="K129" s="235">
        <f>IFERROR(__xludf.DUMMYFUNCTION("""COMPUTED_VALUE"""),22130.0)</f>
        <v>22130</v>
      </c>
      <c r="L129" s="235">
        <f>IFERROR(__xludf.DUMMYFUNCTION("""COMPUTED_VALUE"""),3025.0)</f>
        <v>3025</v>
      </c>
      <c r="M129" s="235">
        <f>IFERROR(__xludf.DUMMYFUNCTION("""COMPUTED_VALUE"""),260903.0)</f>
        <v>260903</v>
      </c>
      <c r="N129" s="235">
        <f>IFERROR(__xludf.DUMMYFUNCTION("""COMPUTED_VALUE"""),283033.0)</f>
        <v>283033</v>
      </c>
      <c r="O129" s="235">
        <f>IFERROR(__xludf.DUMMYFUNCTION("""COMPUTED_VALUE"""),9.0)</f>
        <v>9</v>
      </c>
      <c r="P129" s="235">
        <f>IFERROR(__xludf.DUMMYFUNCTION("""COMPUTED_VALUE"""),2560.0)</f>
        <v>2560</v>
      </c>
      <c r="Q129" s="235">
        <f>IFERROR(__xludf.DUMMYFUNCTION("""COMPUTED_VALUE"""),10.0)</f>
        <v>10</v>
      </c>
      <c r="R129" s="235">
        <f>IFERROR(__xludf.DUMMYFUNCTION("""COMPUTED_VALUE"""),2155.0)</f>
        <v>2155</v>
      </c>
      <c r="S129" s="235">
        <f>IFERROR(__xludf.DUMMYFUNCTION("""COMPUTED_VALUE"""),1.0)</f>
        <v>1</v>
      </c>
      <c r="T129" s="235">
        <f>IFERROR(__xludf.DUMMYFUNCTION("""COMPUTED_VALUE"""),339.0)</f>
        <v>339</v>
      </c>
      <c r="U129" s="235">
        <f>IFERROR(__xludf.DUMMYFUNCTION("""COMPUTED_VALUE"""),66.0)</f>
        <v>66</v>
      </c>
      <c r="V129" s="235">
        <f>IFERROR(__xludf.DUMMYFUNCTION("""COMPUTED_VALUE"""),69.0)</f>
        <v>69</v>
      </c>
      <c r="W129" s="235">
        <f>IFERROR(__xludf.DUMMYFUNCTION("""COMPUTED_VALUE"""),8.0)</f>
        <v>8</v>
      </c>
      <c r="X129" s="235">
        <f>IFERROR(__xludf.DUMMYFUNCTION("""COMPUTED_VALUE"""),4.0)</f>
        <v>4</v>
      </c>
      <c r="Y129" s="235">
        <f>IFERROR(__xludf.DUMMYFUNCTION("""COMPUTED_VALUE"""),2.0)</f>
        <v>2</v>
      </c>
      <c r="Z129" s="235">
        <f>IFERROR(__xludf.DUMMYFUNCTION("""COMPUTED_VALUE"""),1080.0)</f>
        <v>1080</v>
      </c>
    </row>
    <row r="130">
      <c r="A130" s="234">
        <f>IFERROR(__xludf.DUMMYFUNCTION("""COMPUTED_VALUE"""),44077.0)</f>
        <v>44077</v>
      </c>
      <c r="B130" s="235">
        <f>IFERROR(__xludf.DUMMYFUNCTION("""COMPUTED_VALUE"""),90.0)</f>
        <v>90</v>
      </c>
      <c r="C130" s="235">
        <f>IFERROR(__xludf.DUMMYFUNCTION("""COMPUTED_VALUE"""),104.0)</f>
        <v>104</v>
      </c>
      <c r="D130" s="235">
        <f>IFERROR(__xludf.DUMMYFUNCTION("""COMPUTED_VALUE"""),31813.0)</f>
        <v>31813</v>
      </c>
      <c r="E130" s="235">
        <f>IFERROR(__xludf.DUMMYFUNCTION("""COMPUTED_VALUE"""),11079.0)</f>
        <v>11079</v>
      </c>
      <c r="F130" s="173">
        <f>IFERROR(__xludf.DUMMYFUNCTION("""COMPUTED_VALUE"""),533709.0)</f>
        <v>533709</v>
      </c>
      <c r="G130" s="173">
        <f>IFERROR(__xludf.DUMMYFUNCTION("""COMPUTED_VALUE"""),11169.0)</f>
        <v>11169</v>
      </c>
      <c r="H130" s="173">
        <f>IFERROR(__xludf.DUMMYFUNCTION("""COMPUTED_VALUE"""),565522.0)</f>
        <v>565522</v>
      </c>
      <c r="I130" s="235">
        <f>IFERROR(__xludf.DUMMYFUNCTION("""COMPUTED_VALUE"""),73.0)</f>
        <v>73</v>
      </c>
      <c r="J130" s="235">
        <f>IFERROR(__xludf.DUMMYFUNCTION("""COMPUTED_VALUE"""),81.0)</f>
        <v>81</v>
      </c>
      <c r="K130" s="235">
        <f>IFERROR(__xludf.DUMMYFUNCTION("""COMPUTED_VALUE"""),22203.0)</f>
        <v>22203</v>
      </c>
      <c r="L130" s="235">
        <f>IFERROR(__xludf.DUMMYFUNCTION("""COMPUTED_VALUE"""),2563.0)</f>
        <v>2563</v>
      </c>
      <c r="M130" s="235">
        <f>IFERROR(__xludf.DUMMYFUNCTION("""COMPUTED_VALUE"""),263466.0)</f>
        <v>263466</v>
      </c>
      <c r="N130" s="235">
        <f>IFERROR(__xludf.DUMMYFUNCTION("""COMPUTED_VALUE"""),285669.0)</f>
        <v>285669</v>
      </c>
      <c r="O130" s="235">
        <f>IFERROR(__xludf.DUMMYFUNCTION("""COMPUTED_VALUE"""),8.0)</f>
        <v>8</v>
      </c>
      <c r="P130" s="235">
        <f>IFERROR(__xludf.DUMMYFUNCTION("""COMPUTED_VALUE"""),2568.0)</f>
        <v>2568</v>
      </c>
      <c r="Q130" s="235">
        <f>IFERROR(__xludf.DUMMYFUNCTION("""COMPUTED_VALUE"""),8.0)</f>
        <v>8</v>
      </c>
      <c r="R130" s="235">
        <f>IFERROR(__xludf.DUMMYFUNCTION("""COMPUTED_VALUE"""),2163.0)</f>
        <v>2163</v>
      </c>
      <c r="S130" s="235">
        <f>IFERROR(__xludf.DUMMYFUNCTION("""COMPUTED_VALUE"""),0.0)</f>
        <v>0</v>
      </c>
      <c r="T130" s="235">
        <f>IFERROR(__xludf.DUMMYFUNCTION("""COMPUTED_VALUE"""),339.0)</f>
        <v>339</v>
      </c>
      <c r="U130" s="235">
        <f>IFERROR(__xludf.DUMMYFUNCTION("""COMPUTED_VALUE"""),66.0)</f>
        <v>66</v>
      </c>
      <c r="V130" s="235">
        <f>IFERROR(__xludf.DUMMYFUNCTION("""COMPUTED_VALUE"""),67.0)</f>
        <v>67</v>
      </c>
      <c r="W130" s="235">
        <f>IFERROR(__xludf.DUMMYFUNCTION("""COMPUTED_VALUE"""),9.0)</f>
        <v>9</v>
      </c>
      <c r="X130" s="235">
        <f>IFERROR(__xludf.DUMMYFUNCTION("""COMPUTED_VALUE"""),4.0)</f>
        <v>4</v>
      </c>
      <c r="Y130" s="235">
        <f>IFERROR(__xludf.DUMMYFUNCTION("""COMPUTED_VALUE"""),3.0)</f>
        <v>3</v>
      </c>
      <c r="Z130" s="235">
        <f>IFERROR(__xludf.DUMMYFUNCTION("""COMPUTED_VALUE"""),1083.0)</f>
        <v>1083</v>
      </c>
    </row>
    <row r="131">
      <c r="A131" s="234">
        <f>IFERROR(__xludf.DUMMYFUNCTION("""COMPUTED_VALUE"""),44078.0)</f>
        <v>44078</v>
      </c>
      <c r="B131" s="235">
        <f>IFERROR(__xludf.DUMMYFUNCTION("""COMPUTED_VALUE"""),103.0)</f>
        <v>103</v>
      </c>
      <c r="C131" s="235">
        <f>IFERROR(__xludf.DUMMYFUNCTION("""COMPUTED_VALUE"""),106.0)</f>
        <v>106</v>
      </c>
      <c r="D131" s="235">
        <f>IFERROR(__xludf.DUMMYFUNCTION("""COMPUTED_VALUE"""),31916.0)</f>
        <v>31916</v>
      </c>
      <c r="E131" s="235">
        <f>IFERROR(__xludf.DUMMYFUNCTION("""COMPUTED_VALUE"""),8963.0)</f>
        <v>8963</v>
      </c>
      <c r="F131" s="173">
        <f>IFERROR(__xludf.DUMMYFUNCTION("""COMPUTED_VALUE"""),542672.0)</f>
        <v>542672</v>
      </c>
      <c r="G131" s="173">
        <f>IFERROR(__xludf.DUMMYFUNCTION("""COMPUTED_VALUE"""),9066.0)</f>
        <v>9066</v>
      </c>
      <c r="H131" s="173">
        <f>IFERROR(__xludf.DUMMYFUNCTION("""COMPUTED_VALUE"""),574588.0)</f>
        <v>574588</v>
      </c>
      <c r="I131" s="235">
        <f>IFERROR(__xludf.DUMMYFUNCTION("""COMPUTED_VALUE"""),83.0)</f>
        <v>83</v>
      </c>
      <c r="J131" s="235">
        <f>IFERROR(__xludf.DUMMYFUNCTION("""COMPUTED_VALUE"""),87.0)</f>
        <v>87</v>
      </c>
      <c r="K131" s="235">
        <f>IFERROR(__xludf.DUMMYFUNCTION("""COMPUTED_VALUE"""),22286.0)</f>
        <v>22286</v>
      </c>
      <c r="L131" s="235">
        <f>IFERROR(__xludf.DUMMYFUNCTION("""COMPUTED_VALUE"""),2359.0)</f>
        <v>2359</v>
      </c>
      <c r="M131" s="235">
        <f>IFERROR(__xludf.DUMMYFUNCTION("""COMPUTED_VALUE"""),265825.0)</f>
        <v>265825</v>
      </c>
      <c r="N131" s="235">
        <f>IFERROR(__xludf.DUMMYFUNCTION("""COMPUTED_VALUE"""),288111.0)</f>
        <v>288111</v>
      </c>
      <c r="O131" s="235">
        <f>IFERROR(__xludf.DUMMYFUNCTION("""COMPUTED_VALUE"""),11.0)</f>
        <v>11</v>
      </c>
      <c r="P131" s="235">
        <f>IFERROR(__xludf.DUMMYFUNCTION("""COMPUTED_VALUE"""),2579.0)</f>
        <v>2579</v>
      </c>
      <c r="Q131" s="235">
        <f>IFERROR(__xludf.DUMMYFUNCTION("""COMPUTED_VALUE"""),4.0)</f>
        <v>4</v>
      </c>
      <c r="R131" s="235">
        <f>IFERROR(__xludf.DUMMYFUNCTION("""COMPUTED_VALUE"""),2167.0)</f>
        <v>2167</v>
      </c>
      <c r="S131" s="235">
        <f>IFERROR(__xludf.DUMMYFUNCTION("""COMPUTED_VALUE"""),0.0)</f>
        <v>0</v>
      </c>
      <c r="T131" s="235">
        <f>IFERROR(__xludf.DUMMYFUNCTION("""COMPUTED_VALUE"""),339.0)</f>
        <v>339</v>
      </c>
      <c r="U131" s="235">
        <f>IFERROR(__xludf.DUMMYFUNCTION("""COMPUTED_VALUE"""),73.0)</f>
        <v>73</v>
      </c>
      <c r="V131" s="235">
        <f>IFERROR(__xludf.DUMMYFUNCTION("""COMPUTED_VALUE"""),68.0)</f>
        <v>68</v>
      </c>
      <c r="W131" s="235">
        <f>IFERROR(__xludf.DUMMYFUNCTION("""COMPUTED_VALUE"""),9.0)</f>
        <v>9</v>
      </c>
      <c r="X131" s="235">
        <f>IFERROR(__xludf.DUMMYFUNCTION("""COMPUTED_VALUE"""),4.0)</f>
        <v>4</v>
      </c>
      <c r="Y131" s="235">
        <f>IFERROR(__xludf.DUMMYFUNCTION("""COMPUTED_VALUE"""),1.0)</f>
        <v>1</v>
      </c>
      <c r="Z131" s="235">
        <f>IFERROR(__xludf.DUMMYFUNCTION("""COMPUTED_VALUE"""),1084.0)</f>
        <v>1084</v>
      </c>
    </row>
    <row r="132">
      <c r="A132" s="234">
        <f>IFERROR(__xludf.DUMMYFUNCTION("""COMPUTED_VALUE"""),44079.0)</f>
        <v>44079</v>
      </c>
      <c r="B132" s="235">
        <f>IFERROR(__xludf.DUMMYFUNCTION("""COMPUTED_VALUE"""),52.0)</f>
        <v>52</v>
      </c>
      <c r="C132" s="235">
        <f>IFERROR(__xludf.DUMMYFUNCTION("""COMPUTED_VALUE"""),82.0)</f>
        <v>82</v>
      </c>
      <c r="D132" s="235">
        <f>IFERROR(__xludf.DUMMYFUNCTION("""COMPUTED_VALUE"""),31968.0)</f>
        <v>31968</v>
      </c>
      <c r="E132" s="235">
        <f>IFERROR(__xludf.DUMMYFUNCTION("""COMPUTED_VALUE"""),6309.0)</f>
        <v>6309</v>
      </c>
      <c r="F132" s="173">
        <f>IFERROR(__xludf.DUMMYFUNCTION("""COMPUTED_VALUE"""),548981.0)</f>
        <v>548981</v>
      </c>
      <c r="G132" s="173">
        <f>IFERROR(__xludf.DUMMYFUNCTION("""COMPUTED_VALUE"""),6361.0)</f>
        <v>6361</v>
      </c>
      <c r="H132" s="173">
        <f>IFERROR(__xludf.DUMMYFUNCTION("""COMPUTED_VALUE"""),580949.0)</f>
        <v>580949</v>
      </c>
      <c r="I132" s="235">
        <f>IFERROR(__xludf.DUMMYFUNCTION("""COMPUTED_VALUE"""),42.0)</f>
        <v>42</v>
      </c>
      <c r="J132" s="235">
        <f>IFERROR(__xludf.DUMMYFUNCTION("""COMPUTED_VALUE"""),66.0)</f>
        <v>66</v>
      </c>
      <c r="K132" s="235">
        <f>IFERROR(__xludf.DUMMYFUNCTION("""COMPUTED_VALUE"""),22328.0)</f>
        <v>22328</v>
      </c>
      <c r="L132" s="235">
        <f>IFERROR(__xludf.DUMMYFUNCTION("""COMPUTED_VALUE"""),1591.0)</f>
        <v>1591</v>
      </c>
      <c r="M132" s="235">
        <f>IFERROR(__xludf.DUMMYFUNCTION("""COMPUTED_VALUE"""),267416.0)</f>
        <v>267416</v>
      </c>
      <c r="N132" s="235">
        <f>IFERROR(__xludf.DUMMYFUNCTION("""COMPUTED_VALUE"""),289744.0)</f>
        <v>289744</v>
      </c>
      <c r="O132" s="235">
        <f>IFERROR(__xludf.DUMMYFUNCTION("""COMPUTED_VALUE"""),6.0)</f>
        <v>6</v>
      </c>
      <c r="P132" s="235">
        <f>IFERROR(__xludf.DUMMYFUNCTION("""COMPUTED_VALUE"""),2585.0)</f>
        <v>2585</v>
      </c>
      <c r="Q132" s="235">
        <f>IFERROR(__xludf.DUMMYFUNCTION("""COMPUTED_VALUE"""),9.0)</f>
        <v>9</v>
      </c>
      <c r="R132" s="235">
        <f>IFERROR(__xludf.DUMMYFUNCTION("""COMPUTED_VALUE"""),2176.0)</f>
        <v>2176</v>
      </c>
      <c r="S132" s="235">
        <f>IFERROR(__xludf.DUMMYFUNCTION("""COMPUTED_VALUE"""),0.0)</f>
        <v>0</v>
      </c>
      <c r="T132" s="235">
        <f>IFERROR(__xludf.DUMMYFUNCTION("""COMPUTED_VALUE"""),339.0)</f>
        <v>339</v>
      </c>
      <c r="U132" s="235">
        <f>IFERROR(__xludf.DUMMYFUNCTION("""COMPUTED_VALUE"""),70.0)</f>
        <v>70</v>
      </c>
      <c r="V132" s="235">
        <f>IFERROR(__xludf.DUMMYFUNCTION("""COMPUTED_VALUE"""),70.0)</f>
        <v>70</v>
      </c>
      <c r="W132" s="235">
        <f>IFERROR(__xludf.DUMMYFUNCTION("""COMPUTED_VALUE"""),8.0)</f>
        <v>8</v>
      </c>
      <c r="X132" s="235">
        <f>IFERROR(__xludf.DUMMYFUNCTION("""COMPUTED_VALUE"""),3.0)</f>
        <v>3</v>
      </c>
      <c r="Y132" s="235">
        <f>IFERROR(__xludf.DUMMYFUNCTION("""COMPUTED_VALUE"""),1.0)</f>
        <v>1</v>
      </c>
      <c r="Z132" s="235">
        <f>IFERROR(__xludf.DUMMYFUNCTION("""COMPUTED_VALUE"""),1085.0)</f>
        <v>1085</v>
      </c>
    </row>
    <row r="133">
      <c r="A133" s="234">
        <f>IFERROR(__xludf.DUMMYFUNCTION("""COMPUTED_VALUE"""),44080.0)</f>
        <v>44080</v>
      </c>
      <c r="B133" s="235">
        <f>IFERROR(__xludf.DUMMYFUNCTION("""COMPUTED_VALUE"""),88.0)</f>
        <v>88</v>
      </c>
      <c r="C133" s="235">
        <f>IFERROR(__xludf.DUMMYFUNCTION("""COMPUTED_VALUE"""),81.0)</f>
        <v>81</v>
      </c>
      <c r="D133" s="235">
        <f>IFERROR(__xludf.DUMMYFUNCTION("""COMPUTED_VALUE"""),32056.0)</f>
        <v>32056</v>
      </c>
      <c r="E133" s="235">
        <f>IFERROR(__xludf.DUMMYFUNCTION("""COMPUTED_VALUE"""),4325.0)</f>
        <v>4325</v>
      </c>
      <c r="F133" s="173">
        <f>IFERROR(__xludf.DUMMYFUNCTION("""COMPUTED_VALUE"""),553306.0)</f>
        <v>553306</v>
      </c>
      <c r="G133" s="173">
        <f>IFERROR(__xludf.DUMMYFUNCTION("""COMPUTED_VALUE"""),4413.0)</f>
        <v>4413</v>
      </c>
      <c r="H133" s="173">
        <f>IFERROR(__xludf.DUMMYFUNCTION("""COMPUTED_VALUE"""),585362.0)</f>
        <v>585362</v>
      </c>
      <c r="I133" s="235">
        <f>IFERROR(__xludf.DUMMYFUNCTION("""COMPUTED_VALUE"""),65.0)</f>
        <v>65</v>
      </c>
      <c r="J133" s="235">
        <f>IFERROR(__xludf.DUMMYFUNCTION("""COMPUTED_VALUE"""),63.0)</f>
        <v>63</v>
      </c>
      <c r="K133" s="235">
        <f>IFERROR(__xludf.DUMMYFUNCTION("""COMPUTED_VALUE"""),22393.0)</f>
        <v>22393</v>
      </c>
      <c r="L133" s="235">
        <f>IFERROR(__xludf.DUMMYFUNCTION("""COMPUTED_VALUE"""),1938.0)</f>
        <v>1938</v>
      </c>
      <c r="M133" s="235">
        <f>IFERROR(__xludf.DUMMYFUNCTION("""COMPUTED_VALUE"""),269354.0)</f>
        <v>269354</v>
      </c>
      <c r="N133" s="235">
        <f>IFERROR(__xludf.DUMMYFUNCTION("""COMPUTED_VALUE"""),291747.0)</f>
        <v>291747</v>
      </c>
      <c r="O133" s="235">
        <f>IFERROR(__xludf.DUMMYFUNCTION("""COMPUTED_VALUE"""),4.0)</f>
        <v>4</v>
      </c>
      <c r="P133" s="235">
        <f>IFERROR(__xludf.DUMMYFUNCTION("""COMPUTED_VALUE"""),2589.0)</f>
        <v>2589</v>
      </c>
      <c r="Q133" s="235">
        <f>IFERROR(__xludf.DUMMYFUNCTION("""COMPUTED_VALUE"""),8.0)</f>
        <v>8</v>
      </c>
      <c r="R133" s="235">
        <f>IFERROR(__xludf.DUMMYFUNCTION("""COMPUTED_VALUE"""),2184.0)</f>
        <v>2184</v>
      </c>
      <c r="S133" s="235">
        <f>IFERROR(__xludf.DUMMYFUNCTION("""COMPUTED_VALUE"""),1.0)</f>
        <v>1</v>
      </c>
      <c r="T133" s="235">
        <f>IFERROR(__xludf.DUMMYFUNCTION("""COMPUTED_VALUE"""),340.0)</f>
        <v>340</v>
      </c>
      <c r="U133" s="235">
        <f>IFERROR(__xludf.DUMMYFUNCTION("""COMPUTED_VALUE"""),65.0)</f>
        <v>65</v>
      </c>
      <c r="V133" s="235">
        <f>IFERROR(__xludf.DUMMYFUNCTION("""COMPUTED_VALUE"""),69.0)</f>
        <v>69</v>
      </c>
      <c r="W133" s="235">
        <f>IFERROR(__xludf.DUMMYFUNCTION("""COMPUTED_VALUE"""),6.0)</f>
        <v>6</v>
      </c>
      <c r="X133" s="235">
        <f>IFERROR(__xludf.DUMMYFUNCTION("""COMPUTED_VALUE"""),3.0)</f>
        <v>3</v>
      </c>
      <c r="Y133" s="235">
        <f>IFERROR(__xludf.DUMMYFUNCTION("""COMPUTED_VALUE"""),1.0)</f>
        <v>1</v>
      </c>
      <c r="Z133" s="235">
        <f>IFERROR(__xludf.DUMMYFUNCTION("""COMPUTED_VALUE"""),1086.0)</f>
        <v>1086</v>
      </c>
    </row>
    <row r="134">
      <c r="A134" s="234">
        <f>IFERROR(__xludf.DUMMYFUNCTION("""COMPUTED_VALUE"""),44081.0)</f>
        <v>44081</v>
      </c>
      <c r="B134" s="235">
        <f>IFERROR(__xludf.DUMMYFUNCTION("""COMPUTED_VALUE"""),35.0)</f>
        <v>35</v>
      </c>
      <c r="C134" s="235">
        <f>IFERROR(__xludf.DUMMYFUNCTION("""COMPUTED_VALUE"""),58.0)</f>
        <v>58</v>
      </c>
      <c r="D134" s="235">
        <f>IFERROR(__xludf.DUMMYFUNCTION("""COMPUTED_VALUE"""),32091.0)</f>
        <v>32091</v>
      </c>
      <c r="E134" s="235">
        <f>IFERROR(__xludf.DUMMYFUNCTION("""COMPUTED_VALUE"""),3002.0)</f>
        <v>3002</v>
      </c>
      <c r="F134" s="173">
        <f>IFERROR(__xludf.DUMMYFUNCTION("""COMPUTED_VALUE"""),556308.0)</f>
        <v>556308</v>
      </c>
      <c r="G134" s="173">
        <f>IFERROR(__xludf.DUMMYFUNCTION("""COMPUTED_VALUE"""),3037.0)</f>
        <v>3037</v>
      </c>
      <c r="H134" s="173">
        <f>IFERROR(__xludf.DUMMYFUNCTION("""COMPUTED_VALUE"""),588399.0)</f>
        <v>588399</v>
      </c>
      <c r="I134" s="235">
        <f>IFERROR(__xludf.DUMMYFUNCTION("""COMPUTED_VALUE"""),26.0)</f>
        <v>26</v>
      </c>
      <c r="J134" s="235">
        <f>IFERROR(__xludf.DUMMYFUNCTION("""COMPUTED_VALUE"""),44.0)</f>
        <v>44</v>
      </c>
      <c r="K134" s="235">
        <f>IFERROR(__xludf.DUMMYFUNCTION("""COMPUTED_VALUE"""),22419.0)</f>
        <v>22419</v>
      </c>
      <c r="L134" s="235">
        <f>IFERROR(__xludf.DUMMYFUNCTION("""COMPUTED_VALUE"""),640.0)</f>
        <v>640</v>
      </c>
      <c r="M134" s="235">
        <f>IFERROR(__xludf.DUMMYFUNCTION("""COMPUTED_VALUE"""),269994.0)</f>
        <v>269994</v>
      </c>
      <c r="N134" s="235">
        <f>IFERROR(__xludf.DUMMYFUNCTION("""COMPUTED_VALUE"""),292413.0)</f>
        <v>292413</v>
      </c>
      <c r="O134" s="235">
        <f>IFERROR(__xludf.DUMMYFUNCTION("""COMPUTED_VALUE"""),11.0)</f>
        <v>11</v>
      </c>
      <c r="P134" s="235">
        <f>IFERROR(__xludf.DUMMYFUNCTION("""COMPUTED_VALUE"""),2600.0)</f>
        <v>2600</v>
      </c>
      <c r="Q134" s="235">
        <f>IFERROR(__xludf.DUMMYFUNCTION("""COMPUTED_VALUE"""),3.0)</f>
        <v>3</v>
      </c>
      <c r="R134" s="235">
        <f>IFERROR(__xludf.DUMMYFUNCTION("""COMPUTED_VALUE"""),2187.0)</f>
        <v>2187</v>
      </c>
      <c r="S134" s="235">
        <f>IFERROR(__xludf.DUMMYFUNCTION("""COMPUTED_VALUE"""),0.0)</f>
        <v>0</v>
      </c>
      <c r="T134" s="235">
        <f>IFERROR(__xludf.DUMMYFUNCTION("""COMPUTED_VALUE"""),340.0)</f>
        <v>340</v>
      </c>
      <c r="U134" s="235">
        <f>IFERROR(__xludf.DUMMYFUNCTION("""COMPUTED_VALUE"""),73.0)</f>
        <v>73</v>
      </c>
      <c r="V134" s="235">
        <f>IFERROR(__xludf.DUMMYFUNCTION("""COMPUTED_VALUE"""),69.0)</f>
        <v>69</v>
      </c>
      <c r="W134" s="235">
        <f>IFERROR(__xludf.DUMMYFUNCTION("""COMPUTED_VALUE"""),5.0)</f>
        <v>5</v>
      </c>
      <c r="X134" s="235">
        <f>IFERROR(__xludf.DUMMYFUNCTION("""COMPUTED_VALUE"""),3.0)</f>
        <v>3</v>
      </c>
      <c r="Y134" s="235">
        <f>IFERROR(__xludf.DUMMYFUNCTION("""COMPUTED_VALUE"""),1.0)</f>
        <v>1</v>
      </c>
      <c r="Z134" s="235">
        <f>IFERROR(__xludf.DUMMYFUNCTION("""COMPUTED_VALUE"""),1087.0)</f>
        <v>1087</v>
      </c>
    </row>
    <row r="135">
      <c r="A135" s="234">
        <f>IFERROR(__xludf.DUMMYFUNCTION("""COMPUTED_VALUE"""),44082.0)</f>
        <v>44082</v>
      </c>
      <c r="B135" s="235">
        <f>IFERROR(__xludf.DUMMYFUNCTION("""COMPUTED_VALUE"""),74.0)</f>
        <v>74</v>
      </c>
      <c r="C135" s="235">
        <f>IFERROR(__xludf.DUMMYFUNCTION("""COMPUTED_VALUE"""),66.0)</f>
        <v>66</v>
      </c>
      <c r="D135" s="235">
        <f>IFERROR(__xludf.DUMMYFUNCTION("""COMPUTED_VALUE"""),32165.0)</f>
        <v>32165</v>
      </c>
      <c r="E135" s="235">
        <f>IFERROR(__xludf.DUMMYFUNCTION("""COMPUTED_VALUE"""),6381.0)</f>
        <v>6381</v>
      </c>
      <c r="F135" s="173">
        <f>IFERROR(__xludf.DUMMYFUNCTION("""COMPUTED_VALUE"""),562689.0)</f>
        <v>562689</v>
      </c>
      <c r="G135" s="173">
        <f>IFERROR(__xludf.DUMMYFUNCTION("""COMPUTED_VALUE"""),6455.0)</f>
        <v>6455</v>
      </c>
      <c r="H135" s="173">
        <f>IFERROR(__xludf.DUMMYFUNCTION("""COMPUTED_VALUE"""),594854.0)</f>
        <v>594854</v>
      </c>
      <c r="I135" s="235">
        <f>IFERROR(__xludf.DUMMYFUNCTION("""COMPUTED_VALUE"""),66.0)</f>
        <v>66</v>
      </c>
      <c r="J135" s="235">
        <f>IFERROR(__xludf.DUMMYFUNCTION("""COMPUTED_VALUE"""),52.0)</f>
        <v>52</v>
      </c>
      <c r="K135" s="235">
        <f>IFERROR(__xludf.DUMMYFUNCTION("""COMPUTED_VALUE"""),22485.0)</f>
        <v>22485</v>
      </c>
      <c r="L135" s="235">
        <f>IFERROR(__xludf.DUMMYFUNCTION("""COMPUTED_VALUE"""),1580.0)</f>
        <v>1580</v>
      </c>
      <c r="M135" s="235">
        <f>IFERROR(__xludf.DUMMYFUNCTION("""COMPUTED_VALUE"""),271574.0)</f>
        <v>271574</v>
      </c>
      <c r="N135" s="235">
        <f>IFERROR(__xludf.DUMMYFUNCTION("""COMPUTED_VALUE"""),294059.0)</f>
        <v>294059</v>
      </c>
      <c r="O135" s="235">
        <f>IFERROR(__xludf.DUMMYFUNCTION("""COMPUTED_VALUE"""),6.0)</f>
        <v>6</v>
      </c>
      <c r="P135" s="235">
        <f>IFERROR(__xludf.DUMMYFUNCTION("""COMPUTED_VALUE"""),2606.0)</f>
        <v>2606</v>
      </c>
      <c r="Q135" s="235">
        <f>IFERROR(__xludf.DUMMYFUNCTION("""COMPUTED_VALUE"""),12.0)</f>
        <v>12</v>
      </c>
      <c r="R135" s="235">
        <f>IFERROR(__xludf.DUMMYFUNCTION("""COMPUTED_VALUE"""),2199.0)</f>
        <v>2199</v>
      </c>
      <c r="S135" s="235">
        <f>IFERROR(__xludf.DUMMYFUNCTION("""COMPUTED_VALUE"""),1.0)</f>
        <v>1</v>
      </c>
      <c r="T135" s="235">
        <f>IFERROR(__xludf.DUMMYFUNCTION("""COMPUTED_VALUE"""),341.0)</f>
        <v>341</v>
      </c>
      <c r="U135" s="235">
        <f>IFERROR(__xludf.DUMMYFUNCTION("""COMPUTED_VALUE"""),66.0)</f>
        <v>66</v>
      </c>
      <c r="V135" s="235">
        <f>IFERROR(__xludf.DUMMYFUNCTION("""COMPUTED_VALUE"""),68.0)</f>
        <v>68</v>
      </c>
      <c r="W135" s="235">
        <f>IFERROR(__xludf.DUMMYFUNCTION("""COMPUTED_VALUE"""),6.0)</f>
        <v>6</v>
      </c>
      <c r="X135" s="235">
        <f>IFERROR(__xludf.DUMMYFUNCTION("""COMPUTED_VALUE"""),3.0)</f>
        <v>3</v>
      </c>
      <c r="Y135" s="235">
        <f>IFERROR(__xludf.DUMMYFUNCTION("""COMPUTED_VALUE"""),2.0)</f>
        <v>2</v>
      </c>
      <c r="Z135" s="235">
        <f>IFERROR(__xludf.DUMMYFUNCTION("""COMPUTED_VALUE"""),1089.0)</f>
        <v>1089</v>
      </c>
    </row>
    <row r="136">
      <c r="A136" s="234">
        <f>IFERROR(__xludf.DUMMYFUNCTION("""COMPUTED_VALUE"""),44083.0)</f>
        <v>44083</v>
      </c>
      <c r="B136" s="235">
        <f>IFERROR(__xludf.DUMMYFUNCTION("""COMPUTED_VALUE"""),118.0)</f>
        <v>118</v>
      </c>
      <c r="C136" s="235">
        <f>IFERROR(__xludf.DUMMYFUNCTION("""COMPUTED_VALUE"""),76.0)</f>
        <v>76</v>
      </c>
      <c r="D136" s="235">
        <f>IFERROR(__xludf.DUMMYFUNCTION("""COMPUTED_VALUE"""),32283.0)</f>
        <v>32283</v>
      </c>
      <c r="E136" s="235">
        <f>IFERROR(__xludf.DUMMYFUNCTION("""COMPUTED_VALUE"""),8650.0)</f>
        <v>8650</v>
      </c>
      <c r="F136" s="173">
        <f>IFERROR(__xludf.DUMMYFUNCTION("""COMPUTED_VALUE"""),571339.0)</f>
        <v>571339</v>
      </c>
      <c r="G136" s="173">
        <f>IFERROR(__xludf.DUMMYFUNCTION("""COMPUTED_VALUE"""),8768.0)</f>
        <v>8768</v>
      </c>
      <c r="H136" s="173">
        <f>IFERROR(__xludf.DUMMYFUNCTION("""COMPUTED_VALUE"""),603622.0)</f>
        <v>603622</v>
      </c>
      <c r="I136" s="235">
        <f>IFERROR(__xludf.DUMMYFUNCTION("""COMPUTED_VALUE"""),102.0)</f>
        <v>102</v>
      </c>
      <c r="J136" s="235">
        <f>IFERROR(__xludf.DUMMYFUNCTION("""COMPUTED_VALUE"""),65.0)</f>
        <v>65</v>
      </c>
      <c r="K136" s="235">
        <f>IFERROR(__xludf.DUMMYFUNCTION("""COMPUTED_VALUE"""),22587.0)</f>
        <v>22587</v>
      </c>
      <c r="L136" s="235">
        <f>IFERROR(__xludf.DUMMYFUNCTION("""COMPUTED_VALUE"""),2131.0)</f>
        <v>2131</v>
      </c>
      <c r="M136" s="235">
        <f>IFERROR(__xludf.DUMMYFUNCTION("""COMPUTED_VALUE"""),273705.0)</f>
        <v>273705</v>
      </c>
      <c r="N136" s="235">
        <f>IFERROR(__xludf.DUMMYFUNCTION("""COMPUTED_VALUE"""),296292.0)</f>
        <v>296292</v>
      </c>
      <c r="O136" s="235">
        <f>IFERROR(__xludf.DUMMYFUNCTION("""COMPUTED_VALUE"""),10.0)</f>
        <v>10</v>
      </c>
      <c r="P136" s="235">
        <f>IFERROR(__xludf.DUMMYFUNCTION("""COMPUTED_VALUE"""),2616.0)</f>
        <v>2616</v>
      </c>
      <c r="Q136" s="235">
        <f>IFERROR(__xludf.DUMMYFUNCTION("""COMPUTED_VALUE"""),5.0)</f>
        <v>5</v>
      </c>
      <c r="R136" s="235">
        <f>IFERROR(__xludf.DUMMYFUNCTION("""COMPUTED_VALUE"""),2204.0)</f>
        <v>2204</v>
      </c>
      <c r="S136" s="235">
        <f>IFERROR(__xludf.DUMMYFUNCTION("""COMPUTED_VALUE"""),1.0)</f>
        <v>1</v>
      </c>
      <c r="T136" s="235">
        <f>IFERROR(__xludf.DUMMYFUNCTION("""COMPUTED_VALUE"""),342.0)</f>
        <v>342</v>
      </c>
      <c r="U136" s="235">
        <f>IFERROR(__xludf.DUMMYFUNCTION("""COMPUTED_VALUE"""),70.0)</f>
        <v>70</v>
      </c>
      <c r="V136" s="235">
        <f>IFERROR(__xludf.DUMMYFUNCTION("""COMPUTED_VALUE"""),70.0)</f>
        <v>70</v>
      </c>
      <c r="W136" s="235">
        <f>IFERROR(__xludf.DUMMYFUNCTION("""COMPUTED_VALUE"""),9.0)</f>
        <v>9</v>
      </c>
      <c r="X136" s="235">
        <f>IFERROR(__xludf.DUMMYFUNCTION("""COMPUTED_VALUE"""),3.0)</f>
        <v>3</v>
      </c>
      <c r="Y136" s="235">
        <f>IFERROR(__xludf.DUMMYFUNCTION("""COMPUTED_VALUE"""),1.0)</f>
        <v>1</v>
      </c>
      <c r="Z136" s="235">
        <f>IFERROR(__xludf.DUMMYFUNCTION("""COMPUTED_VALUE"""),1090.0)</f>
        <v>1090</v>
      </c>
    </row>
    <row r="137">
      <c r="A137" s="234">
        <f>IFERROR(__xludf.DUMMYFUNCTION("""COMPUTED_VALUE"""),44084.0)</f>
        <v>44084</v>
      </c>
      <c r="B137" s="235">
        <f>IFERROR(__xludf.DUMMYFUNCTION("""COMPUTED_VALUE"""),164.0)</f>
        <v>164</v>
      </c>
      <c r="C137" s="235">
        <f>IFERROR(__xludf.DUMMYFUNCTION("""COMPUTED_VALUE"""),119.0)</f>
        <v>119</v>
      </c>
      <c r="D137" s="235">
        <f>IFERROR(__xludf.DUMMYFUNCTION("""COMPUTED_VALUE"""),32447.0)</f>
        <v>32447</v>
      </c>
      <c r="E137" s="235">
        <f>IFERROR(__xludf.DUMMYFUNCTION("""COMPUTED_VALUE"""),11334.0)</f>
        <v>11334</v>
      </c>
      <c r="F137" s="173">
        <f>IFERROR(__xludf.DUMMYFUNCTION("""COMPUTED_VALUE"""),582673.0)</f>
        <v>582673</v>
      </c>
      <c r="G137" s="173">
        <f>IFERROR(__xludf.DUMMYFUNCTION("""COMPUTED_VALUE"""),11498.0)</f>
        <v>11498</v>
      </c>
      <c r="H137" s="173">
        <f>IFERROR(__xludf.DUMMYFUNCTION("""COMPUTED_VALUE"""),615120.0)</f>
        <v>615120</v>
      </c>
      <c r="I137" s="235">
        <f>IFERROR(__xludf.DUMMYFUNCTION("""COMPUTED_VALUE"""),111.0)</f>
        <v>111</v>
      </c>
      <c r="J137" s="235">
        <f>IFERROR(__xludf.DUMMYFUNCTION("""COMPUTED_VALUE"""),93.0)</f>
        <v>93</v>
      </c>
      <c r="K137" s="235">
        <f>IFERROR(__xludf.DUMMYFUNCTION("""COMPUTED_VALUE"""),22698.0)</f>
        <v>22698</v>
      </c>
      <c r="L137" s="235">
        <f>IFERROR(__xludf.DUMMYFUNCTION("""COMPUTED_VALUE"""),2258.0)</f>
        <v>2258</v>
      </c>
      <c r="M137" s="235">
        <f>IFERROR(__xludf.DUMMYFUNCTION("""COMPUTED_VALUE"""),275963.0)</f>
        <v>275963</v>
      </c>
      <c r="N137" s="235">
        <f>IFERROR(__xludf.DUMMYFUNCTION("""COMPUTED_VALUE"""),298661.0)</f>
        <v>298661</v>
      </c>
      <c r="O137" s="235">
        <f>IFERROR(__xludf.DUMMYFUNCTION("""COMPUTED_VALUE"""),9.0)</f>
        <v>9</v>
      </c>
      <c r="P137" s="235">
        <f>IFERROR(__xludf.DUMMYFUNCTION("""COMPUTED_VALUE"""),2625.0)</f>
        <v>2625</v>
      </c>
      <c r="Q137" s="235">
        <f>IFERROR(__xludf.DUMMYFUNCTION("""COMPUTED_VALUE"""),8.0)</f>
        <v>8</v>
      </c>
      <c r="R137" s="235">
        <f>IFERROR(__xludf.DUMMYFUNCTION("""COMPUTED_VALUE"""),2212.0)</f>
        <v>2212</v>
      </c>
      <c r="S137" s="235">
        <f>IFERROR(__xludf.DUMMYFUNCTION("""COMPUTED_VALUE"""),0.0)</f>
        <v>0</v>
      </c>
      <c r="T137" s="235">
        <f>IFERROR(__xludf.DUMMYFUNCTION("""COMPUTED_VALUE"""),342.0)</f>
        <v>342</v>
      </c>
      <c r="U137" s="235">
        <f>IFERROR(__xludf.DUMMYFUNCTION("""COMPUTED_VALUE"""),71.0)</f>
        <v>71</v>
      </c>
      <c r="V137" s="235">
        <f>IFERROR(__xludf.DUMMYFUNCTION("""COMPUTED_VALUE"""),69.0)</f>
        <v>69</v>
      </c>
      <c r="W137" s="235">
        <f>IFERROR(__xludf.DUMMYFUNCTION("""COMPUTED_VALUE"""),10.0)</f>
        <v>10</v>
      </c>
      <c r="X137" s="235">
        <f>IFERROR(__xludf.DUMMYFUNCTION("""COMPUTED_VALUE"""),3.0)</f>
        <v>3</v>
      </c>
      <c r="Y137" s="235">
        <f>IFERROR(__xludf.DUMMYFUNCTION("""COMPUTED_VALUE"""),1.0)</f>
        <v>1</v>
      </c>
      <c r="Z137" s="235">
        <f>IFERROR(__xludf.DUMMYFUNCTION("""COMPUTED_VALUE"""),1091.0)</f>
        <v>1091</v>
      </c>
    </row>
    <row r="138">
      <c r="A138" s="234">
        <f>IFERROR(__xludf.DUMMYFUNCTION("""COMPUTED_VALUE"""),44085.0)</f>
        <v>44085</v>
      </c>
      <c r="B138" s="235">
        <f>IFERROR(__xludf.DUMMYFUNCTION("""COMPUTED_VALUE"""),120.0)</f>
        <v>120</v>
      </c>
      <c r="C138" s="235">
        <f>IFERROR(__xludf.DUMMYFUNCTION("""COMPUTED_VALUE"""),134.0)</f>
        <v>134</v>
      </c>
      <c r="D138" s="235">
        <f>IFERROR(__xludf.DUMMYFUNCTION("""COMPUTED_VALUE"""),32567.0)</f>
        <v>32567</v>
      </c>
      <c r="E138" s="235">
        <f>IFERROR(__xludf.DUMMYFUNCTION("""COMPUTED_VALUE"""),9454.0)</f>
        <v>9454</v>
      </c>
      <c r="F138" s="173">
        <f>IFERROR(__xludf.DUMMYFUNCTION("""COMPUTED_VALUE"""),592127.0)</f>
        <v>592127</v>
      </c>
      <c r="G138" s="173">
        <f>IFERROR(__xludf.DUMMYFUNCTION("""COMPUTED_VALUE"""),9574.0)</f>
        <v>9574</v>
      </c>
      <c r="H138" s="173">
        <f>IFERROR(__xludf.DUMMYFUNCTION("""COMPUTED_VALUE"""),624694.0)</f>
        <v>624694</v>
      </c>
      <c r="I138" s="235">
        <f>IFERROR(__xludf.DUMMYFUNCTION("""COMPUTED_VALUE"""),97.0)</f>
        <v>97</v>
      </c>
      <c r="J138" s="235">
        <f>IFERROR(__xludf.DUMMYFUNCTION("""COMPUTED_VALUE"""),103.0)</f>
        <v>103</v>
      </c>
      <c r="K138" s="235">
        <f>IFERROR(__xludf.DUMMYFUNCTION("""COMPUTED_VALUE"""),22795.0)</f>
        <v>22795</v>
      </c>
      <c r="L138" s="235">
        <f>IFERROR(__xludf.DUMMYFUNCTION("""COMPUTED_VALUE"""),1956.0)</f>
        <v>1956</v>
      </c>
      <c r="M138" s="235">
        <f>IFERROR(__xludf.DUMMYFUNCTION("""COMPUTED_VALUE"""),277919.0)</f>
        <v>277919</v>
      </c>
      <c r="N138" s="235">
        <f>IFERROR(__xludf.DUMMYFUNCTION("""COMPUTED_VALUE"""),300714.0)</f>
        <v>300714</v>
      </c>
      <c r="O138" s="235">
        <f>IFERROR(__xludf.DUMMYFUNCTION("""COMPUTED_VALUE"""),11.0)</f>
        <v>11</v>
      </c>
      <c r="P138" s="235">
        <f>IFERROR(__xludf.DUMMYFUNCTION("""COMPUTED_VALUE"""),2636.0)</f>
        <v>2636</v>
      </c>
      <c r="Q138" s="235">
        <f>IFERROR(__xludf.DUMMYFUNCTION("""COMPUTED_VALUE"""),11.0)</f>
        <v>11</v>
      </c>
      <c r="R138" s="235">
        <f>IFERROR(__xludf.DUMMYFUNCTION("""COMPUTED_VALUE"""),2223.0)</f>
        <v>2223</v>
      </c>
      <c r="S138" s="235">
        <f>IFERROR(__xludf.DUMMYFUNCTION("""COMPUTED_VALUE"""),0.0)</f>
        <v>0</v>
      </c>
      <c r="T138" s="235">
        <f>IFERROR(__xludf.DUMMYFUNCTION("""COMPUTED_VALUE"""),342.0)</f>
        <v>342</v>
      </c>
      <c r="U138" s="235">
        <f>IFERROR(__xludf.DUMMYFUNCTION("""COMPUTED_VALUE"""),71.0)</f>
        <v>71</v>
      </c>
      <c r="V138" s="235">
        <f>IFERROR(__xludf.DUMMYFUNCTION("""COMPUTED_VALUE"""),71.0)</f>
        <v>71</v>
      </c>
      <c r="W138" s="235">
        <f>IFERROR(__xludf.DUMMYFUNCTION("""COMPUTED_VALUE"""),10.0)</f>
        <v>10</v>
      </c>
      <c r="X138" s="235">
        <f>IFERROR(__xludf.DUMMYFUNCTION("""COMPUTED_VALUE"""),5.0)</f>
        <v>5</v>
      </c>
      <c r="Y138" s="235">
        <f>IFERROR(__xludf.DUMMYFUNCTION("""COMPUTED_VALUE"""),0.0)</f>
        <v>0</v>
      </c>
      <c r="Z138" s="235">
        <f>IFERROR(__xludf.DUMMYFUNCTION("""COMPUTED_VALUE"""),1091.0)</f>
        <v>1091</v>
      </c>
    </row>
    <row r="139">
      <c r="A139" s="234">
        <f>IFERROR(__xludf.DUMMYFUNCTION("""COMPUTED_VALUE"""),44086.0)</f>
        <v>44086</v>
      </c>
      <c r="B139" s="235">
        <f>IFERROR(__xludf.DUMMYFUNCTION("""COMPUTED_VALUE"""),110.0)</f>
        <v>110</v>
      </c>
      <c r="C139" s="235">
        <f>IFERROR(__xludf.DUMMYFUNCTION("""COMPUTED_VALUE"""),131.0)</f>
        <v>131</v>
      </c>
      <c r="D139" s="235">
        <f>IFERROR(__xludf.DUMMYFUNCTION("""COMPUTED_VALUE"""),32677.0)</f>
        <v>32677</v>
      </c>
      <c r="E139" s="235">
        <f>IFERROR(__xludf.DUMMYFUNCTION("""COMPUTED_VALUE"""),6173.0)</f>
        <v>6173</v>
      </c>
      <c r="F139" s="173">
        <f>IFERROR(__xludf.DUMMYFUNCTION("""COMPUTED_VALUE"""),598300.0)</f>
        <v>598300</v>
      </c>
      <c r="G139" s="173">
        <f>IFERROR(__xludf.DUMMYFUNCTION("""COMPUTED_VALUE"""),6283.0)</f>
        <v>6283</v>
      </c>
      <c r="H139" s="173">
        <f>IFERROR(__xludf.DUMMYFUNCTION("""COMPUTED_VALUE"""),630977.0)</f>
        <v>630977</v>
      </c>
      <c r="I139" s="235">
        <f>IFERROR(__xludf.DUMMYFUNCTION("""COMPUTED_VALUE"""),97.0)</f>
        <v>97</v>
      </c>
      <c r="J139" s="235">
        <f>IFERROR(__xludf.DUMMYFUNCTION("""COMPUTED_VALUE"""),102.0)</f>
        <v>102</v>
      </c>
      <c r="K139" s="235">
        <f>IFERROR(__xludf.DUMMYFUNCTION("""COMPUTED_VALUE"""),22892.0)</f>
        <v>22892</v>
      </c>
      <c r="L139" s="235">
        <f>IFERROR(__xludf.DUMMYFUNCTION("""COMPUTED_VALUE"""),1511.0)</f>
        <v>1511</v>
      </c>
      <c r="M139" s="235">
        <f>IFERROR(__xludf.DUMMYFUNCTION("""COMPUTED_VALUE"""),279430.0)</f>
        <v>279430</v>
      </c>
      <c r="N139" s="235">
        <f>IFERROR(__xludf.DUMMYFUNCTION("""COMPUTED_VALUE"""),302322.0)</f>
        <v>302322</v>
      </c>
      <c r="O139" s="235">
        <f>IFERROR(__xludf.DUMMYFUNCTION("""COMPUTED_VALUE"""),8.0)</f>
        <v>8</v>
      </c>
      <c r="P139" s="235">
        <f>IFERROR(__xludf.DUMMYFUNCTION("""COMPUTED_VALUE"""),2644.0)</f>
        <v>2644</v>
      </c>
      <c r="Q139" s="235">
        <f>IFERROR(__xludf.DUMMYFUNCTION("""COMPUTED_VALUE"""),5.0)</f>
        <v>5</v>
      </c>
      <c r="R139" s="235">
        <f>IFERROR(__xludf.DUMMYFUNCTION("""COMPUTED_VALUE"""),2228.0)</f>
        <v>2228</v>
      </c>
      <c r="S139" s="235">
        <f>IFERROR(__xludf.DUMMYFUNCTION("""COMPUTED_VALUE"""),2.0)</f>
        <v>2</v>
      </c>
      <c r="T139" s="235">
        <f>IFERROR(__xludf.DUMMYFUNCTION("""COMPUTED_VALUE"""),344.0)</f>
        <v>344</v>
      </c>
      <c r="U139" s="235">
        <f>IFERROR(__xludf.DUMMYFUNCTION("""COMPUTED_VALUE"""),72.0)</f>
        <v>72</v>
      </c>
      <c r="V139" s="235">
        <f>IFERROR(__xludf.DUMMYFUNCTION("""COMPUTED_VALUE"""),71.0)</f>
        <v>71</v>
      </c>
      <c r="W139" s="235">
        <f>IFERROR(__xludf.DUMMYFUNCTION("""COMPUTED_VALUE"""),9.0)</f>
        <v>9</v>
      </c>
      <c r="X139" s="235">
        <f>IFERROR(__xludf.DUMMYFUNCTION("""COMPUTED_VALUE"""),5.0)</f>
        <v>5</v>
      </c>
      <c r="Y139" s="235">
        <f>IFERROR(__xludf.DUMMYFUNCTION("""COMPUTED_VALUE"""),3.0)</f>
        <v>3</v>
      </c>
      <c r="Z139" s="235">
        <f>IFERROR(__xludf.DUMMYFUNCTION("""COMPUTED_VALUE"""),1094.0)</f>
        <v>1094</v>
      </c>
    </row>
    <row r="140">
      <c r="A140" s="234">
        <f>IFERROR(__xludf.DUMMYFUNCTION("""COMPUTED_VALUE"""),44087.0)</f>
        <v>44087</v>
      </c>
      <c r="B140" s="235">
        <f>IFERROR(__xludf.DUMMYFUNCTION("""COMPUTED_VALUE"""),58.0)</f>
        <v>58</v>
      </c>
      <c r="C140" s="235">
        <f>IFERROR(__xludf.DUMMYFUNCTION("""COMPUTED_VALUE"""),96.0)</f>
        <v>96</v>
      </c>
      <c r="D140" s="235">
        <f>IFERROR(__xludf.DUMMYFUNCTION("""COMPUTED_VALUE"""),32735.0)</f>
        <v>32735</v>
      </c>
      <c r="E140" s="235">
        <f>IFERROR(__xludf.DUMMYFUNCTION("""COMPUTED_VALUE"""),2716.0)</f>
        <v>2716</v>
      </c>
      <c r="F140" s="173">
        <f>IFERROR(__xludf.DUMMYFUNCTION("""COMPUTED_VALUE"""),601016.0)</f>
        <v>601016</v>
      </c>
      <c r="G140" s="173">
        <f>IFERROR(__xludf.DUMMYFUNCTION("""COMPUTED_VALUE"""),2774.0)</f>
        <v>2774</v>
      </c>
      <c r="H140" s="173">
        <f>IFERROR(__xludf.DUMMYFUNCTION("""COMPUTED_VALUE"""),633751.0)</f>
        <v>633751</v>
      </c>
      <c r="I140" s="235">
        <f>IFERROR(__xludf.DUMMYFUNCTION("""COMPUTED_VALUE"""),54.0)</f>
        <v>54</v>
      </c>
      <c r="J140" s="235">
        <f>IFERROR(__xludf.DUMMYFUNCTION("""COMPUTED_VALUE"""),83.0)</f>
        <v>83</v>
      </c>
      <c r="K140" s="235">
        <f>IFERROR(__xludf.DUMMYFUNCTION("""COMPUTED_VALUE"""),22946.0)</f>
        <v>22946</v>
      </c>
      <c r="L140" s="235">
        <f>IFERROR(__xludf.DUMMYFUNCTION("""COMPUTED_VALUE"""),858.0)</f>
        <v>858</v>
      </c>
      <c r="M140" s="235">
        <f>IFERROR(__xludf.DUMMYFUNCTION("""COMPUTED_VALUE"""),280288.0)</f>
        <v>280288</v>
      </c>
      <c r="N140" s="235">
        <f>IFERROR(__xludf.DUMMYFUNCTION("""COMPUTED_VALUE"""),303234.0)</f>
        <v>303234</v>
      </c>
      <c r="O140" s="235">
        <f>IFERROR(__xludf.DUMMYFUNCTION("""COMPUTED_VALUE"""),4.0)</f>
        <v>4</v>
      </c>
      <c r="P140" s="235">
        <f>IFERROR(__xludf.DUMMYFUNCTION("""COMPUTED_VALUE"""),2648.0)</f>
        <v>2648</v>
      </c>
      <c r="Q140" s="235">
        <f>IFERROR(__xludf.DUMMYFUNCTION("""COMPUTED_VALUE"""),3.0)</f>
        <v>3</v>
      </c>
      <c r="R140" s="235">
        <f>IFERROR(__xludf.DUMMYFUNCTION("""COMPUTED_VALUE"""),2231.0)</f>
        <v>2231</v>
      </c>
      <c r="S140" s="235">
        <f>IFERROR(__xludf.DUMMYFUNCTION("""COMPUTED_VALUE"""),0.0)</f>
        <v>0</v>
      </c>
      <c r="T140" s="235">
        <f>IFERROR(__xludf.DUMMYFUNCTION("""COMPUTED_VALUE"""),344.0)</f>
        <v>344</v>
      </c>
      <c r="U140" s="235">
        <f>IFERROR(__xludf.DUMMYFUNCTION("""COMPUTED_VALUE"""),73.0)</f>
        <v>73</v>
      </c>
      <c r="V140" s="235">
        <f>IFERROR(__xludf.DUMMYFUNCTION("""COMPUTED_VALUE"""),72.0)</f>
        <v>72</v>
      </c>
      <c r="W140" s="235">
        <f>IFERROR(__xludf.DUMMYFUNCTION("""COMPUTED_VALUE"""),10.0)</f>
        <v>10</v>
      </c>
      <c r="X140" s="235">
        <f>IFERROR(__xludf.DUMMYFUNCTION("""COMPUTED_VALUE"""),5.0)</f>
        <v>5</v>
      </c>
      <c r="Y140" s="235">
        <f>IFERROR(__xludf.DUMMYFUNCTION("""COMPUTED_VALUE"""),0.0)</f>
        <v>0</v>
      </c>
      <c r="Z140" s="235">
        <f>IFERROR(__xludf.DUMMYFUNCTION("""COMPUTED_VALUE"""),1094.0)</f>
        <v>1094</v>
      </c>
    </row>
    <row r="141">
      <c r="A141" s="234">
        <f>IFERROR(__xludf.DUMMYFUNCTION("""COMPUTED_VALUE"""),44088.0)</f>
        <v>44088</v>
      </c>
      <c r="B141" s="235">
        <f>IFERROR(__xludf.DUMMYFUNCTION("""COMPUTED_VALUE"""),104.0)</f>
        <v>104</v>
      </c>
      <c r="C141" s="235">
        <f>IFERROR(__xludf.DUMMYFUNCTION("""COMPUTED_VALUE"""),91.0)</f>
        <v>91</v>
      </c>
      <c r="D141" s="235">
        <f>IFERROR(__xludf.DUMMYFUNCTION("""COMPUTED_VALUE"""),32839.0)</f>
        <v>32839</v>
      </c>
      <c r="E141" s="235">
        <f>IFERROR(__xludf.DUMMYFUNCTION("""COMPUTED_VALUE"""),6446.0)</f>
        <v>6446</v>
      </c>
      <c r="F141" s="173">
        <f>IFERROR(__xludf.DUMMYFUNCTION("""COMPUTED_VALUE"""),607462.0)</f>
        <v>607462</v>
      </c>
      <c r="G141" s="173">
        <f>IFERROR(__xludf.DUMMYFUNCTION("""COMPUTED_VALUE"""),6550.0)</f>
        <v>6550</v>
      </c>
      <c r="H141" s="173">
        <f>IFERROR(__xludf.DUMMYFUNCTION("""COMPUTED_VALUE"""),640301.0)</f>
        <v>640301</v>
      </c>
      <c r="I141" s="235">
        <f>IFERROR(__xludf.DUMMYFUNCTION("""COMPUTED_VALUE"""),95.0)</f>
        <v>95</v>
      </c>
      <c r="J141" s="235">
        <f>IFERROR(__xludf.DUMMYFUNCTION("""COMPUTED_VALUE"""),82.0)</f>
        <v>82</v>
      </c>
      <c r="K141" s="235">
        <f>IFERROR(__xludf.DUMMYFUNCTION("""COMPUTED_VALUE"""),23041.0)</f>
        <v>23041</v>
      </c>
      <c r="L141" s="235">
        <f>IFERROR(__xludf.DUMMYFUNCTION("""COMPUTED_VALUE"""),1721.0)</f>
        <v>1721</v>
      </c>
      <c r="M141" s="235">
        <f>IFERROR(__xludf.DUMMYFUNCTION("""COMPUTED_VALUE"""),282009.0)</f>
        <v>282009</v>
      </c>
      <c r="N141" s="235">
        <f>IFERROR(__xludf.DUMMYFUNCTION("""COMPUTED_VALUE"""),305050.0)</f>
        <v>305050</v>
      </c>
      <c r="O141" s="235">
        <f>IFERROR(__xludf.DUMMYFUNCTION("""COMPUTED_VALUE"""),6.0)</f>
        <v>6</v>
      </c>
      <c r="P141" s="235">
        <f>IFERROR(__xludf.DUMMYFUNCTION("""COMPUTED_VALUE"""),2654.0)</f>
        <v>2654</v>
      </c>
      <c r="Q141" s="235">
        <f>IFERROR(__xludf.DUMMYFUNCTION("""COMPUTED_VALUE"""),3.0)</f>
        <v>3</v>
      </c>
      <c r="R141" s="235">
        <f>IFERROR(__xludf.DUMMYFUNCTION("""COMPUTED_VALUE"""),2234.0)</f>
        <v>2234</v>
      </c>
      <c r="S141" s="235">
        <f>IFERROR(__xludf.DUMMYFUNCTION("""COMPUTED_VALUE"""),2.0)</f>
        <v>2</v>
      </c>
      <c r="T141" s="235">
        <f>IFERROR(__xludf.DUMMYFUNCTION("""COMPUTED_VALUE"""),346.0)</f>
        <v>346</v>
      </c>
      <c r="U141" s="235">
        <f>IFERROR(__xludf.DUMMYFUNCTION("""COMPUTED_VALUE"""),74.0)</f>
        <v>74</v>
      </c>
      <c r="V141" s="235">
        <f>IFERROR(__xludf.DUMMYFUNCTION("""COMPUTED_VALUE"""),73.0)</f>
        <v>73</v>
      </c>
      <c r="W141" s="235">
        <f>IFERROR(__xludf.DUMMYFUNCTION("""COMPUTED_VALUE"""),10.0)</f>
        <v>10</v>
      </c>
      <c r="X141" s="235">
        <f>IFERROR(__xludf.DUMMYFUNCTION("""COMPUTED_VALUE"""),5.0)</f>
        <v>5</v>
      </c>
      <c r="Y141" s="235">
        <f>IFERROR(__xludf.DUMMYFUNCTION("""COMPUTED_VALUE"""),2.0)</f>
        <v>2</v>
      </c>
      <c r="Z141" s="235">
        <f>IFERROR(__xludf.DUMMYFUNCTION("""COMPUTED_VALUE"""),1096.0)</f>
        <v>1096</v>
      </c>
    </row>
    <row r="142">
      <c r="A142" s="234">
        <f>IFERROR(__xludf.DUMMYFUNCTION("""COMPUTED_VALUE"""),44089.0)</f>
        <v>44089</v>
      </c>
      <c r="B142" s="235">
        <f>IFERROR(__xludf.DUMMYFUNCTION("""COMPUTED_VALUE"""),122.0)</f>
        <v>122</v>
      </c>
      <c r="C142" s="235">
        <f>IFERROR(__xludf.DUMMYFUNCTION("""COMPUTED_VALUE"""),95.0)</f>
        <v>95</v>
      </c>
      <c r="D142" s="235">
        <f>IFERROR(__xludf.DUMMYFUNCTION("""COMPUTED_VALUE"""),32961.0)</f>
        <v>32961</v>
      </c>
      <c r="E142" s="235">
        <f>IFERROR(__xludf.DUMMYFUNCTION("""COMPUTED_VALUE"""),8466.0)</f>
        <v>8466</v>
      </c>
      <c r="F142" s="173">
        <f>IFERROR(__xludf.DUMMYFUNCTION("""COMPUTED_VALUE"""),615928.0)</f>
        <v>615928</v>
      </c>
      <c r="G142" s="173">
        <f>IFERROR(__xludf.DUMMYFUNCTION("""COMPUTED_VALUE"""),8588.0)</f>
        <v>8588</v>
      </c>
      <c r="H142" s="173">
        <f>IFERROR(__xludf.DUMMYFUNCTION("""COMPUTED_VALUE"""),648889.0)</f>
        <v>648889</v>
      </c>
      <c r="I142" s="235">
        <f>IFERROR(__xludf.DUMMYFUNCTION("""COMPUTED_VALUE"""),124.0)</f>
        <v>124</v>
      </c>
      <c r="J142" s="235">
        <f>IFERROR(__xludf.DUMMYFUNCTION("""COMPUTED_VALUE"""),91.0)</f>
        <v>91</v>
      </c>
      <c r="K142" s="235">
        <f>IFERROR(__xludf.DUMMYFUNCTION("""COMPUTED_VALUE"""),23165.0)</f>
        <v>23165</v>
      </c>
      <c r="L142" s="235">
        <f>IFERROR(__xludf.DUMMYFUNCTION("""COMPUTED_VALUE"""),2182.0)</f>
        <v>2182</v>
      </c>
      <c r="M142" s="235">
        <f>IFERROR(__xludf.DUMMYFUNCTION("""COMPUTED_VALUE"""),284191.0)</f>
        <v>284191</v>
      </c>
      <c r="N142" s="235">
        <f>IFERROR(__xludf.DUMMYFUNCTION("""COMPUTED_VALUE"""),307356.0)</f>
        <v>307356</v>
      </c>
      <c r="O142" s="235">
        <f>IFERROR(__xludf.DUMMYFUNCTION("""COMPUTED_VALUE"""),7.0)</f>
        <v>7</v>
      </c>
      <c r="P142" s="235">
        <f>IFERROR(__xludf.DUMMYFUNCTION("""COMPUTED_VALUE"""),2661.0)</f>
        <v>2661</v>
      </c>
      <c r="Q142" s="235">
        <f>IFERROR(__xludf.DUMMYFUNCTION("""COMPUTED_VALUE"""),2.0)</f>
        <v>2</v>
      </c>
      <c r="R142" s="235">
        <f>IFERROR(__xludf.DUMMYFUNCTION("""COMPUTED_VALUE"""),2236.0)</f>
        <v>2236</v>
      </c>
      <c r="S142" s="235">
        <f>IFERROR(__xludf.DUMMYFUNCTION("""COMPUTED_VALUE"""),1.0)</f>
        <v>1</v>
      </c>
      <c r="T142" s="235">
        <f>IFERROR(__xludf.DUMMYFUNCTION("""COMPUTED_VALUE"""),347.0)</f>
        <v>347</v>
      </c>
      <c r="U142" s="235">
        <f>IFERROR(__xludf.DUMMYFUNCTION("""COMPUTED_VALUE"""),78.0)</f>
        <v>78</v>
      </c>
      <c r="V142" s="235">
        <f>IFERROR(__xludf.DUMMYFUNCTION("""COMPUTED_VALUE"""),75.0)</f>
        <v>75</v>
      </c>
      <c r="W142" s="235">
        <f>IFERROR(__xludf.DUMMYFUNCTION("""COMPUTED_VALUE"""),10.0)</f>
        <v>10</v>
      </c>
      <c r="X142" s="235">
        <f>IFERROR(__xludf.DUMMYFUNCTION("""COMPUTED_VALUE"""),5.0)</f>
        <v>5</v>
      </c>
      <c r="Y142" s="235">
        <f>IFERROR(__xludf.DUMMYFUNCTION("""COMPUTED_VALUE"""),2.0)</f>
        <v>2</v>
      </c>
      <c r="Z142" s="235">
        <f>IFERROR(__xludf.DUMMYFUNCTION("""COMPUTED_VALUE"""),1098.0)</f>
        <v>1098</v>
      </c>
    </row>
    <row r="143">
      <c r="A143" s="234">
        <f>IFERROR(__xludf.DUMMYFUNCTION("""COMPUTED_VALUE"""),44090.0)</f>
        <v>44090</v>
      </c>
      <c r="B143" s="235">
        <f>IFERROR(__xludf.DUMMYFUNCTION("""COMPUTED_VALUE"""),137.0)</f>
        <v>137</v>
      </c>
      <c r="C143" s="235">
        <f>IFERROR(__xludf.DUMMYFUNCTION("""COMPUTED_VALUE"""),121.0)</f>
        <v>121</v>
      </c>
      <c r="D143" s="235">
        <f>IFERROR(__xludf.DUMMYFUNCTION("""COMPUTED_VALUE"""),33098.0)</f>
        <v>33098</v>
      </c>
      <c r="E143" s="235">
        <f>IFERROR(__xludf.DUMMYFUNCTION("""COMPUTED_VALUE"""),9715.0)</f>
        <v>9715</v>
      </c>
      <c r="F143" s="173">
        <f>IFERROR(__xludf.DUMMYFUNCTION("""COMPUTED_VALUE"""),625643.0)</f>
        <v>625643</v>
      </c>
      <c r="G143" s="173">
        <f>IFERROR(__xludf.DUMMYFUNCTION("""COMPUTED_VALUE"""),9852.0)</f>
        <v>9852</v>
      </c>
      <c r="H143" s="173">
        <f>IFERROR(__xludf.DUMMYFUNCTION("""COMPUTED_VALUE"""),658741.0)</f>
        <v>658741</v>
      </c>
      <c r="I143" s="235">
        <f>IFERROR(__xludf.DUMMYFUNCTION("""COMPUTED_VALUE"""),118.0)</f>
        <v>118</v>
      </c>
      <c r="J143" s="235">
        <f>IFERROR(__xludf.DUMMYFUNCTION("""COMPUTED_VALUE"""),112.0)</f>
        <v>112</v>
      </c>
      <c r="K143" s="235">
        <f>IFERROR(__xludf.DUMMYFUNCTION("""COMPUTED_VALUE"""),23283.0)</f>
        <v>23283</v>
      </c>
      <c r="L143" s="235">
        <f>IFERROR(__xludf.DUMMYFUNCTION("""COMPUTED_VALUE"""),1963.0)</f>
        <v>1963</v>
      </c>
      <c r="M143" s="235">
        <f>IFERROR(__xludf.DUMMYFUNCTION("""COMPUTED_VALUE"""),286154.0)</f>
        <v>286154</v>
      </c>
      <c r="N143" s="235">
        <f>IFERROR(__xludf.DUMMYFUNCTION("""COMPUTED_VALUE"""),309437.0)</f>
        <v>309437</v>
      </c>
      <c r="O143" s="235">
        <f>IFERROR(__xludf.DUMMYFUNCTION("""COMPUTED_VALUE"""),7.0)</f>
        <v>7</v>
      </c>
      <c r="P143" s="235">
        <f>IFERROR(__xludf.DUMMYFUNCTION("""COMPUTED_VALUE"""),2668.0)</f>
        <v>2668</v>
      </c>
      <c r="Q143" s="235">
        <f>IFERROR(__xludf.DUMMYFUNCTION("""COMPUTED_VALUE"""),7.0)</f>
        <v>7</v>
      </c>
      <c r="R143" s="235">
        <f>IFERROR(__xludf.DUMMYFUNCTION("""COMPUTED_VALUE"""),2243.0)</f>
        <v>2243</v>
      </c>
      <c r="S143" s="235">
        <f>IFERROR(__xludf.DUMMYFUNCTION("""COMPUTED_VALUE"""),2.0)</f>
        <v>2</v>
      </c>
      <c r="T143" s="235">
        <f>IFERROR(__xludf.DUMMYFUNCTION("""COMPUTED_VALUE"""),349.0)</f>
        <v>349</v>
      </c>
      <c r="U143" s="235">
        <f>IFERROR(__xludf.DUMMYFUNCTION("""COMPUTED_VALUE"""),76.0)</f>
        <v>76</v>
      </c>
      <c r="V143" s="235">
        <f>IFERROR(__xludf.DUMMYFUNCTION("""COMPUTED_VALUE"""),76.0)</f>
        <v>76</v>
      </c>
      <c r="W143" s="235">
        <f>IFERROR(__xludf.DUMMYFUNCTION("""COMPUTED_VALUE"""),9.0)</f>
        <v>9</v>
      </c>
      <c r="X143" s="235">
        <f>IFERROR(__xludf.DUMMYFUNCTION("""COMPUTED_VALUE"""),6.0)</f>
        <v>6</v>
      </c>
      <c r="Y143" s="235">
        <f>IFERROR(__xludf.DUMMYFUNCTION("""COMPUTED_VALUE"""),5.0)</f>
        <v>5</v>
      </c>
      <c r="Z143" s="235">
        <f>IFERROR(__xludf.DUMMYFUNCTION("""COMPUTED_VALUE"""),1103.0)</f>
        <v>1103</v>
      </c>
    </row>
    <row r="144">
      <c r="A144" s="234">
        <f>IFERROR(__xludf.DUMMYFUNCTION("""COMPUTED_VALUE"""),44091.0)</f>
        <v>44091</v>
      </c>
      <c r="B144" s="235">
        <f>IFERROR(__xludf.DUMMYFUNCTION("""COMPUTED_VALUE"""),125.0)</f>
        <v>125</v>
      </c>
      <c r="C144" s="235">
        <f>IFERROR(__xludf.DUMMYFUNCTION("""COMPUTED_VALUE"""),128.0)</f>
        <v>128</v>
      </c>
      <c r="D144" s="235">
        <f>IFERROR(__xludf.DUMMYFUNCTION("""COMPUTED_VALUE"""),33223.0)</f>
        <v>33223</v>
      </c>
      <c r="E144" s="235">
        <f>IFERROR(__xludf.DUMMYFUNCTION("""COMPUTED_VALUE"""),9239.0)</f>
        <v>9239</v>
      </c>
      <c r="F144" s="173">
        <f>IFERROR(__xludf.DUMMYFUNCTION("""COMPUTED_VALUE"""),634882.0)</f>
        <v>634882</v>
      </c>
      <c r="G144" s="173">
        <f>IFERROR(__xludf.DUMMYFUNCTION("""COMPUTED_VALUE"""),9364.0)</f>
        <v>9364</v>
      </c>
      <c r="H144" s="173">
        <f>IFERROR(__xludf.DUMMYFUNCTION("""COMPUTED_VALUE"""),668105.0)</f>
        <v>668105</v>
      </c>
      <c r="I144" s="235">
        <f>IFERROR(__xludf.DUMMYFUNCTION("""COMPUTED_VALUE"""),154.0)</f>
        <v>154</v>
      </c>
      <c r="J144" s="235">
        <f>IFERROR(__xludf.DUMMYFUNCTION("""COMPUTED_VALUE"""),132.0)</f>
        <v>132</v>
      </c>
      <c r="K144" s="235">
        <f>IFERROR(__xludf.DUMMYFUNCTION("""COMPUTED_VALUE"""),23437.0)</f>
        <v>23437</v>
      </c>
      <c r="L144" s="235">
        <f>IFERROR(__xludf.DUMMYFUNCTION("""COMPUTED_VALUE"""),1935.0)</f>
        <v>1935</v>
      </c>
      <c r="M144" s="235">
        <f>IFERROR(__xludf.DUMMYFUNCTION("""COMPUTED_VALUE"""),288089.0)</f>
        <v>288089</v>
      </c>
      <c r="N144" s="235">
        <f>IFERROR(__xludf.DUMMYFUNCTION("""COMPUTED_VALUE"""),311526.0)</f>
        <v>311526</v>
      </c>
      <c r="O144" s="235">
        <f>IFERROR(__xludf.DUMMYFUNCTION("""COMPUTED_VALUE"""),7.0)</f>
        <v>7</v>
      </c>
      <c r="P144" s="235">
        <f>IFERROR(__xludf.DUMMYFUNCTION("""COMPUTED_VALUE"""),2675.0)</f>
        <v>2675</v>
      </c>
      <c r="Q144" s="235">
        <f>IFERROR(__xludf.DUMMYFUNCTION("""COMPUTED_VALUE"""),15.0)</f>
        <v>15</v>
      </c>
      <c r="R144" s="235">
        <f>IFERROR(__xludf.DUMMYFUNCTION("""COMPUTED_VALUE"""),2258.0)</f>
        <v>2258</v>
      </c>
      <c r="S144" s="235">
        <f>IFERROR(__xludf.DUMMYFUNCTION("""COMPUTED_VALUE"""),0.0)</f>
        <v>0</v>
      </c>
      <c r="T144" s="235">
        <f>IFERROR(__xludf.DUMMYFUNCTION("""COMPUTED_VALUE"""),349.0)</f>
        <v>349</v>
      </c>
      <c r="U144" s="235">
        <f>IFERROR(__xludf.DUMMYFUNCTION("""COMPUTED_VALUE"""),68.0)</f>
        <v>68</v>
      </c>
      <c r="V144" s="235">
        <f>IFERROR(__xludf.DUMMYFUNCTION("""COMPUTED_VALUE"""),74.0)</f>
        <v>74</v>
      </c>
      <c r="W144" s="235">
        <f>IFERROR(__xludf.DUMMYFUNCTION("""COMPUTED_VALUE"""),8.0)</f>
        <v>8</v>
      </c>
      <c r="X144" s="235">
        <f>IFERROR(__xludf.DUMMYFUNCTION("""COMPUTED_VALUE"""),4.0)</f>
        <v>4</v>
      </c>
      <c r="Y144" s="235">
        <f>IFERROR(__xludf.DUMMYFUNCTION("""COMPUTED_VALUE"""),0.0)</f>
        <v>0</v>
      </c>
      <c r="Z144" s="235">
        <f>IFERROR(__xludf.DUMMYFUNCTION("""COMPUTED_VALUE"""),1103.0)</f>
        <v>1103</v>
      </c>
    </row>
    <row r="145">
      <c r="A145" s="234">
        <f>IFERROR(__xludf.DUMMYFUNCTION("""COMPUTED_VALUE"""),44092.0)</f>
        <v>44092</v>
      </c>
      <c r="B145" s="235">
        <f>IFERROR(__xludf.DUMMYFUNCTION("""COMPUTED_VALUE"""),132.0)</f>
        <v>132</v>
      </c>
      <c r="C145" s="235">
        <f>IFERROR(__xludf.DUMMYFUNCTION("""COMPUTED_VALUE"""),131.0)</f>
        <v>131</v>
      </c>
      <c r="D145" s="235">
        <f>IFERROR(__xludf.DUMMYFUNCTION("""COMPUTED_VALUE"""),33355.0)</f>
        <v>33355</v>
      </c>
      <c r="E145" s="235">
        <f>IFERROR(__xludf.DUMMYFUNCTION("""COMPUTED_VALUE"""),10045.0)</f>
        <v>10045</v>
      </c>
      <c r="F145" s="173">
        <f>IFERROR(__xludf.DUMMYFUNCTION("""COMPUTED_VALUE"""),644927.0)</f>
        <v>644927</v>
      </c>
      <c r="G145" s="173">
        <f>IFERROR(__xludf.DUMMYFUNCTION("""COMPUTED_VALUE"""),10177.0)</f>
        <v>10177</v>
      </c>
      <c r="H145" s="173">
        <f>IFERROR(__xludf.DUMMYFUNCTION("""COMPUTED_VALUE"""),678282.0)</f>
        <v>678282</v>
      </c>
      <c r="I145" s="235">
        <f>IFERROR(__xludf.DUMMYFUNCTION("""COMPUTED_VALUE"""),132.0)</f>
        <v>132</v>
      </c>
      <c r="J145" s="235">
        <f>IFERROR(__xludf.DUMMYFUNCTION("""COMPUTED_VALUE"""),135.0)</f>
        <v>135</v>
      </c>
      <c r="K145" s="235">
        <f>IFERROR(__xludf.DUMMYFUNCTION("""COMPUTED_VALUE"""),23569.0)</f>
        <v>23569</v>
      </c>
      <c r="L145" s="235">
        <f>IFERROR(__xludf.DUMMYFUNCTION("""COMPUTED_VALUE"""),1917.0)</f>
        <v>1917</v>
      </c>
      <c r="M145" s="235">
        <f>IFERROR(__xludf.DUMMYFUNCTION("""COMPUTED_VALUE"""),290006.0)</f>
        <v>290006</v>
      </c>
      <c r="N145" s="235">
        <f>IFERROR(__xludf.DUMMYFUNCTION("""COMPUTED_VALUE"""),313575.0)</f>
        <v>313575</v>
      </c>
      <c r="O145" s="235">
        <f>IFERROR(__xludf.DUMMYFUNCTION("""COMPUTED_VALUE"""),7.0)</f>
        <v>7</v>
      </c>
      <c r="P145" s="235">
        <f>IFERROR(__xludf.DUMMYFUNCTION("""COMPUTED_VALUE"""),2682.0)</f>
        <v>2682</v>
      </c>
      <c r="Q145" s="235">
        <f>IFERROR(__xludf.DUMMYFUNCTION("""COMPUTED_VALUE"""),7.0)</f>
        <v>7</v>
      </c>
      <c r="R145" s="235">
        <f>IFERROR(__xludf.DUMMYFUNCTION("""COMPUTED_VALUE"""),2265.0)</f>
        <v>2265</v>
      </c>
      <c r="S145" s="235">
        <f>IFERROR(__xludf.DUMMYFUNCTION("""COMPUTED_VALUE"""),1.0)</f>
        <v>1</v>
      </c>
      <c r="T145" s="235">
        <f>IFERROR(__xludf.DUMMYFUNCTION("""COMPUTED_VALUE"""),350.0)</f>
        <v>350</v>
      </c>
      <c r="U145" s="235">
        <f>IFERROR(__xludf.DUMMYFUNCTION("""COMPUTED_VALUE"""),67.0)</f>
        <v>67</v>
      </c>
      <c r="V145" s="235">
        <f>IFERROR(__xludf.DUMMYFUNCTION("""COMPUTED_VALUE"""),70.0)</f>
        <v>70</v>
      </c>
      <c r="W145" s="235">
        <f>IFERROR(__xludf.DUMMYFUNCTION("""COMPUTED_VALUE"""),11.0)</f>
        <v>11</v>
      </c>
      <c r="X145" s="235">
        <f>IFERROR(__xludf.DUMMYFUNCTION("""COMPUTED_VALUE"""),6.0)</f>
        <v>6</v>
      </c>
      <c r="Y145" s="235">
        <f>IFERROR(__xludf.DUMMYFUNCTION("""COMPUTED_VALUE"""),2.0)</f>
        <v>2</v>
      </c>
      <c r="Z145" s="235">
        <f>IFERROR(__xludf.DUMMYFUNCTION("""COMPUTED_VALUE"""),1105.0)</f>
        <v>1105</v>
      </c>
    </row>
    <row r="146">
      <c r="A146" s="234">
        <f>IFERROR(__xludf.DUMMYFUNCTION("""COMPUTED_VALUE"""),44093.0)</f>
        <v>44093</v>
      </c>
      <c r="B146" s="235">
        <f>IFERROR(__xludf.DUMMYFUNCTION("""COMPUTED_VALUE"""),115.0)</f>
        <v>115</v>
      </c>
      <c r="C146" s="235">
        <f>IFERROR(__xludf.DUMMYFUNCTION("""COMPUTED_VALUE"""),124.0)</f>
        <v>124</v>
      </c>
      <c r="D146" s="235">
        <f>IFERROR(__xludf.DUMMYFUNCTION("""COMPUTED_VALUE"""),33470.0)</f>
        <v>33470</v>
      </c>
      <c r="E146" s="235">
        <f>IFERROR(__xludf.DUMMYFUNCTION("""COMPUTED_VALUE"""),8297.0)</f>
        <v>8297</v>
      </c>
      <c r="F146" s="173">
        <f>IFERROR(__xludf.DUMMYFUNCTION("""COMPUTED_VALUE"""),653224.0)</f>
        <v>653224</v>
      </c>
      <c r="G146" s="173">
        <f>IFERROR(__xludf.DUMMYFUNCTION("""COMPUTED_VALUE"""),8412.0)</f>
        <v>8412</v>
      </c>
      <c r="H146" s="173">
        <f>IFERROR(__xludf.DUMMYFUNCTION("""COMPUTED_VALUE"""),686694.0)</f>
        <v>686694</v>
      </c>
      <c r="I146" s="235">
        <f>IFERROR(__xludf.DUMMYFUNCTION("""COMPUTED_VALUE"""),112.0)</f>
        <v>112</v>
      </c>
      <c r="J146" s="235">
        <f>IFERROR(__xludf.DUMMYFUNCTION("""COMPUTED_VALUE"""),133.0)</f>
        <v>133</v>
      </c>
      <c r="K146" s="235">
        <f>IFERROR(__xludf.DUMMYFUNCTION("""COMPUTED_VALUE"""),23681.0)</f>
        <v>23681</v>
      </c>
      <c r="L146" s="235">
        <f>IFERROR(__xludf.DUMMYFUNCTION("""COMPUTED_VALUE"""),1685.0)</f>
        <v>1685</v>
      </c>
      <c r="M146" s="235">
        <f>IFERROR(__xludf.DUMMYFUNCTION("""COMPUTED_VALUE"""),291691.0)</f>
        <v>291691</v>
      </c>
      <c r="N146" s="235">
        <f>IFERROR(__xludf.DUMMYFUNCTION("""COMPUTED_VALUE"""),315372.0)</f>
        <v>315372</v>
      </c>
      <c r="O146" s="235">
        <f>IFERROR(__xludf.DUMMYFUNCTION("""COMPUTED_VALUE"""),7.0)</f>
        <v>7</v>
      </c>
      <c r="P146" s="235">
        <f>IFERROR(__xludf.DUMMYFUNCTION("""COMPUTED_VALUE"""),2689.0)</f>
        <v>2689</v>
      </c>
      <c r="Q146" s="235">
        <f>IFERROR(__xludf.DUMMYFUNCTION("""COMPUTED_VALUE"""),3.0)</f>
        <v>3</v>
      </c>
      <c r="R146" s="235">
        <f>IFERROR(__xludf.DUMMYFUNCTION("""COMPUTED_VALUE"""),2268.0)</f>
        <v>2268</v>
      </c>
      <c r="S146" s="235">
        <f>IFERROR(__xludf.DUMMYFUNCTION("""COMPUTED_VALUE"""),0.0)</f>
        <v>0</v>
      </c>
      <c r="T146" s="235">
        <f>IFERROR(__xludf.DUMMYFUNCTION("""COMPUTED_VALUE"""),350.0)</f>
        <v>350</v>
      </c>
      <c r="U146" s="235">
        <f>IFERROR(__xludf.DUMMYFUNCTION("""COMPUTED_VALUE"""),71.0)</f>
        <v>71</v>
      </c>
      <c r="V146" s="235">
        <f>IFERROR(__xludf.DUMMYFUNCTION("""COMPUTED_VALUE"""),69.0)</f>
        <v>69</v>
      </c>
      <c r="W146" s="235">
        <f>IFERROR(__xludf.DUMMYFUNCTION("""COMPUTED_VALUE"""),10.0)</f>
        <v>10</v>
      </c>
      <c r="X146" s="235">
        <f>IFERROR(__xludf.DUMMYFUNCTION("""COMPUTED_VALUE"""),6.0)</f>
        <v>6</v>
      </c>
      <c r="Y146" s="235">
        <f>IFERROR(__xludf.DUMMYFUNCTION("""COMPUTED_VALUE"""),4.0)</f>
        <v>4</v>
      </c>
      <c r="Z146" s="235">
        <f>IFERROR(__xludf.DUMMYFUNCTION("""COMPUTED_VALUE"""),1109.0)</f>
        <v>1109</v>
      </c>
    </row>
    <row r="147">
      <c r="A147" s="234">
        <f>IFERROR(__xludf.DUMMYFUNCTION("""COMPUTED_VALUE"""),44094.0)</f>
        <v>44094</v>
      </c>
      <c r="B147" s="235">
        <f>IFERROR(__xludf.DUMMYFUNCTION("""COMPUTED_VALUE"""),60.0)</f>
        <v>60</v>
      </c>
      <c r="C147" s="235">
        <f>IFERROR(__xludf.DUMMYFUNCTION("""COMPUTED_VALUE"""),102.0)</f>
        <v>102</v>
      </c>
      <c r="D147" s="235">
        <f>IFERROR(__xludf.DUMMYFUNCTION("""COMPUTED_VALUE"""),33530.0)</f>
        <v>33530</v>
      </c>
      <c r="E147" s="235">
        <f>IFERROR(__xludf.DUMMYFUNCTION("""COMPUTED_VALUE"""),3676.0)</f>
        <v>3676</v>
      </c>
      <c r="F147" s="173">
        <f>IFERROR(__xludf.DUMMYFUNCTION("""COMPUTED_VALUE"""),656900.0)</f>
        <v>656900</v>
      </c>
      <c r="G147" s="173">
        <f>IFERROR(__xludf.DUMMYFUNCTION("""COMPUTED_VALUE"""),3736.0)</f>
        <v>3736</v>
      </c>
      <c r="H147" s="173">
        <f>IFERROR(__xludf.DUMMYFUNCTION("""COMPUTED_VALUE"""),690430.0)</f>
        <v>690430</v>
      </c>
      <c r="I147" s="235">
        <f>IFERROR(__xludf.DUMMYFUNCTION("""COMPUTED_VALUE"""),49.0)</f>
        <v>49</v>
      </c>
      <c r="J147" s="235">
        <f>IFERROR(__xludf.DUMMYFUNCTION("""COMPUTED_VALUE"""),98.0)</f>
        <v>98</v>
      </c>
      <c r="K147" s="235">
        <f>IFERROR(__xludf.DUMMYFUNCTION("""COMPUTED_VALUE"""),23730.0)</f>
        <v>23730</v>
      </c>
      <c r="L147" s="235">
        <f>IFERROR(__xludf.DUMMYFUNCTION("""COMPUTED_VALUE"""),1321.0)</f>
        <v>1321</v>
      </c>
      <c r="M147" s="235">
        <f>IFERROR(__xludf.DUMMYFUNCTION("""COMPUTED_VALUE"""),293012.0)</f>
        <v>293012</v>
      </c>
      <c r="N147" s="235">
        <f>IFERROR(__xludf.DUMMYFUNCTION("""COMPUTED_VALUE"""),316742.0)</f>
        <v>316742</v>
      </c>
      <c r="O147" s="235">
        <f>IFERROR(__xludf.DUMMYFUNCTION("""COMPUTED_VALUE"""),7.0)</f>
        <v>7</v>
      </c>
      <c r="P147" s="235">
        <f>IFERROR(__xludf.DUMMYFUNCTION("""COMPUTED_VALUE"""),2696.0)</f>
        <v>2696</v>
      </c>
      <c r="Q147" s="235">
        <f>IFERROR(__xludf.DUMMYFUNCTION("""COMPUTED_VALUE"""),6.0)</f>
        <v>6</v>
      </c>
      <c r="R147" s="235">
        <f>IFERROR(__xludf.DUMMYFUNCTION("""COMPUTED_VALUE"""),2274.0)</f>
        <v>2274</v>
      </c>
      <c r="S147" s="235">
        <f>IFERROR(__xludf.DUMMYFUNCTION("""COMPUTED_VALUE"""),2.0)</f>
        <v>2</v>
      </c>
      <c r="T147" s="235">
        <f>IFERROR(__xludf.DUMMYFUNCTION("""COMPUTED_VALUE"""),352.0)</f>
        <v>352</v>
      </c>
      <c r="U147" s="235">
        <f>IFERROR(__xludf.DUMMYFUNCTION("""COMPUTED_VALUE"""),70.0)</f>
        <v>70</v>
      </c>
      <c r="V147" s="235">
        <f>IFERROR(__xludf.DUMMYFUNCTION("""COMPUTED_VALUE"""),69.0)</f>
        <v>69</v>
      </c>
      <c r="W147" s="235">
        <f>IFERROR(__xludf.DUMMYFUNCTION("""COMPUTED_VALUE"""),9.0)</f>
        <v>9</v>
      </c>
      <c r="X147" s="235">
        <f>IFERROR(__xludf.DUMMYFUNCTION("""COMPUTED_VALUE"""),8.0)</f>
        <v>8</v>
      </c>
      <c r="Y147" s="235">
        <f>IFERROR(__xludf.DUMMYFUNCTION("""COMPUTED_VALUE"""),4.0)</f>
        <v>4</v>
      </c>
      <c r="Z147" s="235">
        <f>IFERROR(__xludf.DUMMYFUNCTION("""COMPUTED_VALUE"""),1113.0)</f>
        <v>1113</v>
      </c>
    </row>
    <row r="148">
      <c r="A148" s="234">
        <f>IFERROR(__xludf.DUMMYFUNCTION("""COMPUTED_VALUE"""),44095.0)</f>
        <v>44095</v>
      </c>
      <c r="B148" s="235">
        <f>IFERROR(__xludf.DUMMYFUNCTION("""COMPUTED_VALUE"""),102.0)</f>
        <v>102</v>
      </c>
      <c r="C148" s="235">
        <f>IFERROR(__xludf.DUMMYFUNCTION("""COMPUTED_VALUE"""),92.0)</f>
        <v>92</v>
      </c>
      <c r="D148" s="235">
        <f>IFERROR(__xludf.DUMMYFUNCTION("""COMPUTED_VALUE"""),33632.0)</f>
        <v>33632</v>
      </c>
      <c r="E148" s="235">
        <f>IFERROR(__xludf.DUMMYFUNCTION("""COMPUTED_VALUE"""),7018.0)</f>
        <v>7018</v>
      </c>
      <c r="F148" s="173">
        <f>IFERROR(__xludf.DUMMYFUNCTION("""COMPUTED_VALUE"""),663918.0)</f>
        <v>663918</v>
      </c>
      <c r="G148" s="173">
        <f>IFERROR(__xludf.DUMMYFUNCTION("""COMPUTED_VALUE"""),7120.0)</f>
        <v>7120</v>
      </c>
      <c r="H148" s="173">
        <f>IFERROR(__xludf.DUMMYFUNCTION("""COMPUTED_VALUE"""),697550.0)</f>
        <v>697550</v>
      </c>
      <c r="I148" s="235">
        <f>IFERROR(__xludf.DUMMYFUNCTION("""COMPUTED_VALUE"""),94.0)</f>
        <v>94</v>
      </c>
      <c r="J148" s="235">
        <f>IFERROR(__xludf.DUMMYFUNCTION("""COMPUTED_VALUE"""),85.0)</f>
        <v>85</v>
      </c>
      <c r="K148" s="235">
        <f>IFERROR(__xludf.DUMMYFUNCTION("""COMPUTED_VALUE"""),23824.0)</f>
        <v>23824</v>
      </c>
      <c r="L148" s="235">
        <f>IFERROR(__xludf.DUMMYFUNCTION("""COMPUTED_VALUE"""),2398.0)</f>
        <v>2398</v>
      </c>
      <c r="M148" s="235">
        <f>IFERROR(__xludf.DUMMYFUNCTION("""COMPUTED_VALUE"""),295410.0)</f>
        <v>295410</v>
      </c>
      <c r="N148" s="235">
        <f>IFERROR(__xludf.DUMMYFUNCTION("""COMPUTED_VALUE"""),319234.0)</f>
        <v>319234</v>
      </c>
      <c r="O148" s="235">
        <f>IFERROR(__xludf.DUMMYFUNCTION("""COMPUTED_VALUE"""),12.0)</f>
        <v>12</v>
      </c>
      <c r="P148" s="235">
        <f>IFERROR(__xludf.DUMMYFUNCTION("""COMPUTED_VALUE"""),2708.0)</f>
        <v>2708</v>
      </c>
      <c r="Q148" s="235">
        <f>IFERROR(__xludf.DUMMYFUNCTION("""COMPUTED_VALUE"""),3.0)</f>
        <v>3</v>
      </c>
      <c r="R148" s="235">
        <f>IFERROR(__xludf.DUMMYFUNCTION("""COMPUTED_VALUE"""),2277.0)</f>
        <v>2277</v>
      </c>
      <c r="S148" s="235">
        <f>IFERROR(__xludf.DUMMYFUNCTION("""COMPUTED_VALUE"""),2.0)</f>
        <v>2</v>
      </c>
      <c r="T148" s="235">
        <f>IFERROR(__xludf.DUMMYFUNCTION("""COMPUTED_VALUE"""),354.0)</f>
        <v>354</v>
      </c>
      <c r="U148" s="235">
        <f>IFERROR(__xludf.DUMMYFUNCTION("""COMPUTED_VALUE"""),77.0)</f>
        <v>77</v>
      </c>
      <c r="V148" s="235">
        <f>IFERROR(__xludf.DUMMYFUNCTION("""COMPUTED_VALUE"""),73.0)</f>
        <v>73</v>
      </c>
      <c r="W148" s="235">
        <f>IFERROR(__xludf.DUMMYFUNCTION("""COMPUTED_VALUE"""),8.0)</f>
        <v>8</v>
      </c>
      <c r="X148" s="235">
        <f>IFERROR(__xludf.DUMMYFUNCTION("""COMPUTED_VALUE"""),6.0)</f>
        <v>6</v>
      </c>
      <c r="Y148" s="235">
        <f>IFERROR(__xludf.DUMMYFUNCTION("""COMPUTED_VALUE"""),2.0)</f>
        <v>2</v>
      </c>
      <c r="Z148" s="235">
        <f>IFERROR(__xludf.DUMMYFUNCTION("""COMPUTED_VALUE"""),1115.0)</f>
        <v>1115</v>
      </c>
    </row>
    <row r="149">
      <c r="A149" s="234">
        <f>IFERROR(__xludf.DUMMYFUNCTION("""COMPUTED_VALUE"""),44096.0)</f>
        <v>44096</v>
      </c>
      <c r="B149" s="235">
        <f>IFERROR(__xludf.DUMMYFUNCTION("""COMPUTED_VALUE"""),154.0)</f>
        <v>154</v>
      </c>
      <c r="C149" s="235">
        <f>IFERROR(__xludf.DUMMYFUNCTION("""COMPUTED_VALUE"""),105.0)</f>
        <v>105</v>
      </c>
      <c r="D149" s="235">
        <f>IFERROR(__xludf.DUMMYFUNCTION("""COMPUTED_VALUE"""),33786.0)</f>
        <v>33786</v>
      </c>
      <c r="E149" s="235">
        <f>IFERROR(__xludf.DUMMYFUNCTION("""COMPUTED_VALUE"""),9287.0)</f>
        <v>9287</v>
      </c>
      <c r="F149" s="173">
        <f>IFERROR(__xludf.DUMMYFUNCTION("""COMPUTED_VALUE"""),673205.0)</f>
        <v>673205</v>
      </c>
      <c r="G149" s="173">
        <f>IFERROR(__xludf.DUMMYFUNCTION("""COMPUTED_VALUE"""),9441.0)</f>
        <v>9441</v>
      </c>
      <c r="H149" s="173">
        <f>IFERROR(__xludf.DUMMYFUNCTION("""COMPUTED_VALUE"""),706991.0)</f>
        <v>706991</v>
      </c>
      <c r="I149" s="235">
        <f>IFERROR(__xludf.DUMMYFUNCTION("""COMPUTED_VALUE"""),124.0)</f>
        <v>124</v>
      </c>
      <c r="J149" s="235">
        <f>IFERROR(__xludf.DUMMYFUNCTION("""COMPUTED_VALUE"""),89.0)</f>
        <v>89</v>
      </c>
      <c r="K149" s="235">
        <f>IFERROR(__xludf.DUMMYFUNCTION("""COMPUTED_VALUE"""),23948.0)</f>
        <v>23948</v>
      </c>
      <c r="L149" s="235">
        <f>IFERROR(__xludf.DUMMYFUNCTION("""COMPUTED_VALUE"""),2198.0)</f>
        <v>2198</v>
      </c>
      <c r="M149" s="235">
        <f>IFERROR(__xludf.DUMMYFUNCTION("""COMPUTED_VALUE"""),297608.0)</f>
        <v>297608</v>
      </c>
      <c r="N149" s="235">
        <f>IFERROR(__xludf.DUMMYFUNCTION("""COMPUTED_VALUE"""),321556.0)</f>
        <v>321556</v>
      </c>
      <c r="O149" s="235">
        <f>IFERROR(__xludf.DUMMYFUNCTION("""COMPUTED_VALUE"""),12.0)</f>
        <v>12</v>
      </c>
      <c r="P149" s="235">
        <f>IFERROR(__xludf.DUMMYFUNCTION("""COMPUTED_VALUE"""),2720.0)</f>
        <v>2720</v>
      </c>
      <c r="Q149" s="235">
        <f>IFERROR(__xludf.DUMMYFUNCTION("""COMPUTED_VALUE"""),3.0)</f>
        <v>3</v>
      </c>
      <c r="R149" s="235">
        <f>IFERROR(__xludf.DUMMYFUNCTION("""COMPUTED_VALUE"""),2280.0)</f>
        <v>2280</v>
      </c>
      <c r="S149" s="235">
        <f>IFERROR(__xludf.DUMMYFUNCTION("""COMPUTED_VALUE"""),1.0)</f>
        <v>1</v>
      </c>
      <c r="T149" s="235">
        <f>IFERROR(__xludf.DUMMYFUNCTION("""COMPUTED_VALUE"""),355.0)</f>
        <v>355</v>
      </c>
      <c r="U149" s="235">
        <f>IFERROR(__xludf.DUMMYFUNCTION("""COMPUTED_VALUE"""),85.0)</f>
        <v>85</v>
      </c>
      <c r="V149" s="235">
        <f>IFERROR(__xludf.DUMMYFUNCTION("""COMPUTED_VALUE"""),77.0)</f>
        <v>77</v>
      </c>
      <c r="W149" s="235">
        <f>IFERROR(__xludf.DUMMYFUNCTION("""COMPUTED_VALUE"""),7.0)</f>
        <v>7</v>
      </c>
      <c r="X149" s="235">
        <f>IFERROR(__xludf.DUMMYFUNCTION("""COMPUTED_VALUE"""),5.0)</f>
        <v>5</v>
      </c>
      <c r="Y149" s="235">
        <f>IFERROR(__xludf.DUMMYFUNCTION("""COMPUTED_VALUE"""),1.0)</f>
        <v>1</v>
      </c>
      <c r="Z149" s="235">
        <f>IFERROR(__xludf.DUMMYFUNCTION("""COMPUTED_VALUE"""),1116.0)</f>
        <v>1116</v>
      </c>
    </row>
    <row r="150">
      <c r="A150" s="234">
        <f>IFERROR(__xludf.DUMMYFUNCTION("""COMPUTED_VALUE"""),44097.0)</f>
        <v>44097</v>
      </c>
      <c r="B150" s="235">
        <f>IFERROR(__xludf.DUMMYFUNCTION("""COMPUTED_VALUE"""),136.0)</f>
        <v>136</v>
      </c>
      <c r="C150" s="235">
        <f>IFERROR(__xludf.DUMMYFUNCTION("""COMPUTED_VALUE"""),131.0)</f>
        <v>131</v>
      </c>
      <c r="D150" s="235">
        <f>IFERROR(__xludf.DUMMYFUNCTION("""COMPUTED_VALUE"""),33922.0)</f>
        <v>33922</v>
      </c>
      <c r="E150" s="235">
        <f>IFERROR(__xludf.DUMMYFUNCTION("""COMPUTED_VALUE"""),10650.0)</f>
        <v>10650</v>
      </c>
      <c r="F150" s="173">
        <f>IFERROR(__xludf.DUMMYFUNCTION("""COMPUTED_VALUE"""),683855.0)</f>
        <v>683855</v>
      </c>
      <c r="G150" s="173">
        <f>IFERROR(__xludf.DUMMYFUNCTION("""COMPUTED_VALUE"""),10786.0)</f>
        <v>10786</v>
      </c>
      <c r="H150" s="173">
        <f>IFERROR(__xludf.DUMMYFUNCTION("""COMPUTED_VALUE"""),717777.0)</f>
        <v>717777</v>
      </c>
      <c r="I150" s="235">
        <f>IFERROR(__xludf.DUMMYFUNCTION("""COMPUTED_VALUE"""),127.0)</f>
        <v>127</v>
      </c>
      <c r="J150" s="235">
        <f>IFERROR(__xludf.DUMMYFUNCTION("""COMPUTED_VALUE"""),115.0)</f>
        <v>115</v>
      </c>
      <c r="K150" s="235">
        <f>IFERROR(__xludf.DUMMYFUNCTION("""COMPUTED_VALUE"""),24075.0)</f>
        <v>24075</v>
      </c>
      <c r="L150" s="235">
        <f>IFERROR(__xludf.DUMMYFUNCTION("""COMPUTED_VALUE"""),2208.0)</f>
        <v>2208</v>
      </c>
      <c r="M150" s="235">
        <f>IFERROR(__xludf.DUMMYFUNCTION("""COMPUTED_VALUE"""),299816.0)</f>
        <v>299816</v>
      </c>
      <c r="N150" s="235">
        <f>IFERROR(__xludf.DUMMYFUNCTION("""COMPUTED_VALUE"""),323891.0)</f>
        <v>323891</v>
      </c>
      <c r="O150" s="235">
        <f>IFERROR(__xludf.DUMMYFUNCTION("""COMPUTED_VALUE"""),12.0)</f>
        <v>12</v>
      </c>
      <c r="P150" s="235">
        <f>IFERROR(__xludf.DUMMYFUNCTION("""COMPUTED_VALUE"""),2732.0)</f>
        <v>2732</v>
      </c>
      <c r="Q150" s="235">
        <f>IFERROR(__xludf.DUMMYFUNCTION("""COMPUTED_VALUE"""),7.0)</f>
        <v>7</v>
      </c>
      <c r="R150" s="235">
        <f>IFERROR(__xludf.DUMMYFUNCTION("""COMPUTED_VALUE"""),2287.0)</f>
        <v>2287</v>
      </c>
      <c r="S150" s="235">
        <f>IFERROR(__xludf.DUMMYFUNCTION("""COMPUTED_VALUE"""),0.0)</f>
        <v>0</v>
      </c>
      <c r="T150" s="235">
        <f>IFERROR(__xludf.DUMMYFUNCTION("""COMPUTED_VALUE"""),355.0)</f>
        <v>355</v>
      </c>
      <c r="U150" s="235">
        <f>IFERROR(__xludf.DUMMYFUNCTION("""COMPUTED_VALUE"""),90.0)</f>
        <v>90</v>
      </c>
      <c r="V150" s="235">
        <f>IFERROR(__xludf.DUMMYFUNCTION("""COMPUTED_VALUE"""),84.0)</f>
        <v>84</v>
      </c>
      <c r="W150" s="235">
        <f>IFERROR(__xludf.DUMMYFUNCTION("""COMPUTED_VALUE"""),6.0)</f>
        <v>6</v>
      </c>
      <c r="X150" s="235">
        <f>IFERROR(__xludf.DUMMYFUNCTION("""COMPUTED_VALUE"""),5.0)</f>
        <v>5</v>
      </c>
      <c r="Y150" s="235">
        <f>IFERROR(__xludf.DUMMYFUNCTION("""COMPUTED_VALUE"""),0.0)</f>
        <v>0</v>
      </c>
      <c r="Z150" s="235">
        <f>IFERROR(__xludf.DUMMYFUNCTION("""COMPUTED_VALUE"""),1116.0)</f>
        <v>1116</v>
      </c>
    </row>
    <row r="151">
      <c r="A151" s="234">
        <f>IFERROR(__xludf.DUMMYFUNCTION("""COMPUTED_VALUE"""),44098.0)</f>
        <v>44098</v>
      </c>
      <c r="B151" s="235">
        <f>IFERROR(__xludf.DUMMYFUNCTION("""COMPUTED_VALUE"""),120.0)</f>
        <v>120</v>
      </c>
      <c r="C151" s="235">
        <f>IFERROR(__xludf.DUMMYFUNCTION("""COMPUTED_VALUE"""),137.0)</f>
        <v>137</v>
      </c>
      <c r="D151" s="235">
        <f>IFERROR(__xludf.DUMMYFUNCTION("""COMPUTED_VALUE"""),34042.0)</f>
        <v>34042</v>
      </c>
      <c r="E151" s="235">
        <f>IFERROR(__xludf.DUMMYFUNCTION("""COMPUTED_VALUE"""),12479.0)</f>
        <v>12479</v>
      </c>
      <c r="F151" s="173">
        <f>IFERROR(__xludf.DUMMYFUNCTION("""COMPUTED_VALUE"""),696334.0)</f>
        <v>696334</v>
      </c>
      <c r="G151" s="173">
        <f>IFERROR(__xludf.DUMMYFUNCTION("""COMPUTED_VALUE"""),12599.0)</f>
        <v>12599</v>
      </c>
      <c r="H151" s="173">
        <f>IFERROR(__xludf.DUMMYFUNCTION("""COMPUTED_VALUE"""),730376.0)</f>
        <v>730376</v>
      </c>
      <c r="I151" s="235">
        <f>IFERROR(__xludf.DUMMYFUNCTION("""COMPUTED_VALUE"""),121.0)</f>
        <v>121</v>
      </c>
      <c r="J151" s="235">
        <f>IFERROR(__xludf.DUMMYFUNCTION("""COMPUTED_VALUE"""),124.0)</f>
        <v>124</v>
      </c>
      <c r="K151" s="235">
        <f>IFERROR(__xludf.DUMMYFUNCTION("""COMPUTED_VALUE"""),24196.0)</f>
        <v>24196</v>
      </c>
      <c r="L151" s="235">
        <f>IFERROR(__xludf.DUMMYFUNCTION("""COMPUTED_VALUE"""),3153.0)</f>
        <v>3153</v>
      </c>
      <c r="M151" s="235">
        <f>IFERROR(__xludf.DUMMYFUNCTION("""COMPUTED_VALUE"""),302969.0)</f>
        <v>302969</v>
      </c>
      <c r="N151" s="235">
        <f>IFERROR(__xludf.DUMMYFUNCTION("""COMPUTED_VALUE"""),327165.0)</f>
        <v>327165</v>
      </c>
      <c r="O151" s="235">
        <f>IFERROR(__xludf.DUMMYFUNCTION("""COMPUTED_VALUE"""),7.0)</f>
        <v>7</v>
      </c>
      <c r="P151" s="235">
        <f>IFERROR(__xludf.DUMMYFUNCTION("""COMPUTED_VALUE"""),2739.0)</f>
        <v>2739</v>
      </c>
      <c r="Q151" s="235">
        <f>IFERROR(__xludf.DUMMYFUNCTION("""COMPUTED_VALUE"""),9.0)</f>
        <v>9</v>
      </c>
      <c r="R151" s="235">
        <f>IFERROR(__xludf.DUMMYFUNCTION("""COMPUTED_VALUE"""),2296.0)</f>
        <v>2296</v>
      </c>
      <c r="S151" s="235">
        <f>IFERROR(__xludf.DUMMYFUNCTION("""COMPUTED_VALUE"""),1.0)</f>
        <v>1</v>
      </c>
      <c r="T151" s="235">
        <f>IFERROR(__xludf.DUMMYFUNCTION("""COMPUTED_VALUE"""),356.0)</f>
        <v>356</v>
      </c>
      <c r="U151" s="235">
        <f>IFERROR(__xludf.DUMMYFUNCTION("""COMPUTED_VALUE"""),87.0)</f>
        <v>87</v>
      </c>
      <c r="V151" s="235">
        <f>IFERROR(__xludf.DUMMYFUNCTION("""COMPUTED_VALUE"""),87.0)</f>
        <v>87</v>
      </c>
      <c r="W151" s="235">
        <f>IFERROR(__xludf.DUMMYFUNCTION("""COMPUTED_VALUE"""),7.0)</f>
        <v>7</v>
      </c>
      <c r="X151" s="235">
        <f>IFERROR(__xludf.DUMMYFUNCTION("""COMPUTED_VALUE"""),5.0)</f>
        <v>5</v>
      </c>
      <c r="Y151" s="235">
        <f>IFERROR(__xludf.DUMMYFUNCTION("""COMPUTED_VALUE"""),1.0)</f>
        <v>1</v>
      </c>
      <c r="Z151" s="235">
        <f>IFERROR(__xludf.DUMMYFUNCTION("""COMPUTED_VALUE"""),1117.0)</f>
        <v>1117</v>
      </c>
    </row>
    <row r="152">
      <c r="A152" s="234">
        <f>IFERROR(__xludf.DUMMYFUNCTION("""COMPUTED_VALUE"""),44099.0)</f>
        <v>44099</v>
      </c>
      <c r="B152" s="235">
        <f>IFERROR(__xludf.DUMMYFUNCTION("""COMPUTED_VALUE"""),149.0)</f>
        <v>149</v>
      </c>
      <c r="C152" s="235">
        <f>IFERROR(__xludf.DUMMYFUNCTION("""COMPUTED_VALUE"""),135.0)</f>
        <v>135</v>
      </c>
      <c r="D152" s="235">
        <f>IFERROR(__xludf.DUMMYFUNCTION("""COMPUTED_VALUE"""),34191.0)</f>
        <v>34191</v>
      </c>
      <c r="E152" s="235">
        <f>IFERROR(__xludf.DUMMYFUNCTION("""COMPUTED_VALUE"""),10553.0)</f>
        <v>10553</v>
      </c>
      <c r="F152" s="173">
        <f>IFERROR(__xludf.DUMMYFUNCTION("""COMPUTED_VALUE"""),706887.0)</f>
        <v>706887</v>
      </c>
      <c r="G152" s="173">
        <f>IFERROR(__xludf.DUMMYFUNCTION("""COMPUTED_VALUE"""),10702.0)</f>
        <v>10702</v>
      </c>
      <c r="H152" s="173">
        <f>IFERROR(__xludf.DUMMYFUNCTION("""COMPUTED_VALUE"""),741078.0)</f>
        <v>741078</v>
      </c>
      <c r="I152" s="235">
        <f>IFERROR(__xludf.DUMMYFUNCTION("""COMPUTED_VALUE"""),142.0)</f>
        <v>142</v>
      </c>
      <c r="J152" s="235">
        <f>IFERROR(__xludf.DUMMYFUNCTION("""COMPUTED_VALUE"""),130.0)</f>
        <v>130</v>
      </c>
      <c r="K152" s="235">
        <f>IFERROR(__xludf.DUMMYFUNCTION("""COMPUTED_VALUE"""),24338.0)</f>
        <v>24338</v>
      </c>
      <c r="L152" s="235">
        <f>IFERROR(__xludf.DUMMYFUNCTION("""COMPUTED_VALUE"""),2991.0)</f>
        <v>2991</v>
      </c>
      <c r="M152" s="235">
        <f>IFERROR(__xludf.DUMMYFUNCTION("""COMPUTED_VALUE"""),305960.0)</f>
        <v>305960</v>
      </c>
      <c r="N152" s="235">
        <f>IFERROR(__xludf.DUMMYFUNCTION("""COMPUTED_VALUE"""),330298.0)</f>
        <v>330298</v>
      </c>
      <c r="O152" s="235">
        <f>IFERROR(__xludf.DUMMYFUNCTION("""COMPUTED_VALUE"""),9.0)</f>
        <v>9</v>
      </c>
      <c r="P152" s="235">
        <f>IFERROR(__xludf.DUMMYFUNCTION("""COMPUTED_VALUE"""),2748.0)</f>
        <v>2748</v>
      </c>
      <c r="Q152" s="235">
        <f>IFERROR(__xludf.DUMMYFUNCTION("""COMPUTED_VALUE"""),10.0)</f>
        <v>10</v>
      </c>
      <c r="R152" s="235">
        <f>IFERROR(__xludf.DUMMYFUNCTION("""COMPUTED_VALUE"""),2306.0)</f>
        <v>2306</v>
      </c>
      <c r="S152" s="235">
        <f>IFERROR(__xludf.DUMMYFUNCTION("""COMPUTED_VALUE"""),0.0)</f>
        <v>0</v>
      </c>
      <c r="T152" s="235">
        <f>IFERROR(__xludf.DUMMYFUNCTION("""COMPUTED_VALUE"""),356.0)</f>
        <v>356</v>
      </c>
      <c r="U152" s="235">
        <f>IFERROR(__xludf.DUMMYFUNCTION("""COMPUTED_VALUE"""),86.0)</f>
        <v>86</v>
      </c>
      <c r="V152" s="235">
        <f>IFERROR(__xludf.DUMMYFUNCTION("""COMPUTED_VALUE"""),88.0)</f>
        <v>88</v>
      </c>
      <c r="W152" s="235">
        <f>IFERROR(__xludf.DUMMYFUNCTION("""COMPUTED_VALUE"""),6.0)</f>
        <v>6</v>
      </c>
      <c r="X152" s="235">
        <f>IFERROR(__xludf.DUMMYFUNCTION("""COMPUTED_VALUE"""),5.0)</f>
        <v>5</v>
      </c>
      <c r="Y152" s="235">
        <f>IFERROR(__xludf.DUMMYFUNCTION("""COMPUTED_VALUE"""),1.0)</f>
        <v>1</v>
      </c>
      <c r="Z152" s="235">
        <f>IFERROR(__xludf.DUMMYFUNCTION("""COMPUTED_VALUE"""),1118.0)</f>
        <v>1118</v>
      </c>
    </row>
    <row r="153">
      <c r="A153" s="234">
        <f>IFERROR(__xludf.DUMMYFUNCTION("""COMPUTED_VALUE"""),44100.0)</f>
        <v>44100</v>
      </c>
      <c r="B153" s="235">
        <f>IFERROR(__xludf.DUMMYFUNCTION("""COMPUTED_VALUE"""),146.0)</f>
        <v>146</v>
      </c>
      <c r="C153" s="235">
        <f>IFERROR(__xludf.DUMMYFUNCTION("""COMPUTED_VALUE"""),138.0)</f>
        <v>138</v>
      </c>
      <c r="D153" s="235">
        <f>IFERROR(__xludf.DUMMYFUNCTION("""COMPUTED_VALUE"""),34337.0)</f>
        <v>34337</v>
      </c>
      <c r="E153" s="235">
        <f>IFERROR(__xludf.DUMMYFUNCTION("""COMPUTED_VALUE"""),10559.0)</f>
        <v>10559</v>
      </c>
      <c r="F153" s="173">
        <f>IFERROR(__xludf.DUMMYFUNCTION("""COMPUTED_VALUE"""),717446.0)</f>
        <v>717446</v>
      </c>
      <c r="G153" s="173">
        <f>IFERROR(__xludf.DUMMYFUNCTION("""COMPUTED_VALUE"""),10705.0)</f>
        <v>10705</v>
      </c>
      <c r="H153" s="173">
        <f>IFERROR(__xludf.DUMMYFUNCTION("""COMPUTED_VALUE"""),751783.0)</f>
        <v>751783</v>
      </c>
      <c r="I153" s="235">
        <f>IFERROR(__xludf.DUMMYFUNCTION("""COMPUTED_VALUE"""),119.0)</f>
        <v>119</v>
      </c>
      <c r="J153" s="235">
        <f>IFERROR(__xludf.DUMMYFUNCTION("""COMPUTED_VALUE"""),127.0)</f>
        <v>127</v>
      </c>
      <c r="K153" s="235">
        <f>IFERROR(__xludf.DUMMYFUNCTION("""COMPUTED_VALUE"""),24457.0)</f>
        <v>24457</v>
      </c>
      <c r="L153" s="235">
        <f>IFERROR(__xludf.DUMMYFUNCTION("""COMPUTED_VALUE"""),2413.0)</f>
        <v>2413</v>
      </c>
      <c r="M153" s="235">
        <f>IFERROR(__xludf.DUMMYFUNCTION("""COMPUTED_VALUE"""),308373.0)</f>
        <v>308373</v>
      </c>
      <c r="N153" s="235">
        <f>IFERROR(__xludf.DUMMYFUNCTION("""COMPUTED_VALUE"""),332830.0)</f>
        <v>332830</v>
      </c>
      <c r="O153" s="235">
        <f>IFERROR(__xludf.DUMMYFUNCTION("""COMPUTED_VALUE"""),12.0)</f>
        <v>12</v>
      </c>
      <c r="P153" s="235">
        <f>IFERROR(__xludf.DUMMYFUNCTION("""COMPUTED_VALUE"""),2760.0)</f>
        <v>2760</v>
      </c>
      <c r="Q153" s="235">
        <f>IFERROR(__xludf.DUMMYFUNCTION("""COMPUTED_VALUE"""),9.0)</f>
        <v>9</v>
      </c>
      <c r="R153" s="235">
        <f>IFERROR(__xludf.DUMMYFUNCTION("""COMPUTED_VALUE"""),2315.0)</f>
        <v>2315</v>
      </c>
      <c r="S153" s="235">
        <f>IFERROR(__xludf.DUMMYFUNCTION("""COMPUTED_VALUE"""),0.0)</f>
        <v>0</v>
      </c>
      <c r="T153" s="235">
        <f>IFERROR(__xludf.DUMMYFUNCTION("""COMPUTED_VALUE"""),356.0)</f>
        <v>356</v>
      </c>
      <c r="U153" s="235">
        <f>IFERROR(__xludf.DUMMYFUNCTION("""COMPUTED_VALUE"""),89.0)</f>
        <v>89</v>
      </c>
      <c r="V153" s="235">
        <f>IFERROR(__xludf.DUMMYFUNCTION("""COMPUTED_VALUE"""),87.0)</f>
        <v>87</v>
      </c>
      <c r="W153" s="235">
        <f>IFERROR(__xludf.DUMMYFUNCTION("""COMPUTED_VALUE"""),6.0)</f>
        <v>6</v>
      </c>
      <c r="X153" s="235">
        <f>IFERROR(__xludf.DUMMYFUNCTION("""COMPUTED_VALUE"""),5.0)</f>
        <v>5</v>
      </c>
      <c r="Y153" s="235">
        <f>IFERROR(__xludf.DUMMYFUNCTION("""COMPUTED_VALUE"""),1.0)</f>
        <v>1</v>
      </c>
      <c r="Z153" s="235">
        <f>IFERROR(__xludf.DUMMYFUNCTION("""COMPUTED_VALUE"""),1119.0)</f>
        <v>1119</v>
      </c>
    </row>
    <row r="154">
      <c r="A154" s="234">
        <f>IFERROR(__xludf.DUMMYFUNCTION("""COMPUTED_VALUE"""),44101.0)</f>
        <v>44101</v>
      </c>
      <c r="B154" s="235">
        <f>IFERROR(__xludf.DUMMYFUNCTION("""COMPUTED_VALUE"""),43.0)</f>
        <v>43</v>
      </c>
      <c r="C154" s="235">
        <f>IFERROR(__xludf.DUMMYFUNCTION("""COMPUTED_VALUE"""),113.0)</f>
        <v>113</v>
      </c>
      <c r="D154" s="235">
        <f>IFERROR(__xludf.DUMMYFUNCTION("""COMPUTED_VALUE"""),34380.0)</f>
        <v>34380</v>
      </c>
      <c r="E154" s="235">
        <f>IFERROR(__xludf.DUMMYFUNCTION("""COMPUTED_VALUE"""),2764.0)</f>
        <v>2764</v>
      </c>
      <c r="F154" s="173">
        <f>IFERROR(__xludf.DUMMYFUNCTION("""COMPUTED_VALUE"""),720210.0)</f>
        <v>720210</v>
      </c>
      <c r="G154" s="173">
        <f>IFERROR(__xludf.DUMMYFUNCTION("""COMPUTED_VALUE"""),2807.0)</f>
        <v>2807</v>
      </c>
      <c r="H154" s="173">
        <f>IFERROR(__xludf.DUMMYFUNCTION("""COMPUTED_VALUE"""),754590.0)</f>
        <v>754590</v>
      </c>
      <c r="I154" s="235">
        <f>IFERROR(__xludf.DUMMYFUNCTION("""COMPUTED_VALUE"""),34.0)</f>
        <v>34</v>
      </c>
      <c r="J154" s="235">
        <f>IFERROR(__xludf.DUMMYFUNCTION("""COMPUTED_VALUE"""),98.0)</f>
        <v>98</v>
      </c>
      <c r="K154" s="235">
        <f>IFERROR(__xludf.DUMMYFUNCTION("""COMPUTED_VALUE"""),24491.0)</f>
        <v>24491</v>
      </c>
      <c r="L154" s="235">
        <f>IFERROR(__xludf.DUMMYFUNCTION("""COMPUTED_VALUE"""),841.0)</f>
        <v>841</v>
      </c>
      <c r="M154" s="235">
        <f>IFERROR(__xludf.DUMMYFUNCTION("""COMPUTED_VALUE"""),309214.0)</f>
        <v>309214</v>
      </c>
      <c r="N154" s="235">
        <f>IFERROR(__xludf.DUMMYFUNCTION("""COMPUTED_VALUE"""),333705.0)</f>
        <v>333705</v>
      </c>
      <c r="O154" s="235">
        <f>IFERROR(__xludf.DUMMYFUNCTION("""COMPUTED_VALUE"""),7.0)</f>
        <v>7</v>
      </c>
      <c r="P154" s="235">
        <f>IFERROR(__xludf.DUMMYFUNCTION("""COMPUTED_VALUE"""),2767.0)</f>
        <v>2767</v>
      </c>
      <c r="Q154" s="235">
        <f>IFERROR(__xludf.DUMMYFUNCTION("""COMPUTED_VALUE"""),5.0)</f>
        <v>5</v>
      </c>
      <c r="R154" s="235">
        <f>IFERROR(__xludf.DUMMYFUNCTION("""COMPUTED_VALUE"""),2320.0)</f>
        <v>2320</v>
      </c>
      <c r="S154" s="235">
        <f>IFERROR(__xludf.DUMMYFUNCTION("""COMPUTED_VALUE"""),0.0)</f>
        <v>0</v>
      </c>
      <c r="T154" s="235">
        <f>IFERROR(__xludf.DUMMYFUNCTION("""COMPUTED_VALUE"""),356.0)</f>
        <v>356</v>
      </c>
      <c r="U154" s="235">
        <f>IFERROR(__xludf.DUMMYFUNCTION("""COMPUTED_VALUE"""),91.0)</f>
        <v>91</v>
      </c>
      <c r="V154" s="235">
        <f>IFERROR(__xludf.DUMMYFUNCTION("""COMPUTED_VALUE"""),89.0)</f>
        <v>89</v>
      </c>
      <c r="W154" s="235">
        <f>IFERROR(__xludf.DUMMYFUNCTION("""COMPUTED_VALUE"""),9.0)</f>
        <v>9</v>
      </c>
      <c r="X154" s="235">
        <f>IFERROR(__xludf.DUMMYFUNCTION("""COMPUTED_VALUE"""),5.0)</f>
        <v>5</v>
      </c>
      <c r="Y154" s="235">
        <f>IFERROR(__xludf.DUMMYFUNCTION("""COMPUTED_VALUE"""),0.0)</f>
        <v>0</v>
      </c>
      <c r="Z154" s="235">
        <f>IFERROR(__xludf.DUMMYFUNCTION("""COMPUTED_VALUE"""),1119.0)</f>
        <v>1119</v>
      </c>
    </row>
    <row r="155">
      <c r="A155" s="234">
        <f>IFERROR(__xludf.DUMMYFUNCTION("""COMPUTED_VALUE"""),44102.0)</f>
        <v>44102</v>
      </c>
      <c r="B155" s="235">
        <f>IFERROR(__xludf.DUMMYFUNCTION("""COMPUTED_VALUE"""),152.0)</f>
        <v>152</v>
      </c>
      <c r="C155" s="235">
        <f>IFERROR(__xludf.DUMMYFUNCTION("""COMPUTED_VALUE"""),114.0)</f>
        <v>114</v>
      </c>
      <c r="D155" s="235">
        <f>IFERROR(__xludf.DUMMYFUNCTION("""COMPUTED_VALUE"""),34532.0)</f>
        <v>34532</v>
      </c>
      <c r="E155" s="235">
        <f>IFERROR(__xludf.DUMMYFUNCTION("""COMPUTED_VALUE"""),7308.0)</f>
        <v>7308</v>
      </c>
      <c r="F155" s="173">
        <f>IFERROR(__xludf.DUMMYFUNCTION("""COMPUTED_VALUE"""),727518.0)</f>
        <v>727518</v>
      </c>
      <c r="G155" s="173">
        <f>IFERROR(__xludf.DUMMYFUNCTION("""COMPUTED_VALUE"""),7460.0)</f>
        <v>7460</v>
      </c>
      <c r="H155" s="173">
        <f>IFERROR(__xludf.DUMMYFUNCTION("""COMPUTED_VALUE"""),762050.0)</f>
        <v>762050</v>
      </c>
      <c r="I155" s="235">
        <f>IFERROR(__xludf.DUMMYFUNCTION("""COMPUTED_VALUE"""),134.0)</f>
        <v>134</v>
      </c>
      <c r="J155" s="235">
        <f>IFERROR(__xludf.DUMMYFUNCTION("""COMPUTED_VALUE"""),96.0)</f>
        <v>96</v>
      </c>
      <c r="K155" s="235">
        <f>IFERROR(__xludf.DUMMYFUNCTION("""COMPUTED_VALUE"""),24625.0)</f>
        <v>24625</v>
      </c>
      <c r="L155" s="235">
        <f>IFERROR(__xludf.DUMMYFUNCTION("""COMPUTED_VALUE"""),2254.0)</f>
        <v>2254</v>
      </c>
      <c r="M155" s="235">
        <f>IFERROR(__xludf.DUMMYFUNCTION("""COMPUTED_VALUE"""),311468.0)</f>
        <v>311468</v>
      </c>
      <c r="N155" s="235">
        <f>IFERROR(__xludf.DUMMYFUNCTION("""COMPUTED_VALUE"""),336093.0)</f>
        <v>336093</v>
      </c>
      <c r="O155" s="235">
        <f>IFERROR(__xludf.DUMMYFUNCTION("""COMPUTED_VALUE"""),7.0)</f>
        <v>7</v>
      </c>
      <c r="P155" s="235">
        <f>IFERROR(__xludf.DUMMYFUNCTION("""COMPUTED_VALUE"""),2774.0)</f>
        <v>2774</v>
      </c>
      <c r="Q155" s="235">
        <f>IFERROR(__xludf.DUMMYFUNCTION("""COMPUTED_VALUE"""),7.0)</f>
        <v>7</v>
      </c>
      <c r="R155" s="235">
        <f>IFERROR(__xludf.DUMMYFUNCTION("""COMPUTED_VALUE"""),2327.0)</f>
        <v>2327</v>
      </c>
      <c r="S155" s="235">
        <f>IFERROR(__xludf.DUMMYFUNCTION("""COMPUTED_VALUE"""),2.0)</f>
        <v>2</v>
      </c>
      <c r="T155" s="235">
        <f>IFERROR(__xludf.DUMMYFUNCTION("""COMPUTED_VALUE"""),358.0)</f>
        <v>358</v>
      </c>
      <c r="U155" s="235">
        <f>IFERROR(__xludf.DUMMYFUNCTION("""COMPUTED_VALUE"""),89.0)</f>
        <v>89</v>
      </c>
      <c r="V155" s="235">
        <f>IFERROR(__xludf.DUMMYFUNCTION("""COMPUTED_VALUE"""),90.0)</f>
        <v>90</v>
      </c>
      <c r="W155" s="235">
        <f>IFERROR(__xludf.DUMMYFUNCTION("""COMPUTED_VALUE"""),7.0)</f>
        <v>7</v>
      </c>
      <c r="X155" s="235">
        <f>IFERROR(__xludf.DUMMYFUNCTION("""COMPUTED_VALUE"""),5.0)</f>
        <v>5</v>
      </c>
      <c r="Y155" s="235">
        <f>IFERROR(__xludf.DUMMYFUNCTION("""COMPUTED_VALUE"""),2.0)</f>
        <v>2</v>
      </c>
      <c r="Z155" s="235">
        <f>IFERROR(__xludf.DUMMYFUNCTION("""COMPUTED_VALUE"""),1121.0)</f>
        <v>1121</v>
      </c>
    </row>
    <row r="156">
      <c r="A156" s="234">
        <f>IFERROR(__xludf.DUMMYFUNCTION("""COMPUTED_VALUE"""),44103.0)</f>
        <v>44103</v>
      </c>
      <c r="B156" s="235">
        <f>IFERROR(__xludf.DUMMYFUNCTION("""COMPUTED_VALUE"""),208.0)</f>
        <v>208</v>
      </c>
      <c r="C156" s="235">
        <f>IFERROR(__xludf.DUMMYFUNCTION("""COMPUTED_VALUE"""),134.0)</f>
        <v>134</v>
      </c>
      <c r="D156" s="235">
        <f>IFERROR(__xludf.DUMMYFUNCTION("""COMPUTED_VALUE"""),34740.0)</f>
        <v>34740</v>
      </c>
      <c r="E156" s="235">
        <f>IFERROR(__xludf.DUMMYFUNCTION("""COMPUTED_VALUE"""),11046.0)</f>
        <v>11046</v>
      </c>
      <c r="F156" s="173">
        <f>IFERROR(__xludf.DUMMYFUNCTION("""COMPUTED_VALUE"""),738564.0)</f>
        <v>738564</v>
      </c>
      <c r="G156" s="173">
        <f>IFERROR(__xludf.DUMMYFUNCTION("""COMPUTED_VALUE"""),11254.0)</f>
        <v>11254</v>
      </c>
      <c r="H156" s="173">
        <f>IFERROR(__xludf.DUMMYFUNCTION("""COMPUTED_VALUE"""),773304.0)</f>
        <v>773304</v>
      </c>
      <c r="I156" s="235">
        <f>IFERROR(__xludf.DUMMYFUNCTION("""COMPUTED_VALUE"""),190.0)</f>
        <v>190</v>
      </c>
      <c r="J156" s="235">
        <f>IFERROR(__xludf.DUMMYFUNCTION("""COMPUTED_VALUE"""),119.0)</f>
        <v>119</v>
      </c>
      <c r="K156" s="235">
        <f>IFERROR(__xludf.DUMMYFUNCTION("""COMPUTED_VALUE"""),24815.0)</f>
        <v>24815</v>
      </c>
      <c r="L156" s="235">
        <f>IFERROR(__xludf.DUMMYFUNCTION("""COMPUTED_VALUE"""),2820.0)</f>
        <v>2820</v>
      </c>
      <c r="M156" s="235">
        <f>IFERROR(__xludf.DUMMYFUNCTION("""COMPUTED_VALUE"""),314288.0)</f>
        <v>314288</v>
      </c>
      <c r="N156" s="235">
        <f>IFERROR(__xludf.DUMMYFUNCTION("""COMPUTED_VALUE"""),339103.0)</f>
        <v>339103</v>
      </c>
      <c r="O156" s="235">
        <f>IFERROR(__xludf.DUMMYFUNCTION("""COMPUTED_VALUE"""),12.0)</f>
        <v>12</v>
      </c>
      <c r="P156" s="235">
        <f>IFERROR(__xludf.DUMMYFUNCTION("""COMPUTED_VALUE"""),2786.0)</f>
        <v>2786</v>
      </c>
      <c r="Q156" s="235">
        <f>IFERROR(__xludf.DUMMYFUNCTION("""COMPUTED_VALUE"""),18.0)</f>
        <v>18</v>
      </c>
      <c r="R156" s="235">
        <f>IFERROR(__xludf.DUMMYFUNCTION("""COMPUTED_VALUE"""),2345.0)</f>
        <v>2345</v>
      </c>
      <c r="S156" s="235">
        <f>IFERROR(__xludf.DUMMYFUNCTION("""COMPUTED_VALUE"""),1.0)</f>
        <v>1</v>
      </c>
      <c r="T156" s="235">
        <f>IFERROR(__xludf.DUMMYFUNCTION("""COMPUTED_VALUE"""),359.0)</f>
        <v>359</v>
      </c>
      <c r="U156" s="235">
        <f>IFERROR(__xludf.DUMMYFUNCTION("""COMPUTED_VALUE"""),82.0)</f>
        <v>82</v>
      </c>
      <c r="V156" s="235">
        <f>IFERROR(__xludf.DUMMYFUNCTION("""COMPUTED_VALUE"""),87.0)</f>
        <v>87</v>
      </c>
      <c r="W156" s="235">
        <f>IFERROR(__xludf.DUMMYFUNCTION("""COMPUTED_VALUE"""),6.0)</f>
        <v>6</v>
      </c>
      <c r="X156" s="235">
        <f>IFERROR(__xludf.DUMMYFUNCTION("""COMPUTED_VALUE"""),6.0)</f>
        <v>6</v>
      </c>
      <c r="Y156" s="235">
        <f>IFERROR(__xludf.DUMMYFUNCTION("""COMPUTED_VALUE"""),1.0)</f>
        <v>1</v>
      </c>
      <c r="Z156" s="235">
        <f>IFERROR(__xludf.DUMMYFUNCTION("""COMPUTED_VALUE"""),1122.0)</f>
        <v>1122</v>
      </c>
    </row>
    <row r="157">
      <c r="A157" s="234">
        <f>IFERROR(__xludf.DUMMYFUNCTION("""COMPUTED_VALUE"""),44104.0)</f>
        <v>44104</v>
      </c>
      <c r="B157" s="235">
        <f>IFERROR(__xludf.DUMMYFUNCTION("""COMPUTED_VALUE"""),221.0)</f>
        <v>221</v>
      </c>
      <c r="C157" s="235">
        <f>IFERROR(__xludf.DUMMYFUNCTION("""COMPUTED_VALUE"""),194.0)</f>
        <v>194</v>
      </c>
      <c r="D157" s="235">
        <f>IFERROR(__xludf.DUMMYFUNCTION("""COMPUTED_VALUE"""),34961.0)</f>
        <v>34961</v>
      </c>
      <c r="E157" s="235">
        <f>IFERROR(__xludf.DUMMYFUNCTION("""COMPUTED_VALUE"""),12230.0)</f>
        <v>12230</v>
      </c>
      <c r="F157" s="173">
        <f>IFERROR(__xludf.DUMMYFUNCTION("""COMPUTED_VALUE"""),750794.0)</f>
        <v>750794</v>
      </c>
      <c r="G157" s="173">
        <f>IFERROR(__xludf.DUMMYFUNCTION("""COMPUTED_VALUE"""),12451.0)</f>
        <v>12451</v>
      </c>
      <c r="H157" s="173">
        <f>IFERROR(__xludf.DUMMYFUNCTION("""COMPUTED_VALUE"""),785755.0)</f>
        <v>785755</v>
      </c>
      <c r="I157" s="235">
        <f>IFERROR(__xludf.DUMMYFUNCTION("""COMPUTED_VALUE"""),187.0)</f>
        <v>187</v>
      </c>
      <c r="J157" s="235">
        <f>IFERROR(__xludf.DUMMYFUNCTION("""COMPUTED_VALUE"""),170.0)</f>
        <v>170</v>
      </c>
      <c r="K157" s="235">
        <f>IFERROR(__xludf.DUMMYFUNCTION("""COMPUTED_VALUE"""),25002.0)</f>
        <v>25002</v>
      </c>
      <c r="L157" s="235">
        <f>IFERROR(__xludf.DUMMYFUNCTION("""COMPUTED_VALUE"""),2580.0)</f>
        <v>2580</v>
      </c>
      <c r="M157" s="235">
        <f>IFERROR(__xludf.DUMMYFUNCTION("""COMPUTED_VALUE"""),316868.0)</f>
        <v>316868</v>
      </c>
      <c r="N157" s="235">
        <f>IFERROR(__xludf.DUMMYFUNCTION("""COMPUTED_VALUE"""),341870.0)</f>
        <v>341870</v>
      </c>
      <c r="O157" s="235">
        <f>IFERROR(__xludf.DUMMYFUNCTION("""COMPUTED_VALUE"""),6.0)</f>
        <v>6</v>
      </c>
      <c r="P157" s="235">
        <f>IFERROR(__xludf.DUMMYFUNCTION("""COMPUTED_VALUE"""),2792.0)</f>
        <v>2792</v>
      </c>
      <c r="Q157" s="235">
        <f>IFERROR(__xludf.DUMMYFUNCTION("""COMPUTED_VALUE"""),6.0)</f>
        <v>6</v>
      </c>
      <c r="R157" s="235">
        <f>IFERROR(__xludf.DUMMYFUNCTION("""COMPUTED_VALUE"""),2351.0)</f>
        <v>2351</v>
      </c>
      <c r="S157" s="235">
        <f>IFERROR(__xludf.DUMMYFUNCTION("""COMPUTED_VALUE"""),0.0)</f>
        <v>0</v>
      </c>
      <c r="T157" s="235">
        <f>IFERROR(__xludf.DUMMYFUNCTION("""COMPUTED_VALUE"""),359.0)</f>
        <v>359</v>
      </c>
      <c r="U157" s="235">
        <f>IFERROR(__xludf.DUMMYFUNCTION("""COMPUTED_VALUE"""),82.0)</f>
        <v>82</v>
      </c>
      <c r="V157" s="235">
        <f>IFERROR(__xludf.DUMMYFUNCTION("""COMPUTED_VALUE"""),84.0)</f>
        <v>84</v>
      </c>
      <c r="W157" s="235">
        <f>IFERROR(__xludf.DUMMYFUNCTION("""COMPUTED_VALUE"""),6.0)</f>
        <v>6</v>
      </c>
      <c r="X157" s="235">
        <f>IFERROR(__xludf.DUMMYFUNCTION("""COMPUTED_VALUE"""),6.0)</f>
        <v>6</v>
      </c>
      <c r="Y157" s="235">
        <f>IFERROR(__xludf.DUMMYFUNCTION("""COMPUTED_VALUE"""),1.0)</f>
        <v>1</v>
      </c>
      <c r="Z157" s="235">
        <f>IFERROR(__xludf.DUMMYFUNCTION("""COMPUTED_VALUE"""),1123.0)</f>
        <v>1123</v>
      </c>
    </row>
    <row r="158">
      <c r="A158" s="234">
        <f>IFERROR(__xludf.DUMMYFUNCTION("""COMPUTED_VALUE"""),44105.0)</f>
        <v>44105</v>
      </c>
      <c r="B158" s="235">
        <f>IFERROR(__xludf.DUMMYFUNCTION("""COMPUTED_VALUE"""),185.0)</f>
        <v>185</v>
      </c>
      <c r="C158" s="235">
        <f>IFERROR(__xludf.DUMMYFUNCTION("""COMPUTED_VALUE"""),205.0)</f>
        <v>205</v>
      </c>
      <c r="D158" s="235">
        <f>IFERROR(__xludf.DUMMYFUNCTION("""COMPUTED_VALUE"""),35146.0)</f>
        <v>35146</v>
      </c>
      <c r="E158" s="235">
        <f>IFERROR(__xludf.DUMMYFUNCTION("""COMPUTED_VALUE"""),12503.0)</f>
        <v>12503</v>
      </c>
      <c r="F158" s="173">
        <f>IFERROR(__xludf.DUMMYFUNCTION("""COMPUTED_VALUE"""),763297.0)</f>
        <v>763297</v>
      </c>
      <c r="G158" s="173">
        <f>IFERROR(__xludf.DUMMYFUNCTION("""COMPUTED_VALUE"""),12688.0)</f>
        <v>12688</v>
      </c>
      <c r="H158" s="173">
        <f>IFERROR(__xludf.DUMMYFUNCTION("""COMPUTED_VALUE"""),798443.0)</f>
        <v>798443</v>
      </c>
      <c r="I158" s="235">
        <f>IFERROR(__xludf.DUMMYFUNCTION("""COMPUTED_VALUE"""),166.0)</f>
        <v>166</v>
      </c>
      <c r="J158" s="235">
        <f>IFERROR(__xludf.DUMMYFUNCTION("""COMPUTED_VALUE"""),181.0)</f>
        <v>181</v>
      </c>
      <c r="K158" s="235">
        <f>IFERROR(__xludf.DUMMYFUNCTION("""COMPUTED_VALUE"""),25168.0)</f>
        <v>25168</v>
      </c>
      <c r="L158" s="235">
        <f>IFERROR(__xludf.DUMMYFUNCTION("""COMPUTED_VALUE"""),2405.0)</f>
        <v>2405</v>
      </c>
      <c r="M158" s="235">
        <f>IFERROR(__xludf.DUMMYFUNCTION("""COMPUTED_VALUE"""),319273.0)</f>
        <v>319273</v>
      </c>
      <c r="N158" s="235">
        <f>IFERROR(__xludf.DUMMYFUNCTION("""COMPUTED_VALUE"""),344441.0)</f>
        <v>344441</v>
      </c>
      <c r="O158" s="235">
        <f>IFERROR(__xludf.DUMMYFUNCTION("""COMPUTED_VALUE"""),17.0)</f>
        <v>17</v>
      </c>
      <c r="P158" s="235">
        <f>IFERROR(__xludf.DUMMYFUNCTION("""COMPUTED_VALUE"""),2809.0)</f>
        <v>2809</v>
      </c>
      <c r="Q158" s="235">
        <f>IFERROR(__xludf.DUMMYFUNCTION("""COMPUTED_VALUE"""),13.0)</f>
        <v>13</v>
      </c>
      <c r="R158" s="235">
        <f>IFERROR(__xludf.DUMMYFUNCTION("""COMPUTED_VALUE"""),2364.0)</f>
        <v>2364</v>
      </c>
      <c r="S158" s="235">
        <f>IFERROR(__xludf.DUMMYFUNCTION("""COMPUTED_VALUE"""),1.0)</f>
        <v>1</v>
      </c>
      <c r="T158" s="235">
        <f>IFERROR(__xludf.DUMMYFUNCTION("""COMPUTED_VALUE"""),360.0)</f>
        <v>360</v>
      </c>
      <c r="U158" s="235">
        <f>IFERROR(__xludf.DUMMYFUNCTION("""COMPUTED_VALUE"""),85.0)</f>
        <v>85</v>
      </c>
      <c r="V158" s="235">
        <f>IFERROR(__xludf.DUMMYFUNCTION("""COMPUTED_VALUE"""),83.0)</f>
        <v>83</v>
      </c>
      <c r="W158" s="235">
        <f>IFERROR(__xludf.DUMMYFUNCTION("""COMPUTED_VALUE"""),6.0)</f>
        <v>6</v>
      </c>
      <c r="X158" s="235">
        <f>IFERROR(__xludf.DUMMYFUNCTION("""COMPUTED_VALUE"""),4.0)</f>
        <v>4</v>
      </c>
      <c r="Y158" s="235">
        <f>IFERROR(__xludf.DUMMYFUNCTION("""COMPUTED_VALUE"""),2.0)</f>
        <v>2</v>
      </c>
      <c r="Z158" s="235">
        <f>IFERROR(__xludf.DUMMYFUNCTION("""COMPUTED_VALUE"""),1125.0)</f>
        <v>1125</v>
      </c>
    </row>
    <row r="159">
      <c r="A159" s="234">
        <f>IFERROR(__xludf.DUMMYFUNCTION("""COMPUTED_VALUE"""),44106.0)</f>
        <v>44106</v>
      </c>
      <c r="B159" s="235">
        <f>IFERROR(__xludf.DUMMYFUNCTION("""COMPUTED_VALUE"""),210.0)</f>
        <v>210</v>
      </c>
      <c r="C159" s="235">
        <f>IFERROR(__xludf.DUMMYFUNCTION("""COMPUTED_VALUE"""),205.0)</f>
        <v>205</v>
      </c>
      <c r="D159" s="235">
        <f>IFERROR(__xludf.DUMMYFUNCTION("""COMPUTED_VALUE"""),35356.0)</f>
        <v>35356</v>
      </c>
      <c r="E159" s="235">
        <f>IFERROR(__xludf.DUMMYFUNCTION("""COMPUTED_VALUE"""),12153.0)</f>
        <v>12153</v>
      </c>
      <c r="F159" s="173">
        <f>IFERROR(__xludf.DUMMYFUNCTION("""COMPUTED_VALUE"""),775450.0)</f>
        <v>775450</v>
      </c>
      <c r="G159" s="173">
        <f>IFERROR(__xludf.DUMMYFUNCTION("""COMPUTED_VALUE"""),12363.0)</f>
        <v>12363</v>
      </c>
      <c r="H159" s="173">
        <f>IFERROR(__xludf.DUMMYFUNCTION("""COMPUTED_VALUE"""),810806.0)</f>
        <v>810806</v>
      </c>
      <c r="I159" s="235">
        <f>IFERROR(__xludf.DUMMYFUNCTION("""COMPUTED_VALUE"""),182.0)</f>
        <v>182</v>
      </c>
      <c r="J159" s="235">
        <f>IFERROR(__xludf.DUMMYFUNCTION("""COMPUTED_VALUE"""),178.0)</f>
        <v>178</v>
      </c>
      <c r="K159" s="235">
        <f>IFERROR(__xludf.DUMMYFUNCTION("""COMPUTED_VALUE"""),25350.0)</f>
        <v>25350</v>
      </c>
      <c r="L159" s="235">
        <f>IFERROR(__xludf.DUMMYFUNCTION("""COMPUTED_VALUE"""),2495.0)</f>
        <v>2495</v>
      </c>
      <c r="M159" s="235">
        <f>IFERROR(__xludf.DUMMYFUNCTION("""COMPUTED_VALUE"""),321768.0)</f>
        <v>321768</v>
      </c>
      <c r="N159" s="235">
        <f>IFERROR(__xludf.DUMMYFUNCTION("""COMPUTED_VALUE"""),347118.0)</f>
        <v>347118</v>
      </c>
      <c r="O159" s="235">
        <f>IFERROR(__xludf.DUMMYFUNCTION("""COMPUTED_VALUE"""),14.0)</f>
        <v>14</v>
      </c>
      <c r="P159" s="235">
        <f>IFERROR(__xludf.DUMMYFUNCTION("""COMPUTED_VALUE"""),2823.0)</f>
        <v>2823</v>
      </c>
      <c r="Q159" s="235">
        <f>IFERROR(__xludf.DUMMYFUNCTION("""COMPUTED_VALUE"""),13.0)</f>
        <v>13</v>
      </c>
      <c r="R159" s="235">
        <f>IFERROR(__xludf.DUMMYFUNCTION("""COMPUTED_VALUE"""),2377.0)</f>
        <v>2377</v>
      </c>
      <c r="S159" s="235">
        <f>IFERROR(__xludf.DUMMYFUNCTION("""COMPUTED_VALUE"""),1.0)</f>
        <v>1</v>
      </c>
      <c r="T159" s="235">
        <f>IFERROR(__xludf.DUMMYFUNCTION("""COMPUTED_VALUE"""),361.0)</f>
        <v>361</v>
      </c>
      <c r="U159" s="235">
        <f>IFERROR(__xludf.DUMMYFUNCTION("""COMPUTED_VALUE"""),85.0)</f>
        <v>85</v>
      </c>
      <c r="V159" s="235">
        <f>IFERROR(__xludf.DUMMYFUNCTION("""COMPUTED_VALUE"""),84.0)</f>
        <v>84</v>
      </c>
      <c r="W159" s="235">
        <f>IFERROR(__xludf.DUMMYFUNCTION("""COMPUTED_VALUE"""),8.0)</f>
        <v>8</v>
      </c>
      <c r="X159" s="235">
        <f>IFERROR(__xludf.DUMMYFUNCTION("""COMPUTED_VALUE"""),5.0)</f>
        <v>5</v>
      </c>
      <c r="Y159" s="235">
        <f>IFERROR(__xludf.DUMMYFUNCTION("""COMPUTED_VALUE"""),2.0)</f>
        <v>2</v>
      </c>
      <c r="Z159" s="235">
        <f>IFERROR(__xludf.DUMMYFUNCTION("""COMPUTED_VALUE"""),1127.0)</f>
        <v>1127</v>
      </c>
    </row>
    <row r="160">
      <c r="A160" s="234">
        <f>IFERROR(__xludf.DUMMYFUNCTION("""COMPUTED_VALUE"""),44107.0)</f>
        <v>44107</v>
      </c>
      <c r="B160" s="235">
        <f>IFERROR(__xludf.DUMMYFUNCTION("""COMPUTED_VALUE"""),157.0)</f>
        <v>157</v>
      </c>
      <c r="C160" s="235">
        <f>IFERROR(__xludf.DUMMYFUNCTION("""COMPUTED_VALUE"""),184.0)</f>
        <v>184</v>
      </c>
      <c r="D160" s="235">
        <f>IFERROR(__xludf.DUMMYFUNCTION("""COMPUTED_VALUE"""),35513.0)</f>
        <v>35513</v>
      </c>
      <c r="E160" s="235">
        <f>IFERROR(__xludf.DUMMYFUNCTION("""COMPUTED_VALUE"""),9312.0)</f>
        <v>9312</v>
      </c>
      <c r="F160" s="173">
        <f>IFERROR(__xludf.DUMMYFUNCTION("""COMPUTED_VALUE"""),784762.0)</f>
        <v>784762</v>
      </c>
      <c r="G160" s="173">
        <f>IFERROR(__xludf.DUMMYFUNCTION("""COMPUTED_VALUE"""),9469.0)</f>
        <v>9469</v>
      </c>
      <c r="H160" s="173">
        <f>IFERROR(__xludf.DUMMYFUNCTION("""COMPUTED_VALUE"""),820275.0)</f>
        <v>820275</v>
      </c>
      <c r="I160" s="235">
        <f>IFERROR(__xludf.DUMMYFUNCTION("""COMPUTED_VALUE"""),131.0)</f>
        <v>131</v>
      </c>
      <c r="J160" s="235">
        <f>IFERROR(__xludf.DUMMYFUNCTION("""COMPUTED_VALUE"""),160.0)</f>
        <v>160</v>
      </c>
      <c r="K160" s="235">
        <f>IFERROR(__xludf.DUMMYFUNCTION("""COMPUTED_VALUE"""),25481.0)</f>
        <v>25481</v>
      </c>
      <c r="L160" s="235">
        <f>IFERROR(__xludf.DUMMYFUNCTION("""COMPUTED_VALUE"""),2020.0)</f>
        <v>2020</v>
      </c>
      <c r="M160" s="235">
        <f>IFERROR(__xludf.DUMMYFUNCTION("""COMPUTED_VALUE"""),323788.0)</f>
        <v>323788</v>
      </c>
      <c r="N160" s="235">
        <f>IFERROR(__xludf.DUMMYFUNCTION("""COMPUTED_VALUE"""),349269.0)</f>
        <v>349269</v>
      </c>
      <c r="O160" s="235">
        <f>IFERROR(__xludf.DUMMYFUNCTION("""COMPUTED_VALUE"""),9.0)</f>
        <v>9</v>
      </c>
      <c r="P160" s="235">
        <f>IFERROR(__xludf.DUMMYFUNCTION("""COMPUTED_VALUE"""),2832.0)</f>
        <v>2832</v>
      </c>
      <c r="Q160" s="235">
        <f>IFERROR(__xludf.DUMMYFUNCTION("""COMPUTED_VALUE"""),9.0)</f>
        <v>9</v>
      </c>
      <c r="R160" s="235">
        <f>IFERROR(__xludf.DUMMYFUNCTION("""COMPUTED_VALUE"""),2386.0)</f>
        <v>2386</v>
      </c>
      <c r="S160" s="235">
        <f>IFERROR(__xludf.DUMMYFUNCTION("""COMPUTED_VALUE"""),2.0)</f>
        <v>2</v>
      </c>
      <c r="T160" s="235">
        <f>IFERROR(__xludf.DUMMYFUNCTION("""COMPUTED_VALUE"""),363.0)</f>
        <v>363</v>
      </c>
      <c r="U160" s="235">
        <f>IFERROR(__xludf.DUMMYFUNCTION("""COMPUTED_VALUE"""),83.0)</f>
        <v>83</v>
      </c>
      <c r="V160" s="235">
        <f>IFERROR(__xludf.DUMMYFUNCTION("""COMPUTED_VALUE"""),84.0)</f>
        <v>84</v>
      </c>
      <c r="W160" s="235">
        <f>IFERROR(__xludf.DUMMYFUNCTION("""COMPUTED_VALUE"""),9.0)</f>
        <v>9</v>
      </c>
      <c r="X160" s="235">
        <f>IFERROR(__xludf.DUMMYFUNCTION("""COMPUTED_VALUE"""),4.0)</f>
        <v>4</v>
      </c>
      <c r="Y160" s="235">
        <f>IFERROR(__xludf.DUMMYFUNCTION("""COMPUTED_VALUE"""),2.0)</f>
        <v>2</v>
      </c>
      <c r="Z160" s="235">
        <f>IFERROR(__xludf.DUMMYFUNCTION("""COMPUTED_VALUE"""),1129.0)</f>
        <v>1129</v>
      </c>
    </row>
    <row r="161">
      <c r="A161" s="234">
        <f>IFERROR(__xludf.DUMMYFUNCTION("""COMPUTED_VALUE"""),44108.0)</f>
        <v>44108</v>
      </c>
      <c r="B161" s="235">
        <f>IFERROR(__xludf.DUMMYFUNCTION("""COMPUTED_VALUE"""),81.0)</f>
        <v>81</v>
      </c>
      <c r="C161" s="235">
        <f>IFERROR(__xludf.DUMMYFUNCTION("""COMPUTED_VALUE"""),149.0)</f>
        <v>149</v>
      </c>
      <c r="D161" s="235">
        <f>IFERROR(__xludf.DUMMYFUNCTION("""COMPUTED_VALUE"""),35594.0)</f>
        <v>35594</v>
      </c>
      <c r="E161" s="235">
        <f>IFERROR(__xludf.DUMMYFUNCTION("""COMPUTED_VALUE"""),2369.0)</f>
        <v>2369</v>
      </c>
      <c r="F161" s="173">
        <f>IFERROR(__xludf.DUMMYFUNCTION("""COMPUTED_VALUE"""),787131.0)</f>
        <v>787131</v>
      </c>
      <c r="G161" s="173">
        <f>IFERROR(__xludf.DUMMYFUNCTION("""COMPUTED_VALUE"""),2450.0)</f>
        <v>2450</v>
      </c>
      <c r="H161" s="173">
        <f>IFERROR(__xludf.DUMMYFUNCTION("""COMPUTED_VALUE"""),822725.0)</f>
        <v>822725</v>
      </c>
      <c r="I161" s="235">
        <f>IFERROR(__xludf.DUMMYFUNCTION("""COMPUTED_VALUE"""),78.0)</f>
        <v>78</v>
      </c>
      <c r="J161" s="235">
        <f>IFERROR(__xludf.DUMMYFUNCTION("""COMPUTED_VALUE"""),130.0)</f>
        <v>130</v>
      </c>
      <c r="K161" s="235">
        <f>IFERROR(__xludf.DUMMYFUNCTION("""COMPUTED_VALUE"""),25559.0)</f>
        <v>25559</v>
      </c>
      <c r="L161" s="235">
        <f>IFERROR(__xludf.DUMMYFUNCTION("""COMPUTED_VALUE"""),952.0)</f>
        <v>952</v>
      </c>
      <c r="M161" s="235">
        <f>IFERROR(__xludf.DUMMYFUNCTION("""COMPUTED_VALUE"""),324740.0)</f>
        <v>324740</v>
      </c>
      <c r="N161" s="235">
        <f>IFERROR(__xludf.DUMMYFUNCTION("""COMPUTED_VALUE"""),350299.0)</f>
        <v>350299</v>
      </c>
      <c r="O161" s="235">
        <f>IFERROR(__xludf.DUMMYFUNCTION("""COMPUTED_VALUE"""),11.0)</f>
        <v>11</v>
      </c>
      <c r="P161" s="235">
        <f>IFERROR(__xludf.DUMMYFUNCTION("""COMPUTED_VALUE"""),2843.0)</f>
        <v>2843</v>
      </c>
      <c r="Q161" s="235">
        <f>IFERROR(__xludf.DUMMYFUNCTION("""COMPUTED_VALUE"""),9.0)</f>
        <v>9</v>
      </c>
      <c r="R161" s="235">
        <f>IFERROR(__xludf.DUMMYFUNCTION("""COMPUTED_VALUE"""),2395.0)</f>
        <v>2395</v>
      </c>
      <c r="S161" s="235">
        <f>IFERROR(__xludf.DUMMYFUNCTION("""COMPUTED_VALUE"""),1.0)</f>
        <v>1</v>
      </c>
      <c r="T161" s="235">
        <f>IFERROR(__xludf.DUMMYFUNCTION("""COMPUTED_VALUE"""),364.0)</f>
        <v>364</v>
      </c>
      <c r="U161" s="235">
        <f>IFERROR(__xludf.DUMMYFUNCTION("""COMPUTED_VALUE"""),84.0)</f>
        <v>84</v>
      </c>
      <c r="V161" s="235">
        <f>IFERROR(__xludf.DUMMYFUNCTION("""COMPUTED_VALUE"""),84.0)</f>
        <v>84</v>
      </c>
      <c r="W161" s="235">
        <f>IFERROR(__xludf.DUMMYFUNCTION("""COMPUTED_VALUE"""),8.0)</f>
        <v>8</v>
      </c>
      <c r="X161" s="235">
        <f>IFERROR(__xludf.DUMMYFUNCTION("""COMPUTED_VALUE"""),5.0)</f>
        <v>5</v>
      </c>
      <c r="Y161" s="235">
        <f>IFERROR(__xludf.DUMMYFUNCTION("""COMPUTED_VALUE"""),2.0)</f>
        <v>2</v>
      </c>
      <c r="Z161" s="235">
        <f>IFERROR(__xludf.DUMMYFUNCTION("""COMPUTED_VALUE"""),1131.0)</f>
        <v>1131</v>
      </c>
    </row>
    <row r="162">
      <c r="A162" s="234">
        <f>IFERROR(__xludf.DUMMYFUNCTION("""COMPUTED_VALUE"""),44109.0)</f>
        <v>44109</v>
      </c>
      <c r="B162" s="235">
        <f>IFERROR(__xludf.DUMMYFUNCTION("""COMPUTED_VALUE"""),174.0)</f>
        <v>174</v>
      </c>
      <c r="C162" s="235">
        <f>IFERROR(__xludf.DUMMYFUNCTION("""COMPUTED_VALUE"""),137.0)</f>
        <v>137</v>
      </c>
      <c r="D162" s="235">
        <f>IFERROR(__xludf.DUMMYFUNCTION("""COMPUTED_VALUE"""),35768.0)</f>
        <v>35768</v>
      </c>
      <c r="E162" s="235">
        <f>IFERROR(__xludf.DUMMYFUNCTION("""COMPUTED_VALUE"""),8982.0)</f>
        <v>8982</v>
      </c>
      <c r="F162" s="173">
        <f>IFERROR(__xludf.DUMMYFUNCTION("""COMPUTED_VALUE"""),796113.0)</f>
        <v>796113</v>
      </c>
      <c r="G162" s="173">
        <f>IFERROR(__xludf.DUMMYFUNCTION("""COMPUTED_VALUE"""),9156.0)</f>
        <v>9156</v>
      </c>
      <c r="H162" s="173">
        <f>IFERROR(__xludf.DUMMYFUNCTION("""COMPUTED_VALUE"""),831881.0)</f>
        <v>831881</v>
      </c>
      <c r="I162" s="235">
        <f>IFERROR(__xludf.DUMMYFUNCTION("""COMPUTED_VALUE"""),160.0)</f>
        <v>160</v>
      </c>
      <c r="J162" s="235">
        <f>IFERROR(__xludf.DUMMYFUNCTION("""COMPUTED_VALUE"""),123.0)</f>
        <v>123</v>
      </c>
      <c r="K162" s="235">
        <f>IFERROR(__xludf.DUMMYFUNCTION("""COMPUTED_VALUE"""),25719.0)</f>
        <v>25719</v>
      </c>
      <c r="L162" s="235">
        <f>IFERROR(__xludf.DUMMYFUNCTION("""COMPUTED_VALUE"""),3027.0)</f>
        <v>3027</v>
      </c>
      <c r="M162" s="235">
        <f>IFERROR(__xludf.DUMMYFUNCTION("""COMPUTED_VALUE"""),327767.0)</f>
        <v>327767</v>
      </c>
      <c r="N162" s="235">
        <f>IFERROR(__xludf.DUMMYFUNCTION("""COMPUTED_VALUE"""),353486.0)</f>
        <v>353486</v>
      </c>
      <c r="O162" s="235">
        <f>IFERROR(__xludf.DUMMYFUNCTION("""COMPUTED_VALUE"""),30.0)</f>
        <v>30</v>
      </c>
      <c r="P162" s="235">
        <f>IFERROR(__xludf.DUMMYFUNCTION("""COMPUTED_VALUE"""),2873.0)</f>
        <v>2873</v>
      </c>
      <c r="Q162" s="235">
        <f>IFERROR(__xludf.DUMMYFUNCTION("""COMPUTED_VALUE"""),11.0)</f>
        <v>11</v>
      </c>
      <c r="R162" s="235">
        <f>IFERROR(__xludf.DUMMYFUNCTION("""COMPUTED_VALUE"""),2406.0)</f>
        <v>2406</v>
      </c>
      <c r="S162" s="235">
        <f>IFERROR(__xludf.DUMMYFUNCTION("""COMPUTED_VALUE"""),2.0)</f>
        <v>2</v>
      </c>
      <c r="T162" s="235">
        <f>IFERROR(__xludf.DUMMYFUNCTION("""COMPUTED_VALUE"""),366.0)</f>
        <v>366</v>
      </c>
      <c r="U162" s="235">
        <f>IFERROR(__xludf.DUMMYFUNCTION("""COMPUTED_VALUE"""),101.0)</f>
        <v>101</v>
      </c>
      <c r="V162" s="235">
        <f>IFERROR(__xludf.DUMMYFUNCTION("""COMPUTED_VALUE"""),89.0)</f>
        <v>89</v>
      </c>
      <c r="W162" s="235">
        <f>IFERROR(__xludf.DUMMYFUNCTION("""COMPUTED_VALUE"""),9.0)</f>
        <v>9</v>
      </c>
      <c r="X162" s="235">
        <f>IFERROR(__xludf.DUMMYFUNCTION("""COMPUTED_VALUE"""),6.0)</f>
        <v>6</v>
      </c>
      <c r="Y162" s="235">
        <f>IFERROR(__xludf.DUMMYFUNCTION("""COMPUTED_VALUE"""),4.0)</f>
        <v>4</v>
      </c>
      <c r="Z162" s="235">
        <f>IFERROR(__xludf.DUMMYFUNCTION("""COMPUTED_VALUE"""),1135.0)</f>
        <v>1135</v>
      </c>
    </row>
    <row r="163">
      <c r="A163" s="234">
        <f>IFERROR(__xludf.DUMMYFUNCTION("""COMPUTED_VALUE"""),44110.0)</f>
        <v>44110</v>
      </c>
      <c r="B163" s="235">
        <f>IFERROR(__xludf.DUMMYFUNCTION("""COMPUTED_VALUE"""),177.0)</f>
        <v>177</v>
      </c>
      <c r="C163" s="235">
        <f>IFERROR(__xludf.DUMMYFUNCTION("""COMPUTED_VALUE"""),144.0)</f>
        <v>144</v>
      </c>
      <c r="D163" s="235">
        <f>IFERROR(__xludf.DUMMYFUNCTION("""COMPUTED_VALUE"""),35945.0)</f>
        <v>35945</v>
      </c>
      <c r="E163" s="235">
        <f>IFERROR(__xludf.DUMMYFUNCTION("""COMPUTED_VALUE"""),11185.0)</f>
        <v>11185</v>
      </c>
      <c r="F163" s="173">
        <f>IFERROR(__xludf.DUMMYFUNCTION("""COMPUTED_VALUE"""),807298.0)</f>
        <v>807298</v>
      </c>
      <c r="G163" s="173">
        <f>IFERROR(__xludf.DUMMYFUNCTION("""COMPUTED_VALUE"""),11362.0)</f>
        <v>11362</v>
      </c>
      <c r="H163" s="173">
        <f>IFERROR(__xludf.DUMMYFUNCTION("""COMPUTED_VALUE"""),843243.0)</f>
        <v>843243</v>
      </c>
      <c r="I163" s="235">
        <f>IFERROR(__xludf.DUMMYFUNCTION("""COMPUTED_VALUE"""),186.0)</f>
        <v>186</v>
      </c>
      <c r="J163" s="235">
        <f>IFERROR(__xludf.DUMMYFUNCTION("""COMPUTED_VALUE"""),141.0)</f>
        <v>141</v>
      </c>
      <c r="K163" s="235">
        <f>IFERROR(__xludf.DUMMYFUNCTION("""COMPUTED_VALUE"""),25905.0)</f>
        <v>25905</v>
      </c>
      <c r="L163" s="235">
        <f>IFERROR(__xludf.DUMMYFUNCTION("""COMPUTED_VALUE"""),2900.0)</f>
        <v>2900</v>
      </c>
      <c r="M163" s="235">
        <f>IFERROR(__xludf.DUMMYFUNCTION("""COMPUTED_VALUE"""),330667.0)</f>
        <v>330667</v>
      </c>
      <c r="N163" s="235">
        <f>IFERROR(__xludf.DUMMYFUNCTION("""COMPUTED_VALUE"""),356572.0)</f>
        <v>356572</v>
      </c>
      <c r="O163" s="235">
        <f>IFERROR(__xludf.DUMMYFUNCTION("""COMPUTED_VALUE"""),11.0)</f>
        <v>11</v>
      </c>
      <c r="P163" s="235">
        <f>IFERROR(__xludf.DUMMYFUNCTION("""COMPUTED_VALUE"""),2884.0)</f>
        <v>2884</v>
      </c>
      <c r="Q163" s="235">
        <f>IFERROR(__xludf.DUMMYFUNCTION("""COMPUTED_VALUE"""),5.0)</f>
        <v>5</v>
      </c>
      <c r="R163" s="235">
        <f>IFERROR(__xludf.DUMMYFUNCTION("""COMPUTED_VALUE"""),2411.0)</f>
        <v>2411</v>
      </c>
      <c r="S163" s="235">
        <f>IFERROR(__xludf.DUMMYFUNCTION("""COMPUTED_VALUE"""),0.0)</f>
        <v>0</v>
      </c>
      <c r="T163" s="235">
        <f>IFERROR(__xludf.DUMMYFUNCTION("""COMPUTED_VALUE"""),366.0)</f>
        <v>366</v>
      </c>
      <c r="U163" s="235">
        <f>IFERROR(__xludf.DUMMYFUNCTION("""COMPUTED_VALUE"""),107.0)</f>
        <v>107</v>
      </c>
      <c r="V163" s="235">
        <f>IFERROR(__xludf.DUMMYFUNCTION("""COMPUTED_VALUE"""),97.0)</f>
        <v>97</v>
      </c>
      <c r="W163" s="235">
        <f>IFERROR(__xludf.DUMMYFUNCTION("""COMPUTED_VALUE"""),11.0)</f>
        <v>11</v>
      </c>
      <c r="X163" s="235">
        <f>IFERROR(__xludf.DUMMYFUNCTION("""COMPUTED_VALUE"""),7.0)</f>
        <v>7</v>
      </c>
      <c r="Y163" s="235">
        <f>IFERROR(__xludf.DUMMYFUNCTION("""COMPUTED_VALUE"""),0.0)</f>
        <v>0</v>
      </c>
      <c r="Z163" s="235">
        <f>IFERROR(__xludf.DUMMYFUNCTION("""COMPUTED_VALUE"""),1135.0)</f>
        <v>1135</v>
      </c>
    </row>
    <row r="164">
      <c r="A164" s="234">
        <f>IFERROR(__xludf.DUMMYFUNCTION("""COMPUTED_VALUE"""),44111.0)</f>
        <v>44111</v>
      </c>
      <c r="B164" s="235">
        <f>IFERROR(__xludf.DUMMYFUNCTION("""COMPUTED_VALUE"""),231.0)</f>
        <v>231</v>
      </c>
      <c r="C164" s="235">
        <f>IFERROR(__xludf.DUMMYFUNCTION("""COMPUTED_VALUE"""),194.0)</f>
        <v>194</v>
      </c>
      <c r="D164" s="235">
        <f>IFERROR(__xludf.DUMMYFUNCTION("""COMPUTED_VALUE"""),36176.0)</f>
        <v>36176</v>
      </c>
      <c r="E164" s="235">
        <f>IFERROR(__xludf.DUMMYFUNCTION("""COMPUTED_VALUE"""),12440.0)</f>
        <v>12440</v>
      </c>
      <c r="F164" s="173">
        <f>IFERROR(__xludf.DUMMYFUNCTION("""COMPUTED_VALUE"""),819738.0)</f>
        <v>819738</v>
      </c>
      <c r="G164" s="173">
        <f>IFERROR(__xludf.DUMMYFUNCTION("""COMPUTED_VALUE"""),12671.0)</f>
        <v>12671</v>
      </c>
      <c r="H164" s="173">
        <f>IFERROR(__xludf.DUMMYFUNCTION("""COMPUTED_VALUE"""),855914.0)</f>
        <v>855914</v>
      </c>
      <c r="I164" s="235">
        <f>IFERROR(__xludf.DUMMYFUNCTION("""COMPUTED_VALUE"""),244.0)</f>
        <v>244</v>
      </c>
      <c r="J164" s="235">
        <f>IFERROR(__xludf.DUMMYFUNCTION("""COMPUTED_VALUE"""),197.0)</f>
        <v>197</v>
      </c>
      <c r="K164" s="235">
        <f>IFERROR(__xludf.DUMMYFUNCTION("""COMPUTED_VALUE"""),26149.0)</f>
        <v>26149</v>
      </c>
      <c r="L164" s="235">
        <f>IFERROR(__xludf.DUMMYFUNCTION("""COMPUTED_VALUE"""),3532.0)</f>
        <v>3532</v>
      </c>
      <c r="M164" s="235">
        <f>IFERROR(__xludf.DUMMYFUNCTION("""COMPUTED_VALUE"""),334199.0)</f>
        <v>334199</v>
      </c>
      <c r="N164" s="235">
        <f>IFERROR(__xludf.DUMMYFUNCTION("""COMPUTED_VALUE"""),360348.0)</f>
        <v>360348</v>
      </c>
      <c r="O164" s="235">
        <f>IFERROR(__xludf.DUMMYFUNCTION("""COMPUTED_VALUE"""),13.0)</f>
        <v>13</v>
      </c>
      <c r="P164" s="235">
        <f>IFERROR(__xludf.DUMMYFUNCTION("""COMPUTED_VALUE"""),2897.0)</f>
        <v>2897</v>
      </c>
      <c r="Q164" s="235">
        <f>IFERROR(__xludf.DUMMYFUNCTION("""COMPUTED_VALUE"""),14.0)</f>
        <v>14</v>
      </c>
      <c r="R164" s="235">
        <f>IFERROR(__xludf.DUMMYFUNCTION("""COMPUTED_VALUE"""),2425.0)</f>
        <v>2425</v>
      </c>
      <c r="S164" s="235">
        <f>IFERROR(__xludf.DUMMYFUNCTION("""COMPUTED_VALUE"""),2.0)</f>
        <v>2</v>
      </c>
      <c r="T164" s="235">
        <f>IFERROR(__xludf.DUMMYFUNCTION("""COMPUTED_VALUE"""),368.0)</f>
        <v>368</v>
      </c>
      <c r="U164" s="235">
        <f>IFERROR(__xludf.DUMMYFUNCTION("""COMPUTED_VALUE"""),104.0)</f>
        <v>104</v>
      </c>
      <c r="V164" s="235">
        <f>IFERROR(__xludf.DUMMYFUNCTION("""COMPUTED_VALUE"""),104.0)</f>
        <v>104</v>
      </c>
      <c r="W164" s="235">
        <f>IFERROR(__xludf.DUMMYFUNCTION("""COMPUTED_VALUE"""),9.0)</f>
        <v>9</v>
      </c>
      <c r="X164" s="235">
        <f>IFERROR(__xludf.DUMMYFUNCTION("""COMPUTED_VALUE"""),7.0)</f>
        <v>7</v>
      </c>
      <c r="Y164" s="235">
        <f>IFERROR(__xludf.DUMMYFUNCTION("""COMPUTED_VALUE"""),2.0)</f>
        <v>2</v>
      </c>
      <c r="Z164" s="235">
        <f>IFERROR(__xludf.DUMMYFUNCTION("""COMPUTED_VALUE"""),1137.0)</f>
        <v>1137</v>
      </c>
    </row>
    <row r="165">
      <c r="A165" s="234">
        <f>IFERROR(__xludf.DUMMYFUNCTION("""COMPUTED_VALUE"""),44112.0)</f>
        <v>44112</v>
      </c>
      <c r="B165" s="235">
        <f>IFERROR(__xludf.DUMMYFUNCTION("""COMPUTED_VALUE"""),262.0)</f>
        <v>262</v>
      </c>
      <c r="C165" s="235">
        <f>IFERROR(__xludf.DUMMYFUNCTION("""COMPUTED_VALUE"""),223.0)</f>
        <v>223</v>
      </c>
      <c r="D165" s="235">
        <f>IFERROR(__xludf.DUMMYFUNCTION("""COMPUTED_VALUE"""),36438.0)</f>
        <v>36438</v>
      </c>
      <c r="E165" s="235">
        <f>IFERROR(__xludf.DUMMYFUNCTION("""COMPUTED_VALUE"""),15233.0)</f>
        <v>15233</v>
      </c>
      <c r="F165" s="173">
        <f>IFERROR(__xludf.DUMMYFUNCTION("""COMPUTED_VALUE"""),834971.0)</f>
        <v>834971</v>
      </c>
      <c r="G165" s="173">
        <f>IFERROR(__xludf.DUMMYFUNCTION("""COMPUTED_VALUE"""),15495.0)</f>
        <v>15495</v>
      </c>
      <c r="H165" s="173">
        <f>IFERROR(__xludf.DUMMYFUNCTION("""COMPUTED_VALUE"""),871409.0)</f>
        <v>871409</v>
      </c>
      <c r="I165" s="235">
        <f>IFERROR(__xludf.DUMMYFUNCTION("""COMPUTED_VALUE"""),274.0)</f>
        <v>274</v>
      </c>
      <c r="J165" s="235">
        <f>IFERROR(__xludf.DUMMYFUNCTION("""COMPUTED_VALUE"""),235.0)</f>
        <v>235</v>
      </c>
      <c r="K165" s="235">
        <f>IFERROR(__xludf.DUMMYFUNCTION("""COMPUTED_VALUE"""),26423.0)</f>
        <v>26423</v>
      </c>
      <c r="L165" s="235">
        <f>IFERROR(__xludf.DUMMYFUNCTION("""COMPUTED_VALUE"""),4207.0)</f>
        <v>4207</v>
      </c>
      <c r="M165" s="235">
        <f>IFERROR(__xludf.DUMMYFUNCTION("""COMPUTED_VALUE"""),338406.0)</f>
        <v>338406</v>
      </c>
      <c r="N165" s="235">
        <f>IFERROR(__xludf.DUMMYFUNCTION("""COMPUTED_VALUE"""),364829.0)</f>
        <v>364829</v>
      </c>
      <c r="O165" s="235">
        <f>IFERROR(__xludf.DUMMYFUNCTION("""COMPUTED_VALUE"""),17.0)</f>
        <v>17</v>
      </c>
      <c r="P165" s="235">
        <f>IFERROR(__xludf.DUMMYFUNCTION("""COMPUTED_VALUE"""),2914.0)</f>
        <v>2914</v>
      </c>
      <c r="Q165" s="235">
        <f>IFERROR(__xludf.DUMMYFUNCTION("""COMPUTED_VALUE"""),13.0)</f>
        <v>13</v>
      </c>
      <c r="R165" s="235">
        <f>IFERROR(__xludf.DUMMYFUNCTION("""COMPUTED_VALUE"""),2438.0)</f>
        <v>2438</v>
      </c>
      <c r="S165" s="235">
        <f>IFERROR(__xludf.DUMMYFUNCTION("""COMPUTED_VALUE"""),2.0)</f>
        <v>2</v>
      </c>
      <c r="T165" s="235">
        <f>IFERROR(__xludf.DUMMYFUNCTION("""COMPUTED_VALUE"""),370.0)</f>
        <v>370</v>
      </c>
      <c r="U165" s="235">
        <f>IFERROR(__xludf.DUMMYFUNCTION("""COMPUTED_VALUE"""),106.0)</f>
        <v>106</v>
      </c>
      <c r="V165" s="235">
        <f>IFERROR(__xludf.DUMMYFUNCTION("""COMPUTED_VALUE"""),106.0)</f>
        <v>106</v>
      </c>
      <c r="W165" s="235">
        <f>IFERROR(__xludf.DUMMYFUNCTION("""COMPUTED_VALUE"""),7.0)</f>
        <v>7</v>
      </c>
      <c r="X165" s="235">
        <f>IFERROR(__xludf.DUMMYFUNCTION("""COMPUTED_VALUE"""),5.0)</f>
        <v>5</v>
      </c>
      <c r="Y165" s="235">
        <f>IFERROR(__xludf.DUMMYFUNCTION("""COMPUTED_VALUE"""),4.0)</f>
        <v>4</v>
      </c>
      <c r="Z165" s="235">
        <f>IFERROR(__xludf.DUMMYFUNCTION("""COMPUTED_VALUE"""),1141.0)</f>
        <v>1141</v>
      </c>
    </row>
    <row r="166">
      <c r="A166" s="234">
        <f>IFERROR(__xludf.DUMMYFUNCTION("""COMPUTED_VALUE"""),44113.0)</f>
        <v>44113</v>
      </c>
      <c r="B166" s="235">
        <f>IFERROR(__xludf.DUMMYFUNCTION("""COMPUTED_VALUE"""),217.0)</f>
        <v>217</v>
      </c>
      <c r="C166" s="235">
        <f>IFERROR(__xludf.DUMMYFUNCTION("""COMPUTED_VALUE"""),237.0)</f>
        <v>237</v>
      </c>
      <c r="D166" s="235">
        <f>IFERROR(__xludf.DUMMYFUNCTION("""COMPUTED_VALUE"""),36655.0)</f>
        <v>36655</v>
      </c>
      <c r="E166" s="235">
        <f>IFERROR(__xludf.DUMMYFUNCTION("""COMPUTED_VALUE"""),13745.0)</f>
        <v>13745</v>
      </c>
      <c r="F166" s="173">
        <f>IFERROR(__xludf.DUMMYFUNCTION("""COMPUTED_VALUE"""),848716.0)</f>
        <v>848716</v>
      </c>
      <c r="G166" s="173">
        <f>IFERROR(__xludf.DUMMYFUNCTION("""COMPUTED_VALUE"""),13962.0)</f>
        <v>13962</v>
      </c>
      <c r="H166" s="173">
        <f>IFERROR(__xludf.DUMMYFUNCTION("""COMPUTED_VALUE"""),885371.0)</f>
        <v>885371</v>
      </c>
      <c r="I166" s="235">
        <f>IFERROR(__xludf.DUMMYFUNCTION("""COMPUTED_VALUE"""),199.0)</f>
        <v>199</v>
      </c>
      <c r="J166" s="235">
        <f>IFERROR(__xludf.DUMMYFUNCTION("""COMPUTED_VALUE"""),239.0)</f>
        <v>239</v>
      </c>
      <c r="K166" s="235">
        <f>IFERROR(__xludf.DUMMYFUNCTION("""COMPUTED_VALUE"""),26622.0)</f>
        <v>26622</v>
      </c>
      <c r="L166" s="235">
        <f>IFERROR(__xludf.DUMMYFUNCTION("""COMPUTED_VALUE"""),4319.0)</f>
        <v>4319</v>
      </c>
      <c r="M166" s="235">
        <f>IFERROR(__xludf.DUMMYFUNCTION("""COMPUTED_VALUE"""),342725.0)</f>
        <v>342725</v>
      </c>
      <c r="N166" s="235">
        <f>IFERROR(__xludf.DUMMYFUNCTION("""COMPUTED_VALUE"""),369347.0)</f>
        <v>369347</v>
      </c>
      <c r="O166" s="235">
        <f>IFERROR(__xludf.DUMMYFUNCTION("""COMPUTED_VALUE"""),21.0)</f>
        <v>21</v>
      </c>
      <c r="P166" s="235">
        <f>IFERROR(__xludf.DUMMYFUNCTION("""COMPUTED_VALUE"""),2935.0)</f>
        <v>2935</v>
      </c>
      <c r="Q166" s="235">
        <f>IFERROR(__xludf.DUMMYFUNCTION("""COMPUTED_VALUE"""),12.0)</f>
        <v>12</v>
      </c>
      <c r="R166" s="235">
        <f>IFERROR(__xludf.DUMMYFUNCTION("""COMPUTED_VALUE"""),2450.0)</f>
        <v>2450</v>
      </c>
      <c r="S166" s="235">
        <f>IFERROR(__xludf.DUMMYFUNCTION("""COMPUTED_VALUE"""),0.0)</f>
        <v>0</v>
      </c>
      <c r="T166" s="235">
        <f>IFERROR(__xludf.DUMMYFUNCTION("""COMPUTED_VALUE"""),370.0)</f>
        <v>370</v>
      </c>
      <c r="U166" s="235">
        <f>IFERROR(__xludf.DUMMYFUNCTION("""COMPUTED_VALUE"""),115.0)</f>
        <v>115</v>
      </c>
      <c r="V166" s="235">
        <f>IFERROR(__xludf.DUMMYFUNCTION("""COMPUTED_VALUE"""),108.0)</f>
        <v>108</v>
      </c>
      <c r="W166" s="235">
        <f>IFERROR(__xludf.DUMMYFUNCTION("""COMPUTED_VALUE"""),10.0)</f>
        <v>10</v>
      </c>
      <c r="X166" s="235">
        <f>IFERROR(__xludf.DUMMYFUNCTION("""COMPUTED_VALUE"""),7.0)</f>
        <v>7</v>
      </c>
      <c r="Y166" s="235">
        <f>IFERROR(__xludf.DUMMYFUNCTION("""COMPUTED_VALUE"""),3.0)</f>
        <v>3</v>
      </c>
      <c r="Z166" s="235">
        <f>IFERROR(__xludf.DUMMYFUNCTION("""COMPUTED_VALUE"""),1144.0)</f>
        <v>1144</v>
      </c>
    </row>
    <row r="167">
      <c r="A167" s="234">
        <f>IFERROR(__xludf.DUMMYFUNCTION("""COMPUTED_VALUE"""),44114.0)</f>
        <v>44114</v>
      </c>
      <c r="B167" s="235">
        <f>IFERROR(__xludf.DUMMYFUNCTION("""COMPUTED_VALUE"""),229.0)</f>
        <v>229</v>
      </c>
      <c r="C167" s="235">
        <f>IFERROR(__xludf.DUMMYFUNCTION("""COMPUTED_VALUE"""),236.0)</f>
        <v>236</v>
      </c>
      <c r="D167" s="235">
        <f>IFERROR(__xludf.DUMMYFUNCTION("""COMPUTED_VALUE"""),36884.0)</f>
        <v>36884</v>
      </c>
      <c r="E167" s="235">
        <f>IFERROR(__xludf.DUMMYFUNCTION("""COMPUTED_VALUE"""),13832.0)</f>
        <v>13832</v>
      </c>
      <c r="F167" s="173">
        <f>IFERROR(__xludf.DUMMYFUNCTION("""COMPUTED_VALUE"""),862548.0)</f>
        <v>862548</v>
      </c>
      <c r="G167" s="173">
        <f>IFERROR(__xludf.DUMMYFUNCTION("""COMPUTED_VALUE"""),14061.0)</f>
        <v>14061</v>
      </c>
      <c r="H167" s="173">
        <f>IFERROR(__xludf.DUMMYFUNCTION("""COMPUTED_VALUE"""),899432.0)</f>
        <v>899432</v>
      </c>
      <c r="I167" s="235">
        <f>IFERROR(__xludf.DUMMYFUNCTION("""COMPUTED_VALUE"""),194.0)</f>
        <v>194</v>
      </c>
      <c r="J167" s="235">
        <f>IFERROR(__xludf.DUMMYFUNCTION("""COMPUTED_VALUE"""),222.0)</f>
        <v>222</v>
      </c>
      <c r="K167" s="235">
        <f>IFERROR(__xludf.DUMMYFUNCTION("""COMPUTED_VALUE"""),26816.0)</f>
        <v>26816</v>
      </c>
      <c r="L167" s="235">
        <f>IFERROR(__xludf.DUMMYFUNCTION("""COMPUTED_VALUE"""),3797.0)</f>
        <v>3797</v>
      </c>
      <c r="M167" s="235">
        <f>IFERROR(__xludf.DUMMYFUNCTION("""COMPUTED_VALUE"""),346522.0)</f>
        <v>346522</v>
      </c>
      <c r="N167" s="235">
        <f>IFERROR(__xludf.DUMMYFUNCTION("""COMPUTED_VALUE"""),373338.0)</f>
        <v>373338</v>
      </c>
      <c r="O167" s="235">
        <f>IFERROR(__xludf.DUMMYFUNCTION("""COMPUTED_VALUE"""),19.0)</f>
        <v>19</v>
      </c>
      <c r="P167" s="235">
        <f>IFERROR(__xludf.DUMMYFUNCTION("""COMPUTED_VALUE"""),2954.0)</f>
        <v>2954</v>
      </c>
      <c r="Q167" s="235">
        <f>IFERROR(__xludf.DUMMYFUNCTION("""COMPUTED_VALUE"""),10.0)</f>
        <v>10</v>
      </c>
      <c r="R167" s="235">
        <f>IFERROR(__xludf.DUMMYFUNCTION("""COMPUTED_VALUE"""),2460.0)</f>
        <v>2460</v>
      </c>
      <c r="S167" s="235">
        <f>IFERROR(__xludf.DUMMYFUNCTION("""COMPUTED_VALUE"""),1.0)</f>
        <v>1</v>
      </c>
      <c r="T167" s="235">
        <f>IFERROR(__xludf.DUMMYFUNCTION("""COMPUTED_VALUE"""),371.0)</f>
        <v>371</v>
      </c>
      <c r="U167" s="235">
        <f>IFERROR(__xludf.DUMMYFUNCTION("""COMPUTED_VALUE"""),123.0)</f>
        <v>123</v>
      </c>
      <c r="V167" s="235">
        <f>IFERROR(__xludf.DUMMYFUNCTION("""COMPUTED_VALUE"""),115.0)</f>
        <v>115</v>
      </c>
      <c r="W167" s="235">
        <f>IFERROR(__xludf.DUMMYFUNCTION("""COMPUTED_VALUE"""),13.0)</f>
        <v>13</v>
      </c>
      <c r="X167" s="235">
        <f>IFERROR(__xludf.DUMMYFUNCTION("""COMPUTED_VALUE"""),7.0)</f>
        <v>7</v>
      </c>
      <c r="Y167" s="235">
        <f>IFERROR(__xludf.DUMMYFUNCTION("""COMPUTED_VALUE"""),2.0)</f>
        <v>2</v>
      </c>
      <c r="Z167" s="235">
        <f>IFERROR(__xludf.DUMMYFUNCTION("""COMPUTED_VALUE"""),1146.0)</f>
        <v>1146</v>
      </c>
    </row>
    <row r="168">
      <c r="A168" s="234">
        <f>IFERROR(__xludf.DUMMYFUNCTION("""COMPUTED_VALUE"""),44115.0)</f>
        <v>44115</v>
      </c>
      <c r="B168" s="235">
        <f>IFERROR(__xludf.DUMMYFUNCTION("""COMPUTED_VALUE"""),97.0)</f>
        <v>97</v>
      </c>
      <c r="C168" s="235">
        <f>IFERROR(__xludf.DUMMYFUNCTION("""COMPUTED_VALUE"""),181.0)</f>
        <v>181</v>
      </c>
      <c r="D168" s="235">
        <f>IFERROR(__xludf.DUMMYFUNCTION("""COMPUTED_VALUE"""),36981.0)</f>
        <v>36981</v>
      </c>
      <c r="E168" s="235">
        <f>IFERROR(__xludf.DUMMYFUNCTION("""COMPUTED_VALUE"""),3263.0)</f>
        <v>3263</v>
      </c>
      <c r="F168" s="173">
        <f>IFERROR(__xludf.DUMMYFUNCTION("""COMPUTED_VALUE"""),865811.0)</f>
        <v>865811</v>
      </c>
      <c r="G168" s="173">
        <f>IFERROR(__xludf.DUMMYFUNCTION("""COMPUTED_VALUE"""),3360.0)</f>
        <v>3360</v>
      </c>
      <c r="H168" s="173">
        <f>IFERROR(__xludf.DUMMYFUNCTION("""COMPUTED_VALUE"""),902792.0)</f>
        <v>902792</v>
      </c>
      <c r="I168" s="235">
        <f>IFERROR(__xludf.DUMMYFUNCTION("""COMPUTED_VALUE"""),88.0)</f>
        <v>88</v>
      </c>
      <c r="J168" s="235">
        <f>IFERROR(__xludf.DUMMYFUNCTION("""COMPUTED_VALUE"""),160.0)</f>
        <v>160</v>
      </c>
      <c r="K168" s="235">
        <f>IFERROR(__xludf.DUMMYFUNCTION("""COMPUTED_VALUE"""),26904.0)</f>
        <v>26904</v>
      </c>
      <c r="L168" s="235">
        <f>IFERROR(__xludf.DUMMYFUNCTION("""COMPUTED_VALUE"""),1164.0)</f>
        <v>1164</v>
      </c>
      <c r="M168" s="235">
        <f>IFERROR(__xludf.DUMMYFUNCTION("""COMPUTED_VALUE"""),347686.0)</f>
        <v>347686</v>
      </c>
      <c r="N168" s="235">
        <f>IFERROR(__xludf.DUMMYFUNCTION("""COMPUTED_VALUE"""),374590.0)</f>
        <v>374590</v>
      </c>
      <c r="O168" s="235">
        <f>IFERROR(__xludf.DUMMYFUNCTION("""COMPUTED_VALUE"""),12.0)</f>
        <v>12</v>
      </c>
      <c r="P168" s="235">
        <f>IFERROR(__xludf.DUMMYFUNCTION("""COMPUTED_VALUE"""),2966.0)</f>
        <v>2966</v>
      </c>
      <c r="Q168" s="235">
        <f>IFERROR(__xludf.DUMMYFUNCTION("""COMPUTED_VALUE"""),9.0)</f>
        <v>9</v>
      </c>
      <c r="R168" s="235">
        <f>IFERROR(__xludf.DUMMYFUNCTION("""COMPUTED_VALUE"""),2469.0)</f>
        <v>2469</v>
      </c>
      <c r="S168" s="235">
        <f>IFERROR(__xludf.DUMMYFUNCTION("""COMPUTED_VALUE"""),1.0)</f>
        <v>1</v>
      </c>
      <c r="T168" s="235">
        <f>IFERROR(__xludf.DUMMYFUNCTION("""COMPUTED_VALUE"""),372.0)</f>
        <v>372</v>
      </c>
      <c r="U168" s="235">
        <f>IFERROR(__xludf.DUMMYFUNCTION("""COMPUTED_VALUE"""),125.0)</f>
        <v>125</v>
      </c>
      <c r="V168" s="235">
        <f>IFERROR(__xludf.DUMMYFUNCTION("""COMPUTED_VALUE"""),121.0)</f>
        <v>121</v>
      </c>
      <c r="W168" s="235">
        <f>IFERROR(__xludf.DUMMYFUNCTION("""COMPUTED_VALUE"""),14.0)</f>
        <v>14</v>
      </c>
      <c r="X168" s="235">
        <f>IFERROR(__xludf.DUMMYFUNCTION("""COMPUTED_VALUE"""),5.0)</f>
        <v>5</v>
      </c>
      <c r="Y168" s="235">
        <f>IFERROR(__xludf.DUMMYFUNCTION("""COMPUTED_VALUE"""),6.0)</f>
        <v>6</v>
      </c>
      <c r="Z168" s="235">
        <f>IFERROR(__xludf.DUMMYFUNCTION("""COMPUTED_VALUE"""),1152.0)</f>
        <v>1152</v>
      </c>
    </row>
    <row r="169">
      <c r="A169" s="234">
        <f>IFERROR(__xludf.DUMMYFUNCTION("""COMPUTED_VALUE"""),44116.0)</f>
        <v>44116</v>
      </c>
      <c r="B169" s="235">
        <f>IFERROR(__xludf.DUMMYFUNCTION("""COMPUTED_VALUE"""),169.0)</f>
        <v>169</v>
      </c>
      <c r="C169" s="235">
        <f>IFERROR(__xludf.DUMMYFUNCTION("""COMPUTED_VALUE"""),165.0)</f>
        <v>165</v>
      </c>
      <c r="D169" s="235">
        <f>IFERROR(__xludf.DUMMYFUNCTION("""COMPUTED_VALUE"""),37150.0)</f>
        <v>37150</v>
      </c>
      <c r="E169" s="235">
        <f>IFERROR(__xludf.DUMMYFUNCTION("""COMPUTED_VALUE"""),6439.0)</f>
        <v>6439</v>
      </c>
      <c r="F169" s="173">
        <f>IFERROR(__xludf.DUMMYFUNCTION("""COMPUTED_VALUE"""),872250.0)</f>
        <v>872250</v>
      </c>
      <c r="G169" s="173">
        <f>IFERROR(__xludf.DUMMYFUNCTION("""COMPUTED_VALUE"""),6608.0)</f>
        <v>6608</v>
      </c>
      <c r="H169" s="173">
        <f>IFERROR(__xludf.DUMMYFUNCTION("""COMPUTED_VALUE"""),909400.0)</f>
        <v>909400</v>
      </c>
      <c r="I169" s="235">
        <f>IFERROR(__xludf.DUMMYFUNCTION("""COMPUTED_VALUE"""),159.0)</f>
        <v>159</v>
      </c>
      <c r="J169" s="235">
        <f>IFERROR(__xludf.DUMMYFUNCTION("""COMPUTED_VALUE"""),147.0)</f>
        <v>147</v>
      </c>
      <c r="K169" s="235">
        <f>IFERROR(__xludf.DUMMYFUNCTION("""COMPUTED_VALUE"""),27063.0)</f>
        <v>27063</v>
      </c>
      <c r="L169" s="235">
        <f>IFERROR(__xludf.DUMMYFUNCTION("""COMPUTED_VALUE"""),1737.0)</f>
        <v>1737</v>
      </c>
      <c r="M169" s="235">
        <f>IFERROR(__xludf.DUMMYFUNCTION("""COMPUTED_VALUE"""),349423.0)</f>
        <v>349423</v>
      </c>
      <c r="N169" s="235">
        <f>IFERROR(__xludf.DUMMYFUNCTION("""COMPUTED_VALUE"""),376486.0)</f>
        <v>376486</v>
      </c>
      <c r="O169" s="235">
        <f>IFERROR(__xludf.DUMMYFUNCTION("""COMPUTED_VALUE"""),19.0)</f>
        <v>19</v>
      </c>
      <c r="P169" s="235">
        <f>IFERROR(__xludf.DUMMYFUNCTION("""COMPUTED_VALUE"""),2985.0)</f>
        <v>2985</v>
      </c>
      <c r="Q169" s="235">
        <f>IFERROR(__xludf.DUMMYFUNCTION("""COMPUTED_VALUE"""),15.0)</f>
        <v>15</v>
      </c>
      <c r="R169" s="235">
        <f>IFERROR(__xludf.DUMMYFUNCTION("""COMPUTED_VALUE"""),2484.0)</f>
        <v>2484</v>
      </c>
      <c r="S169" s="235">
        <f>IFERROR(__xludf.DUMMYFUNCTION("""COMPUTED_VALUE"""),2.0)</f>
        <v>2</v>
      </c>
      <c r="T169" s="235">
        <f>IFERROR(__xludf.DUMMYFUNCTION("""COMPUTED_VALUE"""),374.0)</f>
        <v>374</v>
      </c>
      <c r="U169" s="235">
        <f>IFERROR(__xludf.DUMMYFUNCTION("""COMPUTED_VALUE"""),127.0)</f>
        <v>127</v>
      </c>
      <c r="V169" s="235">
        <f>IFERROR(__xludf.DUMMYFUNCTION("""COMPUTED_VALUE"""),125.0)</f>
        <v>125</v>
      </c>
      <c r="W169" s="235">
        <f>IFERROR(__xludf.DUMMYFUNCTION("""COMPUTED_VALUE"""),14.0)</f>
        <v>14</v>
      </c>
      <c r="X169" s="235">
        <f>IFERROR(__xludf.DUMMYFUNCTION("""COMPUTED_VALUE"""),5.0)</f>
        <v>5</v>
      </c>
      <c r="Y169" s="235">
        <f>IFERROR(__xludf.DUMMYFUNCTION("""COMPUTED_VALUE"""),4.0)</f>
        <v>4</v>
      </c>
      <c r="Z169" s="235">
        <f>IFERROR(__xludf.DUMMYFUNCTION("""COMPUTED_VALUE"""),1156.0)</f>
        <v>1156</v>
      </c>
    </row>
    <row r="170">
      <c r="A170" s="234">
        <f>IFERROR(__xludf.DUMMYFUNCTION("""COMPUTED_VALUE"""),44117.0)</f>
        <v>44117</v>
      </c>
      <c r="B170" s="235">
        <f>IFERROR(__xludf.DUMMYFUNCTION("""COMPUTED_VALUE"""),213.0)</f>
        <v>213</v>
      </c>
      <c r="C170" s="235">
        <f>IFERROR(__xludf.DUMMYFUNCTION("""COMPUTED_VALUE"""),160.0)</f>
        <v>160</v>
      </c>
      <c r="D170" s="235">
        <f>IFERROR(__xludf.DUMMYFUNCTION("""COMPUTED_VALUE"""),37363.0)</f>
        <v>37363</v>
      </c>
      <c r="E170" s="235">
        <f>IFERROR(__xludf.DUMMYFUNCTION("""COMPUTED_VALUE"""),8521.0)</f>
        <v>8521</v>
      </c>
      <c r="F170" s="173">
        <f>IFERROR(__xludf.DUMMYFUNCTION("""COMPUTED_VALUE"""),880771.0)</f>
        <v>880771</v>
      </c>
      <c r="G170" s="173">
        <f>IFERROR(__xludf.DUMMYFUNCTION("""COMPUTED_VALUE"""),8734.0)</f>
        <v>8734</v>
      </c>
      <c r="H170" s="173">
        <f>IFERROR(__xludf.DUMMYFUNCTION("""COMPUTED_VALUE"""),918134.0)</f>
        <v>918134</v>
      </c>
      <c r="I170" s="235">
        <f>IFERROR(__xludf.DUMMYFUNCTION("""COMPUTED_VALUE"""),208.0)</f>
        <v>208</v>
      </c>
      <c r="J170" s="235">
        <f>IFERROR(__xludf.DUMMYFUNCTION("""COMPUTED_VALUE"""),152.0)</f>
        <v>152</v>
      </c>
      <c r="K170" s="235">
        <f>IFERROR(__xludf.DUMMYFUNCTION("""COMPUTED_VALUE"""),27271.0)</f>
        <v>27271</v>
      </c>
      <c r="L170" s="235">
        <f>IFERROR(__xludf.DUMMYFUNCTION("""COMPUTED_VALUE"""),2308.0)</f>
        <v>2308</v>
      </c>
      <c r="M170" s="235">
        <f>IFERROR(__xludf.DUMMYFUNCTION("""COMPUTED_VALUE"""),351731.0)</f>
        <v>351731</v>
      </c>
      <c r="N170" s="235">
        <f>IFERROR(__xludf.DUMMYFUNCTION("""COMPUTED_VALUE"""),379002.0)</f>
        <v>379002</v>
      </c>
      <c r="O170" s="235">
        <f>IFERROR(__xludf.DUMMYFUNCTION("""COMPUTED_VALUE"""),15.0)</f>
        <v>15</v>
      </c>
      <c r="P170" s="235">
        <f>IFERROR(__xludf.DUMMYFUNCTION("""COMPUTED_VALUE"""),3000.0)</f>
        <v>3000</v>
      </c>
      <c r="Q170" s="235">
        <f>IFERROR(__xludf.DUMMYFUNCTION("""COMPUTED_VALUE"""),15.0)</f>
        <v>15</v>
      </c>
      <c r="R170" s="235">
        <f>IFERROR(__xludf.DUMMYFUNCTION("""COMPUTED_VALUE"""),2499.0)</f>
        <v>2499</v>
      </c>
      <c r="S170" s="235">
        <f>IFERROR(__xludf.DUMMYFUNCTION("""COMPUTED_VALUE"""),4.0)</f>
        <v>4</v>
      </c>
      <c r="T170" s="235">
        <f>IFERROR(__xludf.DUMMYFUNCTION("""COMPUTED_VALUE"""),378.0)</f>
        <v>378</v>
      </c>
      <c r="U170" s="235">
        <f>IFERROR(__xludf.DUMMYFUNCTION("""COMPUTED_VALUE"""),123.0)</f>
        <v>123</v>
      </c>
      <c r="V170" s="235">
        <f>IFERROR(__xludf.DUMMYFUNCTION("""COMPUTED_VALUE"""),125.0)</f>
        <v>125</v>
      </c>
      <c r="W170" s="235">
        <f>IFERROR(__xludf.DUMMYFUNCTION("""COMPUTED_VALUE"""),13.0)</f>
        <v>13</v>
      </c>
      <c r="X170" s="235">
        <f>IFERROR(__xludf.DUMMYFUNCTION("""COMPUTED_VALUE"""),5.0)</f>
        <v>5</v>
      </c>
      <c r="Y170" s="235">
        <f>IFERROR(__xludf.DUMMYFUNCTION("""COMPUTED_VALUE"""),7.0)</f>
        <v>7</v>
      </c>
      <c r="Z170" s="235">
        <f>IFERROR(__xludf.DUMMYFUNCTION("""COMPUTED_VALUE"""),1163.0)</f>
        <v>1163</v>
      </c>
    </row>
    <row r="171">
      <c r="A171" s="234">
        <f>IFERROR(__xludf.DUMMYFUNCTION("""COMPUTED_VALUE"""),44118.0)</f>
        <v>44118</v>
      </c>
      <c r="B171" s="235">
        <f>IFERROR(__xludf.DUMMYFUNCTION("""COMPUTED_VALUE"""),322.0)</f>
        <v>322</v>
      </c>
      <c r="C171" s="235">
        <f>IFERROR(__xludf.DUMMYFUNCTION("""COMPUTED_VALUE"""),235.0)</f>
        <v>235</v>
      </c>
      <c r="D171" s="235">
        <f>IFERROR(__xludf.DUMMYFUNCTION("""COMPUTED_VALUE"""),37685.0)</f>
        <v>37685</v>
      </c>
      <c r="E171" s="235">
        <f>IFERROR(__xludf.DUMMYFUNCTION("""COMPUTED_VALUE"""),15038.0)</f>
        <v>15038</v>
      </c>
      <c r="F171" s="173">
        <f>IFERROR(__xludf.DUMMYFUNCTION("""COMPUTED_VALUE"""),895809.0)</f>
        <v>895809</v>
      </c>
      <c r="G171" s="173">
        <f>IFERROR(__xludf.DUMMYFUNCTION("""COMPUTED_VALUE"""),15360.0)</f>
        <v>15360</v>
      </c>
      <c r="H171" s="173">
        <f>IFERROR(__xludf.DUMMYFUNCTION("""COMPUTED_VALUE"""),933494.0)</f>
        <v>933494</v>
      </c>
      <c r="I171" s="235">
        <f>IFERROR(__xludf.DUMMYFUNCTION("""COMPUTED_VALUE"""),303.0)</f>
        <v>303</v>
      </c>
      <c r="J171" s="235">
        <f>IFERROR(__xludf.DUMMYFUNCTION("""COMPUTED_VALUE"""),223.0)</f>
        <v>223</v>
      </c>
      <c r="K171" s="235">
        <f>IFERROR(__xludf.DUMMYFUNCTION("""COMPUTED_VALUE"""),27574.0)</f>
        <v>27574</v>
      </c>
      <c r="L171" s="235">
        <f>IFERROR(__xludf.DUMMYFUNCTION("""COMPUTED_VALUE"""),4041.0)</f>
        <v>4041</v>
      </c>
      <c r="M171" s="235">
        <f>IFERROR(__xludf.DUMMYFUNCTION("""COMPUTED_VALUE"""),355772.0)</f>
        <v>355772</v>
      </c>
      <c r="N171" s="235">
        <f>IFERROR(__xludf.DUMMYFUNCTION("""COMPUTED_VALUE"""),383346.0)</f>
        <v>383346</v>
      </c>
      <c r="O171" s="235">
        <f>IFERROR(__xludf.DUMMYFUNCTION("""COMPUTED_VALUE"""),17.0)</f>
        <v>17</v>
      </c>
      <c r="P171" s="235">
        <f>IFERROR(__xludf.DUMMYFUNCTION("""COMPUTED_VALUE"""),3017.0)</f>
        <v>3017</v>
      </c>
      <c r="Q171" s="235">
        <f>IFERROR(__xludf.DUMMYFUNCTION("""COMPUTED_VALUE"""),7.0)</f>
        <v>7</v>
      </c>
      <c r="R171" s="235">
        <f>IFERROR(__xludf.DUMMYFUNCTION("""COMPUTED_VALUE"""),2506.0)</f>
        <v>2506</v>
      </c>
      <c r="S171" s="235">
        <f>IFERROR(__xludf.DUMMYFUNCTION("""COMPUTED_VALUE"""),0.0)</f>
        <v>0</v>
      </c>
      <c r="T171" s="235">
        <f>IFERROR(__xludf.DUMMYFUNCTION("""COMPUTED_VALUE"""),378.0)</f>
        <v>378</v>
      </c>
      <c r="U171" s="235">
        <f>IFERROR(__xludf.DUMMYFUNCTION("""COMPUTED_VALUE"""),133.0)</f>
        <v>133</v>
      </c>
      <c r="V171" s="235">
        <f>IFERROR(__xludf.DUMMYFUNCTION("""COMPUTED_VALUE"""),128.0)</f>
        <v>128</v>
      </c>
      <c r="W171" s="235">
        <f>IFERROR(__xludf.DUMMYFUNCTION("""COMPUTED_VALUE"""),15.0)</f>
        <v>15</v>
      </c>
      <c r="X171" s="235">
        <f>IFERROR(__xludf.DUMMYFUNCTION("""COMPUTED_VALUE"""),5.0)</f>
        <v>5</v>
      </c>
      <c r="Y171" s="235">
        <f>IFERROR(__xludf.DUMMYFUNCTION("""COMPUTED_VALUE"""),2.0)</f>
        <v>2</v>
      </c>
      <c r="Z171" s="235">
        <f>IFERROR(__xludf.DUMMYFUNCTION("""COMPUTED_VALUE"""),1165.0)</f>
        <v>1165</v>
      </c>
    </row>
    <row r="172">
      <c r="A172" s="234">
        <f>IFERROR(__xludf.DUMMYFUNCTION("""COMPUTED_VALUE"""),44119.0)</f>
        <v>44119</v>
      </c>
      <c r="B172" s="235">
        <f>IFERROR(__xludf.DUMMYFUNCTION("""COMPUTED_VALUE"""),262.0)</f>
        <v>262</v>
      </c>
      <c r="C172" s="235">
        <f>IFERROR(__xludf.DUMMYFUNCTION("""COMPUTED_VALUE"""),266.0)</f>
        <v>266</v>
      </c>
      <c r="D172" s="235">
        <f>IFERROR(__xludf.DUMMYFUNCTION("""COMPUTED_VALUE"""),37947.0)</f>
        <v>37947</v>
      </c>
      <c r="E172" s="235">
        <f>IFERROR(__xludf.DUMMYFUNCTION("""COMPUTED_VALUE"""),14640.0)</f>
        <v>14640</v>
      </c>
      <c r="F172" s="173">
        <f>IFERROR(__xludf.DUMMYFUNCTION("""COMPUTED_VALUE"""),910449.0)</f>
        <v>910449</v>
      </c>
      <c r="G172" s="173">
        <f>IFERROR(__xludf.DUMMYFUNCTION("""COMPUTED_VALUE"""),14902.0)</f>
        <v>14902</v>
      </c>
      <c r="H172" s="173">
        <f>IFERROR(__xludf.DUMMYFUNCTION("""COMPUTED_VALUE"""),948396.0)</f>
        <v>948396</v>
      </c>
      <c r="I172" s="235">
        <f>IFERROR(__xludf.DUMMYFUNCTION("""COMPUTED_VALUE"""),254.0)</f>
        <v>254</v>
      </c>
      <c r="J172" s="235">
        <f>IFERROR(__xludf.DUMMYFUNCTION("""COMPUTED_VALUE"""),255.0)</f>
        <v>255</v>
      </c>
      <c r="K172" s="235">
        <f>IFERROR(__xludf.DUMMYFUNCTION("""COMPUTED_VALUE"""),27828.0)</f>
        <v>27828</v>
      </c>
      <c r="L172" s="235">
        <f>IFERROR(__xludf.DUMMYFUNCTION("""COMPUTED_VALUE"""),3578.0)</f>
        <v>3578</v>
      </c>
      <c r="M172" s="235">
        <f>IFERROR(__xludf.DUMMYFUNCTION("""COMPUTED_VALUE"""),359350.0)</f>
        <v>359350</v>
      </c>
      <c r="N172" s="235">
        <f>IFERROR(__xludf.DUMMYFUNCTION("""COMPUTED_VALUE"""),387178.0)</f>
        <v>387178</v>
      </c>
      <c r="O172" s="235">
        <f>IFERROR(__xludf.DUMMYFUNCTION("""COMPUTED_VALUE"""),12.0)</f>
        <v>12</v>
      </c>
      <c r="P172" s="235">
        <f>IFERROR(__xludf.DUMMYFUNCTION("""COMPUTED_VALUE"""),3029.0)</f>
        <v>3029</v>
      </c>
      <c r="Q172" s="235">
        <f>IFERROR(__xludf.DUMMYFUNCTION("""COMPUTED_VALUE"""),16.0)</f>
        <v>16</v>
      </c>
      <c r="R172" s="235">
        <f>IFERROR(__xludf.DUMMYFUNCTION("""COMPUTED_VALUE"""),2522.0)</f>
        <v>2522</v>
      </c>
      <c r="S172" s="235">
        <f>IFERROR(__xludf.DUMMYFUNCTION("""COMPUTED_VALUE"""),1.0)</f>
        <v>1</v>
      </c>
      <c r="T172" s="235">
        <f>IFERROR(__xludf.DUMMYFUNCTION("""COMPUTED_VALUE"""),379.0)</f>
        <v>379</v>
      </c>
      <c r="U172" s="235">
        <f>IFERROR(__xludf.DUMMYFUNCTION("""COMPUTED_VALUE"""),128.0)</f>
        <v>128</v>
      </c>
      <c r="V172" s="235">
        <f>IFERROR(__xludf.DUMMYFUNCTION("""COMPUTED_VALUE"""),128.0)</f>
        <v>128</v>
      </c>
      <c r="W172" s="235">
        <f>IFERROR(__xludf.DUMMYFUNCTION("""COMPUTED_VALUE"""),13.0)</f>
        <v>13</v>
      </c>
      <c r="X172" s="235">
        <f>IFERROR(__xludf.DUMMYFUNCTION("""COMPUTED_VALUE"""),5.0)</f>
        <v>5</v>
      </c>
      <c r="Y172" s="235">
        <f>IFERROR(__xludf.DUMMYFUNCTION("""COMPUTED_VALUE"""),2.0)</f>
        <v>2</v>
      </c>
      <c r="Z172" s="235">
        <f>IFERROR(__xludf.DUMMYFUNCTION("""COMPUTED_VALUE"""),1167.0)</f>
        <v>1167</v>
      </c>
    </row>
    <row r="173">
      <c r="A173" s="234">
        <f>IFERROR(__xludf.DUMMYFUNCTION("""COMPUTED_VALUE"""),44120.0)</f>
        <v>44120</v>
      </c>
      <c r="B173" s="235">
        <f>IFERROR(__xludf.DUMMYFUNCTION("""COMPUTED_VALUE"""),279.0)</f>
        <v>279</v>
      </c>
      <c r="C173" s="235">
        <f>IFERROR(__xludf.DUMMYFUNCTION("""COMPUTED_VALUE"""),288.0)</f>
        <v>288</v>
      </c>
      <c r="D173" s="235">
        <f>IFERROR(__xludf.DUMMYFUNCTION("""COMPUTED_VALUE"""),38226.0)</f>
        <v>38226</v>
      </c>
      <c r="E173" s="235">
        <f>IFERROR(__xludf.DUMMYFUNCTION("""COMPUTED_VALUE"""),15011.0)</f>
        <v>15011</v>
      </c>
      <c r="F173" s="173">
        <f>IFERROR(__xludf.DUMMYFUNCTION("""COMPUTED_VALUE"""),925460.0)</f>
        <v>925460</v>
      </c>
      <c r="G173" s="173">
        <f>IFERROR(__xludf.DUMMYFUNCTION("""COMPUTED_VALUE"""),15290.0)</f>
        <v>15290</v>
      </c>
      <c r="H173" s="173">
        <f>IFERROR(__xludf.DUMMYFUNCTION("""COMPUTED_VALUE"""),963686.0)</f>
        <v>963686</v>
      </c>
      <c r="I173" s="235">
        <f>IFERROR(__xludf.DUMMYFUNCTION("""COMPUTED_VALUE"""),275.0)</f>
        <v>275</v>
      </c>
      <c r="J173" s="235">
        <f>IFERROR(__xludf.DUMMYFUNCTION("""COMPUTED_VALUE"""),277.0)</f>
        <v>277</v>
      </c>
      <c r="K173" s="235">
        <f>IFERROR(__xludf.DUMMYFUNCTION("""COMPUTED_VALUE"""),28103.0)</f>
        <v>28103</v>
      </c>
      <c r="L173" s="235">
        <f>IFERROR(__xludf.DUMMYFUNCTION("""COMPUTED_VALUE"""),3388.0)</f>
        <v>3388</v>
      </c>
      <c r="M173" s="235">
        <f>IFERROR(__xludf.DUMMYFUNCTION("""COMPUTED_VALUE"""),362738.0)</f>
        <v>362738</v>
      </c>
      <c r="N173" s="235">
        <f>IFERROR(__xludf.DUMMYFUNCTION("""COMPUTED_VALUE"""),390841.0)</f>
        <v>390841</v>
      </c>
      <c r="O173" s="235">
        <f>IFERROR(__xludf.DUMMYFUNCTION("""COMPUTED_VALUE"""),13.0)</f>
        <v>13</v>
      </c>
      <c r="P173" s="235">
        <f>IFERROR(__xludf.DUMMYFUNCTION("""COMPUTED_VALUE"""),3042.0)</f>
        <v>3042</v>
      </c>
      <c r="Q173" s="235">
        <f>IFERROR(__xludf.DUMMYFUNCTION("""COMPUTED_VALUE"""),20.0)</f>
        <v>20</v>
      </c>
      <c r="R173" s="235">
        <f>IFERROR(__xludf.DUMMYFUNCTION("""COMPUTED_VALUE"""),2542.0)</f>
        <v>2542</v>
      </c>
      <c r="S173" s="235">
        <f>IFERROR(__xludf.DUMMYFUNCTION("""COMPUTED_VALUE"""),1.0)</f>
        <v>1</v>
      </c>
      <c r="T173" s="235">
        <f>IFERROR(__xludf.DUMMYFUNCTION("""COMPUTED_VALUE"""),380.0)</f>
        <v>380</v>
      </c>
      <c r="U173" s="235">
        <f>IFERROR(__xludf.DUMMYFUNCTION("""COMPUTED_VALUE"""),120.0)</f>
        <v>120</v>
      </c>
      <c r="V173" s="235">
        <f>IFERROR(__xludf.DUMMYFUNCTION("""COMPUTED_VALUE"""),127.0)</f>
        <v>127</v>
      </c>
      <c r="W173" s="235">
        <f>IFERROR(__xludf.DUMMYFUNCTION("""COMPUTED_VALUE"""),13.0)</f>
        <v>13</v>
      </c>
      <c r="X173" s="235">
        <f>IFERROR(__xludf.DUMMYFUNCTION("""COMPUTED_VALUE"""),4.0)</f>
        <v>4</v>
      </c>
      <c r="Y173" s="235">
        <f>IFERROR(__xludf.DUMMYFUNCTION("""COMPUTED_VALUE"""),2.0)</f>
        <v>2</v>
      </c>
      <c r="Z173" s="235">
        <f>IFERROR(__xludf.DUMMYFUNCTION("""COMPUTED_VALUE"""),1169.0)</f>
        <v>1169</v>
      </c>
    </row>
    <row r="174">
      <c r="A174" s="234">
        <f>IFERROR(__xludf.DUMMYFUNCTION("""COMPUTED_VALUE"""),44121.0)</f>
        <v>44121</v>
      </c>
      <c r="B174" s="235">
        <f>IFERROR(__xludf.DUMMYFUNCTION("""COMPUTED_VALUE"""),354.0)</f>
        <v>354</v>
      </c>
      <c r="C174" s="235">
        <f>IFERROR(__xludf.DUMMYFUNCTION("""COMPUTED_VALUE"""),298.0)</f>
        <v>298</v>
      </c>
      <c r="D174" s="235">
        <f>IFERROR(__xludf.DUMMYFUNCTION("""COMPUTED_VALUE"""),38580.0)</f>
        <v>38580</v>
      </c>
      <c r="E174" s="235">
        <f>IFERROR(__xludf.DUMMYFUNCTION("""COMPUTED_VALUE"""),14068.0)</f>
        <v>14068</v>
      </c>
      <c r="F174" s="173">
        <f>IFERROR(__xludf.DUMMYFUNCTION("""COMPUTED_VALUE"""),939528.0)</f>
        <v>939528</v>
      </c>
      <c r="G174" s="173">
        <f>IFERROR(__xludf.DUMMYFUNCTION("""COMPUTED_VALUE"""),14422.0)</f>
        <v>14422</v>
      </c>
      <c r="H174" s="173">
        <f>IFERROR(__xludf.DUMMYFUNCTION("""COMPUTED_VALUE"""),978108.0)</f>
        <v>978108</v>
      </c>
      <c r="I174" s="235">
        <f>IFERROR(__xludf.DUMMYFUNCTION("""COMPUTED_VALUE"""),311.0)</f>
        <v>311</v>
      </c>
      <c r="J174" s="235">
        <f>IFERROR(__xludf.DUMMYFUNCTION("""COMPUTED_VALUE"""),280.0)</f>
        <v>280</v>
      </c>
      <c r="K174" s="235">
        <f>IFERROR(__xludf.DUMMYFUNCTION("""COMPUTED_VALUE"""),28414.0)</f>
        <v>28414</v>
      </c>
      <c r="L174" s="235">
        <f>IFERROR(__xludf.DUMMYFUNCTION("""COMPUTED_VALUE"""),3267.0)</f>
        <v>3267</v>
      </c>
      <c r="M174" s="235">
        <f>IFERROR(__xludf.DUMMYFUNCTION("""COMPUTED_VALUE"""),366005.0)</f>
        <v>366005</v>
      </c>
      <c r="N174" s="235">
        <f>IFERROR(__xludf.DUMMYFUNCTION("""COMPUTED_VALUE"""),394419.0)</f>
        <v>394419</v>
      </c>
      <c r="O174" s="235">
        <f>IFERROR(__xludf.DUMMYFUNCTION("""COMPUTED_VALUE"""),19.0)</f>
        <v>19</v>
      </c>
      <c r="P174" s="235">
        <f>IFERROR(__xludf.DUMMYFUNCTION("""COMPUTED_VALUE"""),3061.0)</f>
        <v>3061</v>
      </c>
      <c r="Q174" s="235">
        <f>IFERROR(__xludf.DUMMYFUNCTION("""COMPUTED_VALUE"""),11.0)</f>
        <v>11</v>
      </c>
      <c r="R174" s="235">
        <f>IFERROR(__xludf.DUMMYFUNCTION("""COMPUTED_VALUE"""),2553.0)</f>
        <v>2553</v>
      </c>
      <c r="S174" s="235">
        <f>IFERROR(__xludf.DUMMYFUNCTION("""COMPUTED_VALUE"""),1.0)</f>
        <v>1</v>
      </c>
      <c r="T174" s="235">
        <f>IFERROR(__xludf.DUMMYFUNCTION("""COMPUTED_VALUE"""),381.0)</f>
        <v>381</v>
      </c>
      <c r="U174" s="235">
        <f>IFERROR(__xludf.DUMMYFUNCTION("""COMPUTED_VALUE"""),127.0)</f>
        <v>127</v>
      </c>
      <c r="V174" s="235">
        <f>IFERROR(__xludf.DUMMYFUNCTION("""COMPUTED_VALUE"""),125.0)</f>
        <v>125</v>
      </c>
      <c r="W174" s="235">
        <f>IFERROR(__xludf.DUMMYFUNCTION("""COMPUTED_VALUE"""),17.0)</f>
        <v>17</v>
      </c>
      <c r="X174" s="235">
        <f>IFERROR(__xludf.DUMMYFUNCTION("""COMPUTED_VALUE"""),4.0)</f>
        <v>4</v>
      </c>
      <c r="Y174" s="235">
        <f>IFERROR(__xludf.DUMMYFUNCTION("""COMPUTED_VALUE"""),2.0)</f>
        <v>2</v>
      </c>
      <c r="Z174" s="235">
        <f>IFERROR(__xludf.DUMMYFUNCTION("""COMPUTED_VALUE"""),1171.0)</f>
        <v>1171</v>
      </c>
    </row>
    <row r="175">
      <c r="A175" s="234">
        <f>IFERROR(__xludf.DUMMYFUNCTION("""COMPUTED_VALUE"""),44122.0)</f>
        <v>44122</v>
      </c>
      <c r="B175" s="235">
        <f>IFERROR(__xludf.DUMMYFUNCTION("""COMPUTED_VALUE"""),155.0)</f>
        <v>155</v>
      </c>
      <c r="C175" s="235">
        <f>IFERROR(__xludf.DUMMYFUNCTION("""COMPUTED_VALUE"""),263.0)</f>
        <v>263</v>
      </c>
      <c r="D175" s="235">
        <f>IFERROR(__xludf.DUMMYFUNCTION("""COMPUTED_VALUE"""),38735.0)</f>
        <v>38735</v>
      </c>
      <c r="E175" s="235">
        <f>IFERROR(__xludf.DUMMYFUNCTION("""COMPUTED_VALUE"""),4039.0)</f>
        <v>4039</v>
      </c>
      <c r="F175" s="173">
        <f>IFERROR(__xludf.DUMMYFUNCTION("""COMPUTED_VALUE"""),943567.0)</f>
        <v>943567</v>
      </c>
      <c r="G175" s="173">
        <f>IFERROR(__xludf.DUMMYFUNCTION("""COMPUTED_VALUE"""),4194.0)</f>
        <v>4194</v>
      </c>
      <c r="H175" s="173">
        <f>IFERROR(__xludf.DUMMYFUNCTION("""COMPUTED_VALUE"""),982302.0)</f>
        <v>982302</v>
      </c>
      <c r="I175" s="235">
        <f>IFERROR(__xludf.DUMMYFUNCTION("""COMPUTED_VALUE"""),129.0)</f>
        <v>129</v>
      </c>
      <c r="J175" s="235">
        <f>IFERROR(__xludf.DUMMYFUNCTION("""COMPUTED_VALUE"""),238.0)</f>
        <v>238</v>
      </c>
      <c r="K175" s="235">
        <f>IFERROR(__xludf.DUMMYFUNCTION("""COMPUTED_VALUE"""),28543.0)</f>
        <v>28543</v>
      </c>
      <c r="L175" s="235">
        <f>IFERROR(__xludf.DUMMYFUNCTION("""COMPUTED_VALUE"""),1326.0)</f>
        <v>1326</v>
      </c>
      <c r="M175" s="235">
        <f>IFERROR(__xludf.DUMMYFUNCTION("""COMPUTED_VALUE"""),367331.0)</f>
        <v>367331</v>
      </c>
      <c r="N175" s="235">
        <f>IFERROR(__xludf.DUMMYFUNCTION("""COMPUTED_VALUE"""),395874.0)</f>
        <v>395874</v>
      </c>
      <c r="O175" s="235">
        <f>IFERROR(__xludf.DUMMYFUNCTION("""COMPUTED_VALUE"""),18.0)</f>
        <v>18</v>
      </c>
      <c r="P175" s="235">
        <f>IFERROR(__xludf.DUMMYFUNCTION("""COMPUTED_VALUE"""),3079.0)</f>
        <v>3079</v>
      </c>
      <c r="Q175" s="235">
        <f>IFERROR(__xludf.DUMMYFUNCTION("""COMPUTED_VALUE"""),11.0)</f>
        <v>11</v>
      </c>
      <c r="R175" s="235">
        <f>IFERROR(__xludf.DUMMYFUNCTION("""COMPUTED_VALUE"""),2564.0)</f>
        <v>2564</v>
      </c>
      <c r="S175" s="235">
        <f>IFERROR(__xludf.DUMMYFUNCTION("""COMPUTED_VALUE"""),0.0)</f>
        <v>0</v>
      </c>
      <c r="T175" s="235">
        <f>IFERROR(__xludf.DUMMYFUNCTION("""COMPUTED_VALUE"""),381.0)</f>
        <v>381</v>
      </c>
      <c r="U175" s="235">
        <f>IFERROR(__xludf.DUMMYFUNCTION("""COMPUTED_VALUE"""),134.0)</f>
        <v>134</v>
      </c>
      <c r="V175" s="235">
        <f>IFERROR(__xludf.DUMMYFUNCTION("""COMPUTED_VALUE"""),127.0)</f>
        <v>127</v>
      </c>
      <c r="W175" s="235">
        <f>IFERROR(__xludf.DUMMYFUNCTION("""COMPUTED_VALUE"""),17.0)</f>
        <v>17</v>
      </c>
      <c r="X175" s="235">
        <f>IFERROR(__xludf.DUMMYFUNCTION("""COMPUTED_VALUE"""),6.0)</f>
        <v>6</v>
      </c>
      <c r="Y175" s="235">
        <f>IFERROR(__xludf.DUMMYFUNCTION("""COMPUTED_VALUE"""),2.0)</f>
        <v>2</v>
      </c>
      <c r="Z175" s="235">
        <f>IFERROR(__xludf.DUMMYFUNCTION("""COMPUTED_VALUE"""),1173.0)</f>
        <v>1173</v>
      </c>
    </row>
    <row r="176">
      <c r="A176" s="234">
        <f>IFERROR(__xludf.DUMMYFUNCTION("""COMPUTED_VALUE"""),44123.0)</f>
        <v>44123</v>
      </c>
      <c r="B176" s="235">
        <f>IFERROR(__xludf.DUMMYFUNCTION("""COMPUTED_VALUE"""),388.0)</f>
        <v>388</v>
      </c>
      <c r="C176" s="235">
        <f>IFERROR(__xludf.DUMMYFUNCTION("""COMPUTED_VALUE"""),299.0)</f>
        <v>299</v>
      </c>
      <c r="D176" s="235">
        <f>IFERROR(__xludf.DUMMYFUNCTION("""COMPUTED_VALUE"""),39123.0)</f>
        <v>39123</v>
      </c>
      <c r="E176" s="235">
        <f>IFERROR(__xludf.DUMMYFUNCTION("""COMPUTED_VALUE"""),8489.0)</f>
        <v>8489</v>
      </c>
      <c r="F176" s="173">
        <f>IFERROR(__xludf.DUMMYFUNCTION("""COMPUTED_VALUE"""),952056.0)</f>
        <v>952056</v>
      </c>
      <c r="G176" s="173">
        <f>IFERROR(__xludf.DUMMYFUNCTION("""COMPUTED_VALUE"""),8877.0)</f>
        <v>8877</v>
      </c>
      <c r="H176" s="173">
        <f>IFERROR(__xludf.DUMMYFUNCTION("""COMPUTED_VALUE"""),991179.0)</f>
        <v>991179</v>
      </c>
      <c r="I176" s="235">
        <f>IFERROR(__xludf.DUMMYFUNCTION("""COMPUTED_VALUE"""),325.0)</f>
        <v>325</v>
      </c>
      <c r="J176" s="235">
        <f>IFERROR(__xludf.DUMMYFUNCTION("""COMPUTED_VALUE"""),255.0)</f>
        <v>255</v>
      </c>
      <c r="K176" s="235">
        <f>IFERROR(__xludf.DUMMYFUNCTION("""COMPUTED_VALUE"""),28868.0)</f>
        <v>28868</v>
      </c>
      <c r="L176" s="235">
        <f>IFERROR(__xludf.DUMMYFUNCTION("""COMPUTED_VALUE"""),2563.0)</f>
        <v>2563</v>
      </c>
      <c r="M176" s="235">
        <f>IFERROR(__xludf.DUMMYFUNCTION("""COMPUTED_VALUE"""),369894.0)</f>
        <v>369894</v>
      </c>
      <c r="N176" s="235">
        <f>IFERROR(__xludf.DUMMYFUNCTION("""COMPUTED_VALUE"""),398762.0)</f>
        <v>398762</v>
      </c>
      <c r="O176" s="235">
        <f>IFERROR(__xludf.DUMMYFUNCTION("""COMPUTED_VALUE"""),21.0)</f>
        <v>21</v>
      </c>
      <c r="P176" s="235">
        <f>IFERROR(__xludf.DUMMYFUNCTION("""COMPUTED_VALUE"""),3100.0)</f>
        <v>3100</v>
      </c>
      <c r="Q176" s="235">
        <f>IFERROR(__xludf.DUMMYFUNCTION("""COMPUTED_VALUE"""),23.0)</f>
        <v>23</v>
      </c>
      <c r="R176" s="235">
        <f>IFERROR(__xludf.DUMMYFUNCTION("""COMPUTED_VALUE"""),2587.0)</f>
        <v>2587</v>
      </c>
      <c r="S176" s="235">
        <f>IFERROR(__xludf.DUMMYFUNCTION("""COMPUTED_VALUE"""),2.0)</f>
        <v>2</v>
      </c>
      <c r="T176" s="235">
        <f>IFERROR(__xludf.DUMMYFUNCTION("""COMPUTED_VALUE"""),383.0)</f>
        <v>383</v>
      </c>
      <c r="U176" s="235">
        <f>IFERROR(__xludf.DUMMYFUNCTION("""COMPUTED_VALUE"""),130.0)</f>
        <v>130</v>
      </c>
      <c r="V176" s="235">
        <f>IFERROR(__xludf.DUMMYFUNCTION("""COMPUTED_VALUE"""),130.0)</f>
        <v>130</v>
      </c>
      <c r="W176" s="235">
        <f>IFERROR(__xludf.DUMMYFUNCTION("""COMPUTED_VALUE"""),15.0)</f>
        <v>15</v>
      </c>
      <c r="X176" s="235">
        <f>IFERROR(__xludf.DUMMYFUNCTION("""COMPUTED_VALUE"""),6.0)</f>
        <v>6</v>
      </c>
      <c r="Y176" s="235">
        <f>IFERROR(__xludf.DUMMYFUNCTION("""COMPUTED_VALUE"""),1.0)</f>
        <v>1</v>
      </c>
      <c r="Z176" s="235">
        <f>IFERROR(__xludf.DUMMYFUNCTION("""COMPUTED_VALUE"""),1174.0)</f>
        <v>1174</v>
      </c>
    </row>
    <row r="177">
      <c r="A177" s="234">
        <f>IFERROR(__xludf.DUMMYFUNCTION("""COMPUTED_VALUE"""),44124.0)</f>
        <v>44124</v>
      </c>
      <c r="B177" s="235">
        <f>IFERROR(__xludf.DUMMYFUNCTION("""COMPUTED_VALUE"""),439.0)</f>
        <v>439</v>
      </c>
      <c r="C177" s="235">
        <f>IFERROR(__xludf.DUMMYFUNCTION("""COMPUTED_VALUE"""),327.0)</f>
        <v>327</v>
      </c>
      <c r="D177" s="235">
        <f>IFERROR(__xludf.DUMMYFUNCTION("""COMPUTED_VALUE"""),39562.0)</f>
        <v>39562</v>
      </c>
      <c r="E177" s="235">
        <f>IFERROR(__xludf.DUMMYFUNCTION("""COMPUTED_VALUE"""),13242.0)</f>
        <v>13242</v>
      </c>
      <c r="F177" s="173">
        <f>IFERROR(__xludf.DUMMYFUNCTION("""COMPUTED_VALUE"""),965298.0)</f>
        <v>965298</v>
      </c>
      <c r="G177" s="173">
        <f>IFERROR(__xludf.DUMMYFUNCTION("""COMPUTED_VALUE"""),13681.0)</f>
        <v>13681</v>
      </c>
      <c r="H177" s="173">
        <f>IFERROR(__xludf.DUMMYFUNCTION("""COMPUTED_VALUE"""),1004860.0)</f>
        <v>1004860</v>
      </c>
      <c r="I177" s="235">
        <f>IFERROR(__xludf.DUMMYFUNCTION("""COMPUTED_VALUE"""),387.0)</f>
        <v>387</v>
      </c>
      <c r="J177" s="235">
        <f>IFERROR(__xludf.DUMMYFUNCTION("""COMPUTED_VALUE"""),280.0)</f>
        <v>280</v>
      </c>
      <c r="K177" s="235">
        <f>IFERROR(__xludf.DUMMYFUNCTION("""COMPUTED_VALUE"""),29255.0)</f>
        <v>29255</v>
      </c>
      <c r="L177" s="235">
        <f>IFERROR(__xludf.DUMMYFUNCTION("""COMPUTED_VALUE"""),3014.0)</f>
        <v>3014</v>
      </c>
      <c r="M177" s="235">
        <f>IFERROR(__xludf.DUMMYFUNCTION("""COMPUTED_VALUE"""),372908.0)</f>
        <v>372908</v>
      </c>
      <c r="N177" s="235">
        <f>IFERROR(__xludf.DUMMYFUNCTION("""COMPUTED_VALUE"""),402163.0)</f>
        <v>402163</v>
      </c>
      <c r="O177" s="235">
        <f>IFERROR(__xludf.DUMMYFUNCTION("""COMPUTED_VALUE"""),22.0)</f>
        <v>22</v>
      </c>
      <c r="P177" s="235">
        <f>IFERROR(__xludf.DUMMYFUNCTION("""COMPUTED_VALUE"""),3122.0)</f>
        <v>3122</v>
      </c>
      <c r="Q177" s="235">
        <f>IFERROR(__xludf.DUMMYFUNCTION("""COMPUTED_VALUE"""),17.0)</f>
        <v>17</v>
      </c>
      <c r="R177" s="235">
        <f>IFERROR(__xludf.DUMMYFUNCTION("""COMPUTED_VALUE"""),2604.0)</f>
        <v>2604</v>
      </c>
      <c r="S177" s="235">
        <f>IFERROR(__xludf.DUMMYFUNCTION("""COMPUTED_VALUE"""),0.0)</f>
        <v>0</v>
      </c>
      <c r="T177" s="235">
        <f>IFERROR(__xludf.DUMMYFUNCTION("""COMPUTED_VALUE"""),383.0)</f>
        <v>383</v>
      </c>
      <c r="U177" s="235">
        <f>IFERROR(__xludf.DUMMYFUNCTION("""COMPUTED_VALUE"""),135.0)</f>
        <v>135</v>
      </c>
      <c r="V177" s="235">
        <f>IFERROR(__xludf.DUMMYFUNCTION("""COMPUTED_VALUE"""),133.0)</f>
        <v>133</v>
      </c>
      <c r="W177" s="235">
        <f>IFERROR(__xludf.DUMMYFUNCTION("""COMPUTED_VALUE"""),14.0)</f>
        <v>14</v>
      </c>
      <c r="X177" s="235">
        <f>IFERROR(__xludf.DUMMYFUNCTION("""COMPUTED_VALUE"""),8.0)</f>
        <v>8</v>
      </c>
      <c r="Y177" s="235">
        <f>IFERROR(__xludf.DUMMYFUNCTION("""COMPUTED_VALUE"""),3.0)</f>
        <v>3</v>
      </c>
      <c r="Z177" s="235">
        <f>IFERROR(__xludf.DUMMYFUNCTION("""COMPUTED_VALUE"""),1177.0)</f>
        <v>1177</v>
      </c>
    </row>
    <row r="178">
      <c r="A178" s="234">
        <f>IFERROR(__xludf.DUMMYFUNCTION("""COMPUTED_VALUE"""),44125.0)</f>
        <v>44125</v>
      </c>
      <c r="B178" s="235">
        <f>IFERROR(__xludf.DUMMYFUNCTION("""COMPUTED_VALUE"""),544.0)</f>
        <v>544</v>
      </c>
      <c r="C178" s="235">
        <f>IFERROR(__xludf.DUMMYFUNCTION("""COMPUTED_VALUE"""),457.0)</f>
        <v>457</v>
      </c>
      <c r="D178" s="235">
        <f>IFERROR(__xludf.DUMMYFUNCTION("""COMPUTED_VALUE"""),40106.0)</f>
        <v>40106</v>
      </c>
      <c r="E178" s="235">
        <f>IFERROR(__xludf.DUMMYFUNCTION("""COMPUTED_VALUE"""),17462.0)</f>
        <v>17462</v>
      </c>
      <c r="F178" s="173">
        <f>IFERROR(__xludf.DUMMYFUNCTION("""COMPUTED_VALUE"""),982760.0)</f>
        <v>982760</v>
      </c>
      <c r="G178" s="173">
        <f>IFERROR(__xludf.DUMMYFUNCTION("""COMPUTED_VALUE"""),18006.0)</f>
        <v>18006</v>
      </c>
      <c r="H178" s="173">
        <f>IFERROR(__xludf.DUMMYFUNCTION("""COMPUTED_VALUE"""),1022866.0)</f>
        <v>1022866</v>
      </c>
      <c r="I178" s="235">
        <f>IFERROR(__xludf.DUMMYFUNCTION("""COMPUTED_VALUE"""),473.0)</f>
        <v>473</v>
      </c>
      <c r="J178" s="235">
        <f>IFERROR(__xludf.DUMMYFUNCTION("""COMPUTED_VALUE"""),395.0)</f>
        <v>395</v>
      </c>
      <c r="K178" s="235">
        <f>IFERROR(__xludf.DUMMYFUNCTION("""COMPUTED_VALUE"""),29728.0)</f>
        <v>29728</v>
      </c>
      <c r="L178" s="235">
        <f>IFERROR(__xludf.DUMMYFUNCTION("""COMPUTED_VALUE"""),3526.0)</f>
        <v>3526</v>
      </c>
      <c r="M178" s="235">
        <f>IFERROR(__xludf.DUMMYFUNCTION("""COMPUTED_VALUE"""),376434.0)</f>
        <v>376434</v>
      </c>
      <c r="N178" s="235">
        <f>IFERROR(__xludf.DUMMYFUNCTION("""COMPUTED_VALUE"""),406162.0)</f>
        <v>406162</v>
      </c>
      <c r="O178" s="235">
        <f>IFERROR(__xludf.DUMMYFUNCTION("""COMPUTED_VALUE"""),21.0)</f>
        <v>21</v>
      </c>
      <c r="P178" s="235">
        <f>IFERROR(__xludf.DUMMYFUNCTION("""COMPUTED_VALUE"""),3143.0)</f>
        <v>3143</v>
      </c>
      <c r="Q178" s="235">
        <f>IFERROR(__xludf.DUMMYFUNCTION("""COMPUTED_VALUE"""),9.0)</f>
        <v>9</v>
      </c>
      <c r="R178" s="235">
        <f>IFERROR(__xludf.DUMMYFUNCTION("""COMPUTED_VALUE"""),2613.0)</f>
        <v>2613</v>
      </c>
      <c r="S178" s="235">
        <f>IFERROR(__xludf.DUMMYFUNCTION("""COMPUTED_VALUE"""),2.0)</f>
        <v>2</v>
      </c>
      <c r="T178" s="235">
        <f>IFERROR(__xludf.DUMMYFUNCTION("""COMPUTED_VALUE"""),385.0)</f>
        <v>385</v>
      </c>
      <c r="U178" s="235">
        <f>IFERROR(__xludf.DUMMYFUNCTION("""COMPUTED_VALUE"""),145.0)</f>
        <v>145</v>
      </c>
      <c r="V178" s="235">
        <f>IFERROR(__xludf.DUMMYFUNCTION("""COMPUTED_VALUE"""),137.0)</f>
        <v>137</v>
      </c>
      <c r="W178" s="235">
        <f>IFERROR(__xludf.DUMMYFUNCTION("""COMPUTED_VALUE"""),15.0)</f>
        <v>15</v>
      </c>
      <c r="X178" s="235">
        <f>IFERROR(__xludf.DUMMYFUNCTION("""COMPUTED_VALUE"""),9.0)</f>
        <v>9</v>
      </c>
      <c r="Y178" s="235">
        <f>IFERROR(__xludf.DUMMYFUNCTION("""COMPUTED_VALUE"""),3.0)</f>
        <v>3</v>
      </c>
      <c r="Z178" s="235">
        <f>IFERROR(__xludf.DUMMYFUNCTION("""COMPUTED_VALUE"""),1180.0)</f>
        <v>1180</v>
      </c>
    </row>
    <row r="179">
      <c r="A179" s="234">
        <f>IFERROR(__xludf.DUMMYFUNCTION("""COMPUTED_VALUE"""),44126.0)</f>
        <v>44126</v>
      </c>
      <c r="B179" s="235">
        <f>IFERROR(__xludf.DUMMYFUNCTION("""COMPUTED_VALUE"""),538.0)</f>
        <v>538</v>
      </c>
      <c r="C179" s="235">
        <f>IFERROR(__xludf.DUMMYFUNCTION("""COMPUTED_VALUE"""),507.0)</f>
        <v>507</v>
      </c>
      <c r="D179" s="235">
        <f>IFERROR(__xludf.DUMMYFUNCTION("""COMPUTED_VALUE"""),40644.0)</f>
        <v>40644</v>
      </c>
      <c r="E179" s="235">
        <f>IFERROR(__xludf.DUMMYFUNCTION("""COMPUTED_VALUE"""),15863.0)</f>
        <v>15863</v>
      </c>
      <c r="F179" s="173">
        <f>IFERROR(__xludf.DUMMYFUNCTION("""COMPUTED_VALUE"""),998623.0)</f>
        <v>998623</v>
      </c>
      <c r="G179" s="173">
        <f>IFERROR(__xludf.DUMMYFUNCTION("""COMPUTED_VALUE"""),16401.0)</f>
        <v>16401</v>
      </c>
      <c r="H179" s="173">
        <f>IFERROR(__xludf.DUMMYFUNCTION("""COMPUTED_VALUE"""),1039267.0)</f>
        <v>1039267</v>
      </c>
      <c r="I179" s="235">
        <f>IFERROR(__xludf.DUMMYFUNCTION("""COMPUTED_VALUE"""),490.0)</f>
        <v>490</v>
      </c>
      <c r="J179" s="235">
        <f>IFERROR(__xludf.DUMMYFUNCTION("""COMPUTED_VALUE"""),450.0)</f>
        <v>450</v>
      </c>
      <c r="K179" s="235">
        <f>IFERROR(__xludf.DUMMYFUNCTION("""COMPUTED_VALUE"""),30218.0)</f>
        <v>30218</v>
      </c>
      <c r="L179" s="235">
        <f>IFERROR(__xludf.DUMMYFUNCTION("""COMPUTED_VALUE"""),3199.0)</f>
        <v>3199</v>
      </c>
      <c r="M179" s="235">
        <f>IFERROR(__xludf.DUMMYFUNCTION("""COMPUTED_VALUE"""),379633.0)</f>
        <v>379633</v>
      </c>
      <c r="N179" s="235">
        <f>IFERROR(__xludf.DUMMYFUNCTION("""COMPUTED_VALUE"""),409851.0)</f>
        <v>409851</v>
      </c>
      <c r="O179" s="235">
        <f>IFERROR(__xludf.DUMMYFUNCTION("""COMPUTED_VALUE"""),24.0)</f>
        <v>24</v>
      </c>
      <c r="P179" s="235">
        <f>IFERROR(__xludf.DUMMYFUNCTION("""COMPUTED_VALUE"""),3167.0)</f>
        <v>3167</v>
      </c>
      <c r="Q179" s="235">
        <f>IFERROR(__xludf.DUMMYFUNCTION("""COMPUTED_VALUE"""),21.0)</f>
        <v>21</v>
      </c>
      <c r="R179" s="235">
        <f>IFERROR(__xludf.DUMMYFUNCTION("""COMPUTED_VALUE"""),2634.0)</f>
        <v>2634</v>
      </c>
      <c r="S179" s="235">
        <f>IFERROR(__xludf.DUMMYFUNCTION("""COMPUTED_VALUE"""),3.0)</f>
        <v>3</v>
      </c>
      <c r="T179" s="235">
        <f>IFERROR(__xludf.DUMMYFUNCTION("""COMPUTED_VALUE"""),388.0)</f>
        <v>388</v>
      </c>
      <c r="U179" s="235">
        <f>IFERROR(__xludf.DUMMYFUNCTION("""COMPUTED_VALUE"""),145.0)</f>
        <v>145</v>
      </c>
      <c r="V179" s="235">
        <f>IFERROR(__xludf.DUMMYFUNCTION("""COMPUTED_VALUE"""),142.0)</f>
        <v>142</v>
      </c>
      <c r="W179" s="235">
        <f>IFERROR(__xludf.DUMMYFUNCTION("""COMPUTED_VALUE"""),14.0)</f>
        <v>14</v>
      </c>
      <c r="X179" s="235">
        <f>IFERROR(__xludf.DUMMYFUNCTION("""COMPUTED_VALUE"""),9.0)</f>
        <v>9</v>
      </c>
      <c r="Y179" s="235">
        <f>IFERROR(__xludf.DUMMYFUNCTION("""COMPUTED_VALUE"""),3.0)</f>
        <v>3</v>
      </c>
      <c r="Z179" s="235">
        <f>IFERROR(__xludf.DUMMYFUNCTION("""COMPUTED_VALUE"""),1183.0)</f>
        <v>1183</v>
      </c>
    </row>
    <row r="180">
      <c r="A180" s="234">
        <f>IFERROR(__xludf.DUMMYFUNCTION("""COMPUTED_VALUE"""),44127.0)</f>
        <v>44127</v>
      </c>
      <c r="B180" s="235">
        <f>IFERROR(__xludf.DUMMYFUNCTION("""COMPUTED_VALUE"""),514.0)</f>
        <v>514</v>
      </c>
      <c r="C180" s="235">
        <f>IFERROR(__xludf.DUMMYFUNCTION("""COMPUTED_VALUE"""),532.0)</f>
        <v>532</v>
      </c>
      <c r="D180" s="235">
        <f>IFERROR(__xludf.DUMMYFUNCTION("""COMPUTED_VALUE"""),41158.0)</f>
        <v>41158</v>
      </c>
      <c r="E180" s="235">
        <f>IFERROR(__xludf.DUMMYFUNCTION("""COMPUTED_VALUE"""),16632.0)</f>
        <v>16632</v>
      </c>
      <c r="F180" s="173">
        <f>IFERROR(__xludf.DUMMYFUNCTION("""COMPUTED_VALUE"""),1015255.0)</f>
        <v>1015255</v>
      </c>
      <c r="G180" s="173">
        <f>IFERROR(__xludf.DUMMYFUNCTION("""COMPUTED_VALUE"""),17146.0)</f>
        <v>17146</v>
      </c>
      <c r="H180" s="173">
        <f>IFERROR(__xludf.DUMMYFUNCTION("""COMPUTED_VALUE"""),1056413.0)</f>
        <v>1056413</v>
      </c>
      <c r="I180" s="235">
        <f>IFERROR(__xludf.DUMMYFUNCTION("""COMPUTED_VALUE"""),460.0)</f>
        <v>460</v>
      </c>
      <c r="J180" s="235">
        <f>IFERROR(__xludf.DUMMYFUNCTION("""COMPUTED_VALUE"""),474.0)</f>
        <v>474</v>
      </c>
      <c r="K180" s="235">
        <f>IFERROR(__xludf.DUMMYFUNCTION("""COMPUTED_VALUE"""),30678.0)</f>
        <v>30678</v>
      </c>
      <c r="L180" s="235">
        <f>IFERROR(__xludf.DUMMYFUNCTION("""COMPUTED_VALUE"""),2889.0)</f>
        <v>2889</v>
      </c>
      <c r="M180" s="235">
        <f>IFERROR(__xludf.DUMMYFUNCTION("""COMPUTED_VALUE"""),382522.0)</f>
        <v>382522</v>
      </c>
      <c r="N180" s="235">
        <f>IFERROR(__xludf.DUMMYFUNCTION("""COMPUTED_VALUE"""),413200.0)</f>
        <v>413200</v>
      </c>
      <c r="O180" s="235">
        <f>IFERROR(__xludf.DUMMYFUNCTION("""COMPUTED_VALUE"""),22.0)</f>
        <v>22</v>
      </c>
      <c r="P180" s="235">
        <f>IFERROR(__xludf.DUMMYFUNCTION("""COMPUTED_VALUE"""),3189.0)</f>
        <v>3189</v>
      </c>
      <c r="Q180" s="235">
        <f>IFERROR(__xludf.DUMMYFUNCTION("""COMPUTED_VALUE"""),26.0)</f>
        <v>26</v>
      </c>
      <c r="R180" s="235">
        <f>IFERROR(__xludf.DUMMYFUNCTION("""COMPUTED_VALUE"""),2660.0)</f>
        <v>2660</v>
      </c>
      <c r="S180" s="235">
        <f>IFERROR(__xludf.DUMMYFUNCTION("""COMPUTED_VALUE"""),1.0)</f>
        <v>1</v>
      </c>
      <c r="T180" s="235">
        <f>IFERROR(__xludf.DUMMYFUNCTION("""COMPUTED_VALUE"""),389.0)</f>
        <v>389</v>
      </c>
      <c r="U180" s="235">
        <f>IFERROR(__xludf.DUMMYFUNCTION("""COMPUTED_VALUE"""),140.0)</f>
        <v>140</v>
      </c>
      <c r="V180" s="235">
        <f>IFERROR(__xludf.DUMMYFUNCTION("""COMPUTED_VALUE"""),143.0)</f>
        <v>143</v>
      </c>
      <c r="W180" s="235">
        <f>IFERROR(__xludf.DUMMYFUNCTION("""COMPUTED_VALUE"""),15.0)</f>
        <v>15</v>
      </c>
      <c r="X180" s="235">
        <f>IFERROR(__xludf.DUMMYFUNCTION("""COMPUTED_VALUE"""),9.0)</f>
        <v>9</v>
      </c>
      <c r="Y180" s="235">
        <f>IFERROR(__xludf.DUMMYFUNCTION("""COMPUTED_VALUE"""),3.0)</f>
        <v>3</v>
      </c>
      <c r="Z180" s="235">
        <f>IFERROR(__xludf.DUMMYFUNCTION("""COMPUTED_VALUE"""),1186.0)</f>
        <v>1186</v>
      </c>
    </row>
    <row r="181">
      <c r="A181" s="234">
        <f>IFERROR(__xludf.DUMMYFUNCTION("""COMPUTED_VALUE"""),44128.0)</f>
        <v>44128</v>
      </c>
      <c r="B181" s="235">
        <f>IFERROR(__xludf.DUMMYFUNCTION("""COMPUTED_VALUE"""),359.0)</f>
        <v>359</v>
      </c>
      <c r="C181" s="235">
        <f>IFERROR(__xludf.DUMMYFUNCTION("""COMPUTED_VALUE"""),470.0)</f>
        <v>470</v>
      </c>
      <c r="D181" s="235">
        <f>IFERROR(__xludf.DUMMYFUNCTION("""COMPUTED_VALUE"""),41517.0)</f>
        <v>41517</v>
      </c>
      <c r="E181" s="235">
        <f>IFERROR(__xludf.DUMMYFUNCTION("""COMPUTED_VALUE"""),10248.0)</f>
        <v>10248</v>
      </c>
      <c r="F181" s="173">
        <f>IFERROR(__xludf.DUMMYFUNCTION("""COMPUTED_VALUE"""),1025503.0)</f>
        <v>1025503</v>
      </c>
      <c r="G181" s="173">
        <f>IFERROR(__xludf.DUMMYFUNCTION("""COMPUTED_VALUE"""),10607.0)</f>
        <v>10607</v>
      </c>
      <c r="H181" s="173">
        <f>IFERROR(__xludf.DUMMYFUNCTION("""COMPUTED_VALUE"""),1067020.0)</f>
        <v>1067020</v>
      </c>
      <c r="I181" s="235">
        <f>IFERROR(__xludf.DUMMYFUNCTION("""COMPUTED_VALUE"""),338.0)</f>
        <v>338</v>
      </c>
      <c r="J181" s="235">
        <f>IFERROR(__xludf.DUMMYFUNCTION("""COMPUTED_VALUE"""),429.0)</f>
        <v>429</v>
      </c>
      <c r="K181" s="235">
        <f>IFERROR(__xludf.DUMMYFUNCTION("""COMPUTED_VALUE"""),31016.0)</f>
        <v>31016</v>
      </c>
      <c r="L181" s="235">
        <f>IFERROR(__xludf.DUMMYFUNCTION("""COMPUTED_VALUE"""),2266.0)</f>
        <v>2266</v>
      </c>
      <c r="M181" s="235">
        <f>IFERROR(__xludf.DUMMYFUNCTION("""COMPUTED_VALUE"""),384788.0)</f>
        <v>384788</v>
      </c>
      <c r="N181" s="235">
        <f>IFERROR(__xludf.DUMMYFUNCTION("""COMPUTED_VALUE"""),415804.0)</f>
        <v>415804</v>
      </c>
      <c r="O181" s="235">
        <f>IFERROR(__xludf.DUMMYFUNCTION("""COMPUTED_VALUE"""),17.0)</f>
        <v>17</v>
      </c>
      <c r="P181" s="235">
        <f>IFERROR(__xludf.DUMMYFUNCTION("""COMPUTED_VALUE"""),3206.0)</f>
        <v>3206</v>
      </c>
      <c r="Q181" s="235">
        <f>IFERROR(__xludf.DUMMYFUNCTION("""COMPUTED_VALUE"""),11.0)</f>
        <v>11</v>
      </c>
      <c r="R181" s="235">
        <f>IFERROR(__xludf.DUMMYFUNCTION("""COMPUTED_VALUE"""),2671.0)</f>
        <v>2671</v>
      </c>
      <c r="S181" s="235">
        <f>IFERROR(__xludf.DUMMYFUNCTION("""COMPUTED_VALUE"""),0.0)</f>
        <v>0</v>
      </c>
      <c r="T181" s="235">
        <f>IFERROR(__xludf.DUMMYFUNCTION("""COMPUTED_VALUE"""),389.0)</f>
        <v>389</v>
      </c>
      <c r="U181" s="235">
        <f>IFERROR(__xludf.DUMMYFUNCTION("""COMPUTED_VALUE"""),146.0)</f>
        <v>146</v>
      </c>
      <c r="V181" s="235">
        <f>IFERROR(__xludf.DUMMYFUNCTION("""COMPUTED_VALUE"""),144.0)</f>
        <v>144</v>
      </c>
      <c r="W181" s="235">
        <f>IFERROR(__xludf.DUMMYFUNCTION("""COMPUTED_VALUE"""),14.0)</f>
        <v>14</v>
      </c>
      <c r="X181" s="235">
        <f>IFERROR(__xludf.DUMMYFUNCTION("""COMPUTED_VALUE"""),8.0)</f>
        <v>8</v>
      </c>
      <c r="Y181" s="235">
        <f>IFERROR(__xludf.DUMMYFUNCTION("""COMPUTED_VALUE"""),1.0)</f>
        <v>1</v>
      </c>
      <c r="Z181" s="235">
        <f>IFERROR(__xludf.DUMMYFUNCTION("""COMPUTED_VALUE"""),1187.0)</f>
        <v>1187</v>
      </c>
    </row>
    <row r="182">
      <c r="A182" s="234">
        <f>IFERROR(__xludf.DUMMYFUNCTION("""COMPUTED_VALUE"""),44129.0)</f>
        <v>44129</v>
      </c>
      <c r="B182" s="235">
        <f>IFERROR(__xludf.DUMMYFUNCTION("""COMPUTED_VALUE"""),233.0)</f>
        <v>233</v>
      </c>
      <c r="C182" s="235">
        <f>IFERROR(__xludf.DUMMYFUNCTION("""COMPUTED_VALUE"""),369.0)</f>
        <v>369</v>
      </c>
      <c r="D182" s="235">
        <f>IFERROR(__xludf.DUMMYFUNCTION("""COMPUTED_VALUE"""),41750.0)</f>
        <v>41750</v>
      </c>
      <c r="E182" s="235">
        <f>IFERROR(__xludf.DUMMYFUNCTION("""COMPUTED_VALUE"""),4762.0)</f>
        <v>4762</v>
      </c>
      <c r="F182" s="173">
        <f>IFERROR(__xludf.DUMMYFUNCTION("""COMPUTED_VALUE"""),1030265.0)</f>
        <v>1030265</v>
      </c>
      <c r="G182" s="173">
        <f>IFERROR(__xludf.DUMMYFUNCTION("""COMPUTED_VALUE"""),4995.0)</f>
        <v>4995</v>
      </c>
      <c r="H182" s="173">
        <f>IFERROR(__xludf.DUMMYFUNCTION("""COMPUTED_VALUE"""),1072015.0)</f>
        <v>1072015</v>
      </c>
      <c r="I182" s="235">
        <f>IFERROR(__xludf.DUMMYFUNCTION("""COMPUTED_VALUE"""),209.0)</f>
        <v>209</v>
      </c>
      <c r="J182" s="235">
        <f>IFERROR(__xludf.DUMMYFUNCTION("""COMPUTED_VALUE"""),336.0)</f>
        <v>336</v>
      </c>
      <c r="K182" s="235">
        <f>IFERROR(__xludf.DUMMYFUNCTION("""COMPUTED_VALUE"""),31225.0)</f>
        <v>31225</v>
      </c>
      <c r="L182" s="235">
        <f>IFERROR(__xludf.DUMMYFUNCTION("""COMPUTED_VALUE"""),1471.0)</f>
        <v>1471</v>
      </c>
      <c r="M182" s="235">
        <f>IFERROR(__xludf.DUMMYFUNCTION("""COMPUTED_VALUE"""),386259.0)</f>
        <v>386259</v>
      </c>
      <c r="N182" s="235">
        <f>IFERROR(__xludf.DUMMYFUNCTION("""COMPUTED_VALUE"""),417484.0)</f>
        <v>417484</v>
      </c>
      <c r="O182" s="235">
        <f>IFERROR(__xludf.DUMMYFUNCTION("""COMPUTED_VALUE"""),16.0)</f>
        <v>16</v>
      </c>
      <c r="P182" s="235">
        <f>IFERROR(__xludf.DUMMYFUNCTION("""COMPUTED_VALUE"""),3222.0)</f>
        <v>3222</v>
      </c>
      <c r="Q182" s="235">
        <f>IFERROR(__xludf.DUMMYFUNCTION("""COMPUTED_VALUE"""),15.0)</f>
        <v>15</v>
      </c>
      <c r="R182" s="235">
        <f>IFERROR(__xludf.DUMMYFUNCTION("""COMPUTED_VALUE"""),2686.0)</f>
        <v>2686</v>
      </c>
      <c r="S182" s="235">
        <f>IFERROR(__xludf.DUMMYFUNCTION("""COMPUTED_VALUE"""),1.0)</f>
        <v>1</v>
      </c>
      <c r="T182" s="235">
        <f>IFERROR(__xludf.DUMMYFUNCTION("""COMPUTED_VALUE"""),390.0)</f>
        <v>390</v>
      </c>
      <c r="U182" s="235">
        <f>IFERROR(__xludf.DUMMYFUNCTION("""COMPUTED_VALUE"""),146.0)</f>
        <v>146</v>
      </c>
      <c r="V182" s="235">
        <f>IFERROR(__xludf.DUMMYFUNCTION("""COMPUTED_VALUE"""),144.0)</f>
        <v>144</v>
      </c>
      <c r="W182" s="235">
        <f>IFERROR(__xludf.DUMMYFUNCTION("""COMPUTED_VALUE"""),15.0)</f>
        <v>15</v>
      </c>
      <c r="X182" s="235">
        <f>IFERROR(__xludf.DUMMYFUNCTION("""COMPUTED_VALUE"""),8.0)</f>
        <v>8</v>
      </c>
      <c r="Y182" s="235">
        <f>IFERROR(__xludf.DUMMYFUNCTION("""COMPUTED_VALUE"""),2.0)</f>
        <v>2</v>
      </c>
      <c r="Z182" s="235">
        <f>IFERROR(__xludf.DUMMYFUNCTION("""COMPUTED_VALUE"""),1189.0)</f>
        <v>1189</v>
      </c>
    </row>
    <row r="183">
      <c r="A183" s="234">
        <f>IFERROR(__xludf.DUMMYFUNCTION("""COMPUTED_VALUE"""),44130.0)</f>
        <v>44130</v>
      </c>
      <c r="B183" s="235">
        <f>IFERROR(__xludf.DUMMYFUNCTION("""COMPUTED_VALUE"""),454.0)</f>
        <v>454</v>
      </c>
      <c r="C183" s="235">
        <f>IFERROR(__xludf.DUMMYFUNCTION("""COMPUTED_VALUE"""),349.0)</f>
        <v>349</v>
      </c>
      <c r="D183" s="235">
        <f>IFERROR(__xludf.DUMMYFUNCTION("""COMPUTED_VALUE"""),42204.0)</f>
        <v>42204</v>
      </c>
      <c r="E183" s="235">
        <f>IFERROR(__xludf.DUMMYFUNCTION("""COMPUTED_VALUE"""),9174.0)</f>
        <v>9174</v>
      </c>
      <c r="F183" s="173">
        <f>IFERROR(__xludf.DUMMYFUNCTION("""COMPUTED_VALUE"""),1039439.0)</f>
        <v>1039439</v>
      </c>
      <c r="G183" s="173">
        <f>IFERROR(__xludf.DUMMYFUNCTION("""COMPUTED_VALUE"""),9628.0)</f>
        <v>9628</v>
      </c>
      <c r="H183" s="173">
        <f>IFERROR(__xludf.DUMMYFUNCTION("""COMPUTED_VALUE"""),1081643.0)</f>
        <v>1081643</v>
      </c>
      <c r="I183" s="235">
        <f>IFERROR(__xludf.DUMMYFUNCTION("""COMPUTED_VALUE"""),402.0)</f>
        <v>402</v>
      </c>
      <c r="J183" s="235">
        <f>IFERROR(__xludf.DUMMYFUNCTION("""COMPUTED_VALUE"""),316.0)</f>
        <v>316</v>
      </c>
      <c r="K183" s="235">
        <f>IFERROR(__xludf.DUMMYFUNCTION("""COMPUTED_VALUE"""),31627.0)</f>
        <v>31627</v>
      </c>
      <c r="L183" s="235">
        <f>IFERROR(__xludf.DUMMYFUNCTION("""COMPUTED_VALUE"""),2976.0)</f>
        <v>2976</v>
      </c>
      <c r="M183" s="235">
        <f>IFERROR(__xludf.DUMMYFUNCTION("""COMPUTED_VALUE"""),389235.0)</f>
        <v>389235</v>
      </c>
      <c r="N183" s="235">
        <f>IFERROR(__xludf.DUMMYFUNCTION("""COMPUTED_VALUE"""),420862.0)</f>
        <v>420862</v>
      </c>
      <c r="O183" s="235">
        <f>IFERROR(__xludf.DUMMYFUNCTION("""COMPUTED_VALUE"""),25.0)</f>
        <v>25</v>
      </c>
      <c r="P183" s="235">
        <f>IFERROR(__xludf.DUMMYFUNCTION("""COMPUTED_VALUE"""),3247.0)</f>
        <v>3247</v>
      </c>
      <c r="Q183" s="235">
        <f>IFERROR(__xludf.DUMMYFUNCTION("""COMPUTED_VALUE"""),20.0)</f>
        <v>20</v>
      </c>
      <c r="R183" s="235">
        <f>IFERROR(__xludf.DUMMYFUNCTION("""COMPUTED_VALUE"""),2706.0)</f>
        <v>2706</v>
      </c>
      <c r="S183" s="235">
        <f>IFERROR(__xludf.DUMMYFUNCTION("""COMPUTED_VALUE"""),2.0)</f>
        <v>2</v>
      </c>
      <c r="T183" s="235">
        <f>IFERROR(__xludf.DUMMYFUNCTION("""COMPUTED_VALUE"""),392.0)</f>
        <v>392</v>
      </c>
      <c r="U183" s="235">
        <f>IFERROR(__xludf.DUMMYFUNCTION("""COMPUTED_VALUE"""),149.0)</f>
        <v>149</v>
      </c>
      <c r="V183" s="235">
        <f>IFERROR(__xludf.DUMMYFUNCTION("""COMPUTED_VALUE"""),147.0)</f>
        <v>147</v>
      </c>
      <c r="W183" s="235">
        <f>IFERROR(__xludf.DUMMYFUNCTION("""COMPUTED_VALUE"""),18.0)</f>
        <v>18</v>
      </c>
      <c r="X183" s="235">
        <f>IFERROR(__xludf.DUMMYFUNCTION("""COMPUTED_VALUE"""),8.0)</f>
        <v>8</v>
      </c>
      <c r="Y183" s="235">
        <f>IFERROR(__xludf.DUMMYFUNCTION("""COMPUTED_VALUE"""),3.0)</f>
        <v>3</v>
      </c>
      <c r="Z183" s="235">
        <f>IFERROR(__xludf.DUMMYFUNCTION("""COMPUTED_VALUE"""),1192.0)</f>
        <v>1192</v>
      </c>
    </row>
    <row r="184">
      <c r="A184" s="234">
        <f>IFERROR(__xludf.DUMMYFUNCTION("""COMPUTED_VALUE"""),44131.0)</f>
        <v>44131</v>
      </c>
      <c r="B184" s="235">
        <f>IFERROR(__xludf.DUMMYFUNCTION("""COMPUTED_VALUE"""),517.0)</f>
        <v>517</v>
      </c>
      <c r="C184" s="235">
        <f>IFERROR(__xludf.DUMMYFUNCTION("""COMPUTED_VALUE"""),401.0)</f>
        <v>401</v>
      </c>
      <c r="D184" s="235">
        <f>IFERROR(__xludf.DUMMYFUNCTION("""COMPUTED_VALUE"""),42721.0)</f>
        <v>42721</v>
      </c>
      <c r="E184" s="235">
        <f>IFERROR(__xludf.DUMMYFUNCTION("""COMPUTED_VALUE"""),13993.0)</f>
        <v>13993</v>
      </c>
      <c r="F184" s="173">
        <f>IFERROR(__xludf.DUMMYFUNCTION("""COMPUTED_VALUE"""),1053432.0)</f>
        <v>1053432</v>
      </c>
      <c r="G184" s="173">
        <f>IFERROR(__xludf.DUMMYFUNCTION("""COMPUTED_VALUE"""),14510.0)</f>
        <v>14510</v>
      </c>
      <c r="H184" s="173">
        <f>IFERROR(__xludf.DUMMYFUNCTION("""COMPUTED_VALUE"""),1096153.0)</f>
        <v>1096153</v>
      </c>
      <c r="I184" s="235">
        <f>IFERROR(__xludf.DUMMYFUNCTION("""COMPUTED_VALUE"""),454.0)</f>
        <v>454</v>
      </c>
      <c r="J184" s="235">
        <f>IFERROR(__xludf.DUMMYFUNCTION("""COMPUTED_VALUE"""),355.0)</f>
        <v>355</v>
      </c>
      <c r="K184" s="235">
        <f>IFERROR(__xludf.DUMMYFUNCTION("""COMPUTED_VALUE"""),32081.0)</f>
        <v>32081</v>
      </c>
      <c r="L184" s="235">
        <f>IFERROR(__xludf.DUMMYFUNCTION("""COMPUTED_VALUE"""),2394.0)</f>
        <v>2394</v>
      </c>
      <c r="M184" s="235">
        <f>IFERROR(__xludf.DUMMYFUNCTION("""COMPUTED_VALUE"""),391629.0)</f>
        <v>391629</v>
      </c>
      <c r="N184" s="235">
        <f>IFERROR(__xludf.DUMMYFUNCTION("""COMPUTED_VALUE"""),423710.0)</f>
        <v>423710</v>
      </c>
      <c r="O184" s="235">
        <f>IFERROR(__xludf.DUMMYFUNCTION("""COMPUTED_VALUE"""),28.0)</f>
        <v>28</v>
      </c>
      <c r="P184" s="235">
        <f>IFERROR(__xludf.DUMMYFUNCTION("""COMPUTED_VALUE"""),3275.0)</f>
        <v>3275</v>
      </c>
      <c r="Q184" s="235">
        <f>IFERROR(__xludf.DUMMYFUNCTION("""COMPUTED_VALUE"""),11.0)</f>
        <v>11</v>
      </c>
      <c r="R184" s="235">
        <f>IFERROR(__xludf.DUMMYFUNCTION("""COMPUTED_VALUE"""),2717.0)</f>
        <v>2717</v>
      </c>
      <c r="S184" s="235">
        <f>IFERROR(__xludf.DUMMYFUNCTION("""COMPUTED_VALUE"""),2.0)</f>
        <v>2</v>
      </c>
      <c r="T184" s="235">
        <f>IFERROR(__xludf.DUMMYFUNCTION("""COMPUTED_VALUE"""),394.0)</f>
        <v>394</v>
      </c>
      <c r="U184" s="235">
        <f>IFERROR(__xludf.DUMMYFUNCTION("""COMPUTED_VALUE"""),164.0)</f>
        <v>164</v>
      </c>
      <c r="V184" s="235">
        <f>IFERROR(__xludf.DUMMYFUNCTION("""COMPUTED_VALUE"""),153.0)</f>
        <v>153</v>
      </c>
      <c r="W184" s="235">
        <f>IFERROR(__xludf.DUMMYFUNCTION("""COMPUTED_VALUE"""),17.0)</f>
        <v>17</v>
      </c>
      <c r="X184" s="235">
        <f>IFERROR(__xludf.DUMMYFUNCTION("""COMPUTED_VALUE"""),9.0)</f>
        <v>9</v>
      </c>
      <c r="Y184" s="235">
        <f>IFERROR(__xludf.DUMMYFUNCTION("""COMPUTED_VALUE"""),4.0)</f>
        <v>4</v>
      </c>
      <c r="Z184" s="235">
        <f>IFERROR(__xludf.DUMMYFUNCTION("""COMPUTED_VALUE"""),1196.0)</f>
        <v>1196</v>
      </c>
    </row>
    <row r="185">
      <c r="A185" s="234">
        <f>IFERROR(__xludf.DUMMYFUNCTION("""COMPUTED_VALUE"""),44132.0)</f>
        <v>44132</v>
      </c>
      <c r="B185" s="235">
        <f>IFERROR(__xludf.DUMMYFUNCTION("""COMPUTED_VALUE"""),469.0)</f>
        <v>469</v>
      </c>
      <c r="C185" s="235">
        <f>IFERROR(__xludf.DUMMYFUNCTION("""COMPUTED_VALUE"""),480.0)</f>
        <v>480</v>
      </c>
      <c r="D185" s="235">
        <f>IFERROR(__xludf.DUMMYFUNCTION("""COMPUTED_VALUE"""),43190.0)</f>
        <v>43190</v>
      </c>
      <c r="E185" s="235">
        <f>IFERROR(__xludf.DUMMYFUNCTION("""COMPUTED_VALUE"""),15230.0)</f>
        <v>15230</v>
      </c>
      <c r="F185" s="173">
        <f>IFERROR(__xludf.DUMMYFUNCTION("""COMPUTED_VALUE"""),1068662.0)</f>
        <v>1068662</v>
      </c>
      <c r="G185" s="173">
        <f>IFERROR(__xludf.DUMMYFUNCTION("""COMPUTED_VALUE"""),15699.0)</f>
        <v>15699</v>
      </c>
      <c r="H185" s="173">
        <f>IFERROR(__xludf.DUMMYFUNCTION("""COMPUTED_VALUE"""),1111852.0)</f>
        <v>1111852</v>
      </c>
      <c r="I185" s="235">
        <f>IFERROR(__xludf.DUMMYFUNCTION("""COMPUTED_VALUE"""),407.0)</f>
        <v>407</v>
      </c>
      <c r="J185" s="235">
        <f>IFERROR(__xludf.DUMMYFUNCTION("""COMPUTED_VALUE"""),421.0)</f>
        <v>421</v>
      </c>
      <c r="K185" s="235">
        <f>IFERROR(__xludf.DUMMYFUNCTION("""COMPUTED_VALUE"""),32488.0)</f>
        <v>32488</v>
      </c>
      <c r="L185" s="235">
        <f>IFERROR(__xludf.DUMMYFUNCTION("""COMPUTED_VALUE"""),2707.0)</f>
        <v>2707</v>
      </c>
      <c r="M185" s="235">
        <f>IFERROR(__xludf.DUMMYFUNCTION("""COMPUTED_VALUE"""),394336.0)</f>
        <v>394336</v>
      </c>
      <c r="N185" s="235">
        <f>IFERROR(__xludf.DUMMYFUNCTION("""COMPUTED_VALUE"""),426824.0)</f>
        <v>426824</v>
      </c>
      <c r="O185" s="235">
        <f>IFERROR(__xludf.DUMMYFUNCTION("""COMPUTED_VALUE"""),22.0)</f>
        <v>22</v>
      </c>
      <c r="P185" s="235">
        <f>IFERROR(__xludf.DUMMYFUNCTION("""COMPUTED_VALUE"""),3297.0)</f>
        <v>3297</v>
      </c>
      <c r="Q185" s="235">
        <f>IFERROR(__xludf.DUMMYFUNCTION("""COMPUTED_VALUE"""),23.0)</f>
        <v>23</v>
      </c>
      <c r="R185" s="235">
        <f>IFERROR(__xludf.DUMMYFUNCTION("""COMPUTED_VALUE"""),2740.0)</f>
        <v>2740</v>
      </c>
      <c r="S185" s="235">
        <f>IFERROR(__xludf.DUMMYFUNCTION("""COMPUTED_VALUE"""),1.0)</f>
        <v>1</v>
      </c>
      <c r="T185" s="235">
        <f>IFERROR(__xludf.DUMMYFUNCTION("""COMPUTED_VALUE"""),395.0)</f>
        <v>395</v>
      </c>
      <c r="U185" s="235">
        <f>IFERROR(__xludf.DUMMYFUNCTION("""COMPUTED_VALUE"""),162.0)</f>
        <v>162</v>
      </c>
      <c r="V185" s="235">
        <f>IFERROR(__xludf.DUMMYFUNCTION("""COMPUTED_VALUE"""),158.0)</f>
        <v>158</v>
      </c>
      <c r="W185" s="235">
        <f>IFERROR(__xludf.DUMMYFUNCTION("""COMPUTED_VALUE"""),16.0)</f>
        <v>16</v>
      </c>
      <c r="X185" s="235">
        <f>IFERROR(__xludf.DUMMYFUNCTION("""COMPUTED_VALUE"""),9.0)</f>
        <v>9</v>
      </c>
      <c r="Y185" s="235">
        <f>IFERROR(__xludf.DUMMYFUNCTION("""COMPUTED_VALUE"""),3.0)</f>
        <v>3</v>
      </c>
      <c r="Z185" s="235">
        <f>IFERROR(__xludf.DUMMYFUNCTION("""COMPUTED_VALUE"""),1199.0)</f>
        <v>1199</v>
      </c>
    </row>
    <row r="186">
      <c r="A186" s="234">
        <f>IFERROR(__xludf.DUMMYFUNCTION("""COMPUTED_VALUE"""),44133.0)</f>
        <v>44133</v>
      </c>
      <c r="B186" s="235">
        <f>IFERROR(__xludf.DUMMYFUNCTION("""COMPUTED_VALUE"""),609.0)</f>
        <v>609</v>
      </c>
      <c r="C186" s="235">
        <f>IFERROR(__xludf.DUMMYFUNCTION("""COMPUTED_VALUE"""),532.0)</f>
        <v>532</v>
      </c>
      <c r="D186" s="235">
        <f>IFERROR(__xludf.DUMMYFUNCTION("""COMPUTED_VALUE"""),43799.0)</f>
        <v>43799</v>
      </c>
      <c r="E186" s="235">
        <f>IFERROR(__xludf.DUMMYFUNCTION("""COMPUTED_VALUE"""),16234.0)</f>
        <v>16234</v>
      </c>
      <c r="F186" s="173">
        <f>IFERROR(__xludf.DUMMYFUNCTION("""COMPUTED_VALUE"""),1084896.0)</f>
        <v>1084896</v>
      </c>
      <c r="G186" s="173">
        <f>IFERROR(__xludf.DUMMYFUNCTION("""COMPUTED_VALUE"""),16843.0)</f>
        <v>16843</v>
      </c>
      <c r="H186" s="173">
        <f>IFERROR(__xludf.DUMMYFUNCTION("""COMPUTED_VALUE"""),1128695.0)</f>
        <v>1128695</v>
      </c>
      <c r="I186" s="235">
        <f>IFERROR(__xludf.DUMMYFUNCTION("""COMPUTED_VALUE"""),529.0)</f>
        <v>529</v>
      </c>
      <c r="J186" s="235">
        <f>IFERROR(__xludf.DUMMYFUNCTION("""COMPUTED_VALUE"""),463.0)</f>
        <v>463</v>
      </c>
      <c r="K186" s="235">
        <f>IFERROR(__xludf.DUMMYFUNCTION("""COMPUTED_VALUE"""),33017.0)</f>
        <v>33017</v>
      </c>
      <c r="L186" s="235">
        <f>IFERROR(__xludf.DUMMYFUNCTION("""COMPUTED_VALUE"""),3131.0)</f>
        <v>3131</v>
      </c>
      <c r="M186" s="235">
        <f>IFERROR(__xludf.DUMMYFUNCTION("""COMPUTED_VALUE"""),397467.0)</f>
        <v>397467</v>
      </c>
      <c r="N186" s="235">
        <f>IFERROR(__xludf.DUMMYFUNCTION("""COMPUTED_VALUE"""),430484.0)</f>
        <v>430484</v>
      </c>
      <c r="O186" s="235">
        <f>IFERROR(__xludf.DUMMYFUNCTION("""COMPUTED_VALUE"""),20.0)</f>
        <v>20</v>
      </c>
      <c r="P186" s="235">
        <f>IFERROR(__xludf.DUMMYFUNCTION("""COMPUTED_VALUE"""),3317.0)</f>
        <v>3317</v>
      </c>
      <c r="Q186" s="235">
        <f>IFERROR(__xludf.DUMMYFUNCTION("""COMPUTED_VALUE"""),18.0)</f>
        <v>18</v>
      </c>
      <c r="R186" s="235">
        <f>IFERROR(__xludf.DUMMYFUNCTION("""COMPUTED_VALUE"""),2758.0)</f>
        <v>2758</v>
      </c>
      <c r="S186" s="235">
        <f>IFERROR(__xludf.DUMMYFUNCTION("""COMPUTED_VALUE"""),3.0)</f>
        <v>3</v>
      </c>
      <c r="T186" s="235">
        <f>IFERROR(__xludf.DUMMYFUNCTION("""COMPUTED_VALUE"""),398.0)</f>
        <v>398</v>
      </c>
      <c r="U186" s="235">
        <f>IFERROR(__xludf.DUMMYFUNCTION("""COMPUTED_VALUE"""),161.0)</f>
        <v>161</v>
      </c>
      <c r="V186" s="235">
        <f>IFERROR(__xludf.DUMMYFUNCTION("""COMPUTED_VALUE"""),162.0)</f>
        <v>162</v>
      </c>
      <c r="W186" s="235">
        <f>IFERROR(__xludf.DUMMYFUNCTION("""COMPUTED_VALUE"""),19.0)</f>
        <v>19</v>
      </c>
      <c r="X186" s="235">
        <f>IFERROR(__xludf.DUMMYFUNCTION("""COMPUTED_VALUE"""),11.0)</f>
        <v>11</v>
      </c>
      <c r="Y186" s="235">
        <f>IFERROR(__xludf.DUMMYFUNCTION("""COMPUTED_VALUE"""),4.0)</f>
        <v>4</v>
      </c>
      <c r="Z186" s="235">
        <f>IFERROR(__xludf.DUMMYFUNCTION("""COMPUTED_VALUE"""),1203.0)</f>
        <v>1203</v>
      </c>
    </row>
    <row r="187">
      <c r="A187" s="234">
        <f>IFERROR(__xludf.DUMMYFUNCTION("""COMPUTED_VALUE"""),44134.0)</f>
        <v>44134</v>
      </c>
      <c r="B187" s="235">
        <f>IFERROR(__xludf.DUMMYFUNCTION("""COMPUTED_VALUE"""),544.0)</f>
        <v>544</v>
      </c>
      <c r="C187" s="235">
        <f>IFERROR(__xludf.DUMMYFUNCTION("""COMPUTED_VALUE"""),541.0)</f>
        <v>541</v>
      </c>
      <c r="D187" s="235">
        <f>IFERROR(__xludf.DUMMYFUNCTION("""COMPUTED_VALUE"""),44343.0)</f>
        <v>44343</v>
      </c>
      <c r="E187" s="235">
        <f>IFERROR(__xludf.DUMMYFUNCTION("""COMPUTED_VALUE"""),14319.0)</f>
        <v>14319</v>
      </c>
      <c r="F187" s="173">
        <f>IFERROR(__xludf.DUMMYFUNCTION("""COMPUTED_VALUE"""),1099215.0)</f>
        <v>1099215</v>
      </c>
      <c r="G187" s="173">
        <f>IFERROR(__xludf.DUMMYFUNCTION("""COMPUTED_VALUE"""),14863.0)</f>
        <v>14863</v>
      </c>
      <c r="H187" s="173">
        <f>IFERROR(__xludf.DUMMYFUNCTION("""COMPUTED_VALUE"""),1143558.0)</f>
        <v>1143558</v>
      </c>
      <c r="I187" s="235">
        <f>IFERROR(__xludf.DUMMYFUNCTION("""COMPUTED_VALUE"""),466.0)</f>
        <v>466</v>
      </c>
      <c r="J187" s="235">
        <f>IFERROR(__xludf.DUMMYFUNCTION("""COMPUTED_VALUE"""),467.0)</f>
        <v>467</v>
      </c>
      <c r="K187" s="235">
        <f>IFERROR(__xludf.DUMMYFUNCTION("""COMPUTED_VALUE"""),33483.0)</f>
        <v>33483</v>
      </c>
      <c r="L187" s="235">
        <f>IFERROR(__xludf.DUMMYFUNCTION("""COMPUTED_VALUE"""),2955.0)</f>
        <v>2955</v>
      </c>
      <c r="M187" s="235">
        <f>IFERROR(__xludf.DUMMYFUNCTION("""COMPUTED_VALUE"""),400422.0)</f>
        <v>400422</v>
      </c>
      <c r="N187" s="235">
        <f>IFERROR(__xludf.DUMMYFUNCTION("""COMPUTED_VALUE"""),433905.0)</f>
        <v>433905</v>
      </c>
      <c r="O187" s="235">
        <f>IFERROR(__xludf.DUMMYFUNCTION("""COMPUTED_VALUE"""),21.0)</f>
        <v>21</v>
      </c>
      <c r="P187" s="235">
        <f>IFERROR(__xludf.DUMMYFUNCTION("""COMPUTED_VALUE"""),3338.0)</f>
        <v>3338</v>
      </c>
      <c r="Q187" s="235">
        <f>IFERROR(__xludf.DUMMYFUNCTION("""COMPUTED_VALUE"""),20.0)</f>
        <v>20</v>
      </c>
      <c r="R187" s="235">
        <f>IFERROR(__xludf.DUMMYFUNCTION("""COMPUTED_VALUE"""),2778.0)</f>
        <v>2778</v>
      </c>
      <c r="S187" s="235">
        <f>IFERROR(__xludf.DUMMYFUNCTION("""COMPUTED_VALUE"""),5.0)</f>
        <v>5</v>
      </c>
      <c r="T187" s="235">
        <f>IFERROR(__xludf.DUMMYFUNCTION("""COMPUTED_VALUE"""),403.0)</f>
        <v>403</v>
      </c>
      <c r="U187" s="235">
        <f>IFERROR(__xludf.DUMMYFUNCTION("""COMPUTED_VALUE"""),157.0)</f>
        <v>157</v>
      </c>
      <c r="V187" s="235">
        <f>IFERROR(__xludf.DUMMYFUNCTION("""COMPUTED_VALUE"""),160.0)</f>
        <v>160</v>
      </c>
      <c r="W187" s="235">
        <f>IFERROR(__xludf.DUMMYFUNCTION("""COMPUTED_VALUE"""),19.0)</f>
        <v>19</v>
      </c>
      <c r="X187" s="235">
        <f>IFERROR(__xludf.DUMMYFUNCTION("""COMPUTED_VALUE"""),9.0)</f>
        <v>9</v>
      </c>
      <c r="Y187" s="235">
        <f>IFERROR(__xludf.DUMMYFUNCTION("""COMPUTED_VALUE"""),4.0)</f>
        <v>4</v>
      </c>
      <c r="Z187" s="235">
        <f>IFERROR(__xludf.DUMMYFUNCTION("""COMPUTED_VALUE"""),1207.0)</f>
        <v>1207</v>
      </c>
    </row>
    <row r="188">
      <c r="A188" s="234">
        <f>IFERROR(__xludf.DUMMYFUNCTION("""COMPUTED_VALUE"""),44135.0)</f>
        <v>44135</v>
      </c>
      <c r="B188" s="235">
        <f>IFERROR(__xludf.DUMMYFUNCTION("""COMPUTED_VALUE"""),585.0)</f>
        <v>585</v>
      </c>
      <c r="C188" s="235">
        <f>IFERROR(__xludf.DUMMYFUNCTION("""COMPUTED_VALUE"""),579.0)</f>
        <v>579</v>
      </c>
      <c r="D188" s="235">
        <f>IFERROR(__xludf.DUMMYFUNCTION("""COMPUTED_VALUE"""),44928.0)</f>
        <v>44928</v>
      </c>
      <c r="E188" s="235">
        <f>IFERROR(__xludf.DUMMYFUNCTION("""COMPUTED_VALUE"""),11843.0)</f>
        <v>11843</v>
      </c>
      <c r="F188" s="173">
        <f>IFERROR(__xludf.DUMMYFUNCTION("""COMPUTED_VALUE"""),1111058.0)</f>
        <v>1111058</v>
      </c>
      <c r="G188" s="173">
        <f>IFERROR(__xludf.DUMMYFUNCTION("""COMPUTED_VALUE"""),12428.0)</f>
        <v>12428</v>
      </c>
      <c r="H188" s="173">
        <f>IFERROR(__xludf.DUMMYFUNCTION("""COMPUTED_VALUE"""),1155986.0)</f>
        <v>1155986</v>
      </c>
      <c r="I188" s="235">
        <f>IFERROR(__xludf.DUMMYFUNCTION("""COMPUTED_VALUE"""),488.0)</f>
        <v>488</v>
      </c>
      <c r="J188" s="235">
        <f>IFERROR(__xludf.DUMMYFUNCTION("""COMPUTED_VALUE"""),494.0)</f>
        <v>494</v>
      </c>
      <c r="K188" s="235">
        <f>IFERROR(__xludf.DUMMYFUNCTION("""COMPUTED_VALUE"""),33971.0)</f>
        <v>33971</v>
      </c>
      <c r="L188" s="235">
        <f>IFERROR(__xludf.DUMMYFUNCTION("""COMPUTED_VALUE"""),2417.0)</f>
        <v>2417</v>
      </c>
      <c r="M188" s="235">
        <f>IFERROR(__xludf.DUMMYFUNCTION("""COMPUTED_VALUE"""),402839.0)</f>
        <v>402839</v>
      </c>
      <c r="N188" s="235">
        <f>IFERROR(__xludf.DUMMYFUNCTION("""COMPUTED_VALUE"""),436810.0)</f>
        <v>436810</v>
      </c>
      <c r="O188" s="235">
        <f>IFERROR(__xludf.DUMMYFUNCTION("""COMPUTED_VALUE"""),31.0)</f>
        <v>31</v>
      </c>
      <c r="P188" s="235">
        <f>IFERROR(__xludf.DUMMYFUNCTION("""COMPUTED_VALUE"""),3369.0)</f>
        <v>3369</v>
      </c>
      <c r="Q188" s="235">
        <f>IFERROR(__xludf.DUMMYFUNCTION("""COMPUTED_VALUE"""),12.0)</f>
        <v>12</v>
      </c>
      <c r="R188" s="235">
        <f>IFERROR(__xludf.DUMMYFUNCTION("""COMPUTED_VALUE"""),2790.0)</f>
        <v>2790</v>
      </c>
      <c r="S188" s="235">
        <f>IFERROR(__xludf.DUMMYFUNCTION("""COMPUTED_VALUE"""),1.0)</f>
        <v>1</v>
      </c>
      <c r="T188" s="235">
        <f>IFERROR(__xludf.DUMMYFUNCTION("""COMPUTED_VALUE"""),404.0)</f>
        <v>404</v>
      </c>
      <c r="U188" s="235">
        <f>IFERROR(__xludf.DUMMYFUNCTION("""COMPUTED_VALUE"""),175.0)</f>
        <v>175</v>
      </c>
      <c r="V188" s="235">
        <f>IFERROR(__xludf.DUMMYFUNCTION("""COMPUTED_VALUE"""),164.0)</f>
        <v>164</v>
      </c>
      <c r="W188" s="235">
        <f>IFERROR(__xludf.DUMMYFUNCTION("""COMPUTED_VALUE"""),22.0)</f>
        <v>22</v>
      </c>
      <c r="X188" s="235">
        <f>IFERROR(__xludf.DUMMYFUNCTION("""COMPUTED_VALUE"""),9.0)</f>
        <v>9</v>
      </c>
      <c r="Y188" s="235">
        <f>IFERROR(__xludf.DUMMYFUNCTION("""COMPUTED_VALUE"""),3.0)</f>
        <v>3</v>
      </c>
      <c r="Z188" s="235">
        <f>IFERROR(__xludf.DUMMYFUNCTION("""COMPUTED_VALUE"""),1210.0)</f>
        <v>1210</v>
      </c>
    </row>
    <row r="189">
      <c r="A189" s="234">
        <f>IFERROR(__xludf.DUMMYFUNCTION("""COMPUTED_VALUE"""),44136.0)</f>
        <v>44136</v>
      </c>
      <c r="B189" s="235">
        <f>IFERROR(__xludf.DUMMYFUNCTION("""COMPUTED_VALUE"""),329.0)</f>
        <v>329</v>
      </c>
      <c r="C189" s="235">
        <f>IFERROR(__xludf.DUMMYFUNCTION("""COMPUTED_VALUE"""),486.0)</f>
        <v>486</v>
      </c>
      <c r="D189" s="235">
        <f>IFERROR(__xludf.DUMMYFUNCTION("""COMPUTED_VALUE"""),45257.0)</f>
        <v>45257</v>
      </c>
      <c r="E189" s="235">
        <f>IFERROR(__xludf.DUMMYFUNCTION("""COMPUTED_VALUE"""),5073.0)</f>
        <v>5073</v>
      </c>
      <c r="F189" s="173">
        <f>IFERROR(__xludf.DUMMYFUNCTION("""COMPUTED_VALUE"""),1116131.0)</f>
        <v>1116131</v>
      </c>
      <c r="G189" s="173">
        <f>IFERROR(__xludf.DUMMYFUNCTION("""COMPUTED_VALUE"""),5402.0)</f>
        <v>5402</v>
      </c>
      <c r="H189" s="173">
        <f>IFERROR(__xludf.DUMMYFUNCTION("""COMPUTED_VALUE"""),1161388.0)</f>
        <v>1161388</v>
      </c>
      <c r="I189" s="235">
        <f>IFERROR(__xludf.DUMMYFUNCTION("""COMPUTED_VALUE"""),272.0)</f>
        <v>272</v>
      </c>
      <c r="J189" s="235">
        <f>IFERROR(__xludf.DUMMYFUNCTION("""COMPUTED_VALUE"""),409.0)</f>
        <v>409</v>
      </c>
      <c r="K189" s="235">
        <f>IFERROR(__xludf.DUMMYFUNCTION("""COMPUTED_VALUE"""),34243.0)</f>
        <v>34243</v>
      </c>
      <c r="L189" s="235">
        <f>IFERROR(__xludf.DUMMYFUNCTION("""COMPUTED_VALUE"""),1258.0)</f>
        <v>1258</v>
      </c>
      <c r="M189" s="235">
        <f>IFERROR(__xludf.DUMMYFUNCTION("""COMPUTED_VALUE"""),404097.0)</f>
        <v>404097</v>
      </c>
      <c r="N189" s="235">
        <f>IFERROR(__xludf.DUMMYFUNCTION("""COMPUTED_VALUE"""),438340.0)</f>
        <v>438340</v>
      </c>
      <c r="O189" s="235">
        <f>IFERROR(__xludf.DUMMYFUNCTION("""COMPUTED_VALUE"""),19.0)</f>
        <v>19</v>
      </c>
      <c r="P189" s="235">
        <f>IFERROR(__xludf.DUMMYFUNCTION("""COMPUTED_VALUE"""),3388.0)</f>
        <v>3388</v>
      </c>
      <c r="Q189" s="235">
        <f>IFERROR(__xludf.DUMMYFUNCTION("""COMPUTED_VALUE"""),15.0)</f>
        <v>15</v>
      </c>
      <c r="R189" s="235">
        <f>IFERROR(__xludf.DUMMYFUNCTION("""COMPUTED_VALUE"""),2805.0)</f>
        <v>2805</v>
      </c>
      <c r="S189" s="235">
        <f>IFERROR(__xludf.DUMMYFUNCTION("""COMPUTED_VALUE"""),1.0)</f>
        <v>1</v>
      </c>
      <c r="T189" s="235">
        <f>IFERROR(__xludf.DUMMYFUNCTION("""COMPUTED_VALUE"""),405.0)</f>
        <v>405</v>
      </c>
      <c r="U189" s="235">
        <f>IFERROR(__xludf.DUMMYFUNCTION("""COMPUTED_VALUE"""),178.0)</f>
        <v>178</v>
      </c>
      <c r="V189" s="235">
        <f>IFERROR(__xludf.DUMMYFUNCTION("""COMPUTED_VALUE"""),170.0)</f>
        <v>170</v>
      </c>
      <c r="W189" s="235">
        <f>IFERROR(__xludf.DUMMYFUNCTION("""COMPUTED_VALUE"""),25.0)</f>
        <v>25</v>
      </c>
      <c r="X189" s="235">
        <f>IFERROR(__xludf.DUMMYFUNCTION("""COMPUTED_VALUE"""),12.0)</f>
        <v>12</v>
      </c>
      <c r="Y189" s="235">
        <f>IFERROR(__xludf.DUMMYFUNCTION("""COMPUTED_VALUE"""),4.0)</f>
        <v>4</v>
      </c>
      <c r="Z189" s="235">
        <f>IFERROR(__xludf.DUMMYFUNCTION("""COMPUTED_VALUE"""),1214.0)</f>
        <v>1214</v>
      </c>
    </row>
    <row r="190">
      <c r="A190" s="234">
        <f>IFERROR(__xludf.DUMMYFUNCTION("""COMPUTED_VALUE"""),44137.0)</f>
        <v>44137</v>
      </c>
      <c r="B190" s="235">
        <f>IFERROR(__xludf.DUMMYFUNCTION("""COMPUTED_VALUE"""),520.0)</f>
        <v>520</v>
      </c>
      <c r="C190" s="235">
        <f>IFERROR(__xludf.DUMMYFUNCTION("""COMPUTED_VALUE"""),478.0)</f>
        <v>478</v>
      </c>
      <c r="D190" s="235">
        <f>IFERROR(__xludf.DUMMYFUNCTION("""COMPUTED_VALUE"""),45777.0)</f>
        <v>45777</v>
      </c>
      <c r="E190" s="235">
        <f>IFERROR(__xludf.DUMMYFUNCTION("""COMPUTED_VALUE"""),9918.0)</f>
        <v>9918</v>
      </c>
      <c r="F190" s="173">
        <f>IFERROR(__xludf.DUMMYFUNCTION("""COMPUTED_VALUE"""),1126049.0)</f>
        <v>1126049</v>
      </c>
      <c r="G190" s="173">
        <f>IFERROR(__xludf.DUMMYFUNCTION("""COMPUTED_VALUE"""),10438.0)</f>
        <v>10438</v>
      </c>
      <c r="H190" s="173">
        <f>IFERROR(__xludf.DUMMYFUNCTION("""COMPUTED_VALUE"""),1171826.0)</f>
        <v>1171826</v>
      </c>
      <c r="I190" s="235">
        <f>IFERROR(__xludf.DUMMYFUNCTION("""COMPUTED_VALUE"""),453.0)</f>
        <v>453</v>
      </c>
      <c r="J190" s="235">
        <f>IFERROR(__xludf.DUMMYFUNCTION("""COMPUTED_VALUE"""),404.0)</f>
        <v>404</v>
      </c>
      <c r="K190" s="235">
        <f>IFERROR(__xludf.DUMMYFUNCTION("""COMPUTED_VALUE"""),34696.0)</f>
        <v>34696</v>
      </c>
      <c r="L190" s="235">
        <f>IFERROR(__xludf.DUMMYFUNCTION("""COMPUTED_VALUE"""),2941.0)</f>
        <v>2941</v>
      </c>
      <c r="M190" s="235">
        <f>IFERROR(__xludf.DUMMYFUNCTION("""COMPUTED_VALUE"""),407038.0)</f>
        <v>407038</v>
      </c>
      <c r="N190" s="235">
        <f>IFERROR(__xludf.DUMMYFUNCTION("""COMPUTED_VALUE"""),441734.0)</f>
        <v>441734</v>
      </c>
      <c r="O190" s="235">
        <f>IFERROR(__xludf.DUMMYFUNCTION("""COMPUTED_VALUE"""),34.0)</f>
        <v>34</v>
      </c>
      <c r="P190" s="235">
        <f>IFERROR(__xludf.DUMMYFUNCTION("""COMPUTED_VALUE"""),3422.0)</f>
        <v>3422</v>
      </c>
      <c r="Q190" s="235">
        <f>IFERROR(__xludf.DUMMYFUNCTION("""COMPUTED_VALUE"""),27.0)</f>
        <v>27</v>
      </c>
      <c r="R190" s="235">
        <f>IFERROR(__xludf.DUMMYFUNCTION("""COMPUTED_VALUE"""),2832.0)</f>
        <v>2832</v>
      </c>
      <c r="S190" s="235">
        <f>IFERROR(__xludf.DUMMYFUNCTION("""COMPUTED_VALUE"""),3.0)</f>
        <v>3</v>
      </c>
      <c r="T190" s="235">
        <f>IFERROR(__xludf.DUMMYFUNCTION("""COMPUTED_VALUE"""),408.0)</f>
        <v>408</v>
      </c>
      <c r="U190" s="235">
        <f>IFERROR(__xludf.DUMMYFUNCTION("""COMPUTED_VALUE"""),182.0)</f>
        <v>182</v>
      </c>
      <c r="V190" s="235">
        <f>IFERROR(__xludf.DUMMYFUNCTION("""COMPUTED_VALUE"""),178.0)</f>
        <v>178</v>
      </c>
      <c r="W190" s="235">
        <f>IFERROR(__xludf.DUMMYFUNCTION("""COMPUTED_VALUE"""),22.0)</f>
        <v>22</v>
      </c>
      <c r="X190" s="235">
        <f>IFERROR(__xludf.DUMMYFUNCTION("""COMPUTED_VALUE"""),11.0)</f>
        <v>11</v>
      </c>
      <c r="Y190" s="235">
        <f>IFERROR(__xludf.DUMMYFUNCTION("""COMPUTED_VALUE"""),5.0)</f>
        <v>5</v>
      </c>
      <c r="Z190" s="235">
        <f>IFERROR(__xludf.DUMMYFUNCTION("""COMPUTED_VALUE"""),1219.0)</f>
        <v>1219</v>
      </c>
    </row>
    <row r="191">
      <c r="A191" s="234">
        <f>IFERROR(__xludf.DUMMYFUNCTION("""COMPUTED_VALUE"""),44138.0)</f>
        <v>44138</v>
      </c>
      <c r="B191" s="235">
        <f>IFERROR(__xludf.DUMMYFUNCTION("""COMPUTED_VALUE"""),603.0)</f>
        <v>603</v>
      </c>
      <c r="C191" s="235">
        <f>IFERROR(__xludf.DUMMYFUNCTION("""COMPUTED_VALUE"""),484.0)</f>
        <v>484</v>
      </c>
      <c r="D191" s="235">
        <f>IFERROR(__xludf.DUMMYFUNCTION("""COMPUTED_VALUE"""),46380.0)</f>
        <v>46380</v>
      </c>
      <c r="E191" s="235">
        <f>IFERROR(__xludf.DUMMYFUNCTION("""COMPUTED_VALUE"""),13060.0)</f>
        <v>13060</v>
      </c>
      <c r="F191" s="173">
        <f>IFERROR(__xludf.DUMMYFUNCTION("""COMPUTED_VALUE"""),1139109.0)</f>
        <v>1139109</v>
      </c>
      <c r="G191" s="173">
        <f>IFERROR(__xludf.DUMMYFUNCTION("""COMPUTED_VALUE"""),13663.0)</f>
        <v>13663</v>
      </c>
      <c r="H191" s="173">
        <f>IFERROR(__xludf.DUMMYFUNCTION("""COMPUTED_VALUE"""),1185489.0)</f>
        <v>1185489</v>
      </c>
      <c r="I191" s="235">
        <f>IFERROR(__xludf.DUMMYFUNCTION("""COMPUTED_VALUE"""),528.0)</f>
        <v>528</v>
      </c>
      <c r="J191" s="235">
        <f>IFERROR(__xludf.DUMMYFUNCTION("""COMPUTED_VALUE"""),418.0)</f>
        <v>418</v>
      </c>
      <c r="K191" s="235">
        <f>IFERROR(__xludf.DUMMYFUNCTION("""COMPUTED_VALUE"""),35224.0)</f>
        <v>35224</v>
      </c>
      <c r="L191" s="235">
        <f>IFERROR(__xludf.DUMMYFUNCTION("""COMPUTED_VALUE"""),2536.0)</f>
        <v>2536</v>
      </c>
      <c r="M191" s="235">
        <f>IFERROR(__xludf.DUMMYFUNCTION("""COMPUTED_VALUE"""),409574.0)</f>
        <v>409574</v>
      </c>
      <c r="N191" s="235">
        <f>IFERROR(__xludf.DUMMYFUNCTION("""COMPUTED_VALUE"""),444798.0)</f>
        <v>444798</v>
      </c>
      <c r="O191" s="235">
        <f>IFERROR(__xludf.DUMMYFUNCTION("""COMPUTED_VALUE"""),31.0)</f>
        <v>31</v>
      </c>
      <c r="P191" s="235">
        <f>IFERROR(__xludf.DUMMYFUNCTION("""COMPUTED_VALUE"""),3453.0)</f>
        <v>3453</v>
      </c>
      <c r="Q191" s="235">
        <f>IFERROR(__xludf.DUMMYFUNCTION("""COMPUTED_VALUE"""),24.0)</f>
        <v>24</v>
      </c>
      <c r="R191" s="235">
        <f>IFERROR(__xludf.DUMMYFUNCTION("""COMPUTED_VALUE"""),2856.0)</f>
        <v>2856</v>
      </c>
      <c r="S191" s="235">
        <f>IFERROR(__xludf.DUMMYFUNCTION("""COMPUTED_VALUE"""),1.0)</f>
        <v>1</v>
      </c>
      <c r="T191" s="235">
        <f>IFERROR(__xludf.DUMMYFUNCTION("""COMPUTED_VALUE"""),409.0)</f>
        <v>409</v>
      </c>
      <c r="U191" s="235">
        <f>IFERROR(__xludf.DUMMYFUNCTION("""COMPUTED_VALUE"""),188.0)</f>
        <v>188</v>
      </c>
      <c r="V191" s="235">
        <f>IFERROR(__xludf.DUMMYFUNCTION("""COMPUTED_VALUE"""),183.0)</f>
        <v>183</v>
      </c>
      <c r="W191" s="235">
        <f>IFERROR(__xludf.DUMMYFUNCTION("""COMPUTED_VALUE"""),21.0)</f>
        <v>21</v>
      </c>
      <c r="X191" s="235">
        <f>IFERROR(__xludf.DUMMYFUNCTION("""COMPUTED_VALUE"""),11.0)</f>
        <v>11</v>
      </c>
      <c r="Y191" s="235">
        <f>IFERROR(__xludf.DUMMYFUNCTION("""COMPUTED_VALUE"""),1.0)</f>
        <v>1</v>
      </c>
      <c r="Z191" s="235">
        <f>IFERROR(__xludf.DUMMYFUNCTION("""COMPUTED_VALUE"""),1220.0)</f>
        <v>1220</v>
      </c>
    </row>
    <row r="192">
      <c r="A192" s="234">
        <f>IFERROR(__xludf.DUMMYFUNCTION("""COMPUTED_VALUE"""),44139.0)</f>
        <v>44139</v>
      </c>
      <c r="B192" s="235">
        <f>IFERROR(__xludf.DUMMYFUNCTION("""COMPUTED_VALUE"""),679.0)</f>
        <v>679</v>
      </c>
      <c r="C192" s="235">
        <f>IFERROR(__xludf.DUMMYFUNCTION("""COMPUTED_VALUE"""),601.0)</f>
        <v>601</v>
      </c>
      <c r="D192" s="235">
        <f>IFERROR(__xludf.DUMMYFUNCTION("""COMPUTED_VALUE"""),47059.0)</f>
        <v>47059</v>
      </c>
      <c r="E192" s="235">
        <f>IFERROR(__xludf.DUMMYFUNCTION("""COMPUTED_VALUE"""),16119.0)</f>
        <v>16119</v>
      </c>
      <c r="F192" s="173">
        <f>IFERROR(__xludf.DUMMYFUNCTION("""COMPUTED_VALUE"""),1155228.0)</f>
        <v>1155228</v>
      </c>
      <c r="G192" s="173">
        <f>IFERROR(__xludf.DUMMYFUNCTION("""COMPUTED_VALUE"""),16798.0)</f>
        <v>16798</v>
      </c>
      <c r="H192" s="173">
        <f>IFERROR(__xludf.DUMMYFUNCTION("""COMPUTED_VALUE"""),1202287.0)</f>
        <v>1202287</v>
      </c>
      <c r="I192" s="235">
        <f>IFERROR(__xludf.DUMMYFUNCTION("""COMPUTED_VALUE"""),630.0)</f>
        <v>630</v>
      </c>
      <c r="J192" s="235">
        <f>IFERROR(__xludf.DUMMYFUNCTION("""COMPUTED_VALUE"""),537.0)</f>
        <v>537</v>
      </c>
      <c r="K192" s="235">
        <f>IFERROR(__xludf.DUMMYFUNCTION("""COMPUTED_VALUE"""),35854.0)</f>
        <v>35854</v>
      </c>
      <c r="L192" s="235">
        <f>IFERROR(__xludf.DUMMYFUNCTION("""COMPUTED_VALUE"""),2940.0)</f>
        <v>2940</v>
      </c>
      <c r="M192" s="235">
        <f>IFERROR(__xludf.DUMMYFUNCTION("""COMPUTED_VALUE"""),412514.0)</f>
        <v>412514</v>
      </c>
      <c r="N192" s="235">
        <f>IFERROR(__xludf.DUMMYFUNCTION("""COMPUTED_VALUE"""),448368.0)</f>
        <v>448368</v>
      </c>
      <c r="O192" s="235">
        <f>IFERROR(__xludf.DUMMYFUNCTION("""COMPUTED_VALUE"""),34.0)</f>
        <v>34</v>
      </c>
      <c r="P192" s="235">
        <f>IFERROR(__xludf.DUMMYFUNCTION("""COMPUTED_VALUE"""),3487.0)</f>
        <v>3487</v>
      </c>
      <c r="Q192" s="235">
        <f>IFERROR(__xludf.DUMMYFUNCTION("""COMPUTED_VALUE"""),23.0)</f>
        <v>23</v>
      </c>
      <c r="R192" s="235">
        <f>IFERROR(__xludf.DUMMYFUNCTION("""COMPUTED_VALUE"""),2879.0)</f>
        <v>2879</v>
      </c>
      <c r="S192" s="235">
        <f>IFERROR(__xludf.DUMMYFUNCTION("""COMPUTED_VALUE"""),2.0)</f>
        <v>2</v>
      </c>
      <c r="T192" s="235">
        <f>IFERROR(__xludf.DUMMYFUNCTION("""COMPUTED_VALUE"""),411.0)</f>
        <v>411</v>
      </c>
      <c r="U192" s="235">
        <f>IFERROR(__xludf.DUMMYFUNCTION("""COMPUTED_VALUE"""),197.0)</f>
        <v>197</v>
      </c>
      <c r="V192" s="235">
        <f>IFERROR(__xludf.DUMMYFUNCTION("""COMPUTED_VALUE"""),189.0)</f>
        <v>189</v>
      </c>
      <c r="W192" s="235">
        <f>IFERROR(__xludf.DUMMYFUNCTION("""COMPUTED_VALUE"""),21.0)</f>
        <v>21</v>
      </c>
      <c r="X192" s="235">
        <f>IFERROR(__xludf.DUMMYFUNCTION("""COMPUTED_VALUE"""),11.0)</f>
        <v>11</v>
      </c>
      <c r="Y192" s="235">
        <f>IFERROR(__xludf.DUMMYFUNCTION("""COMPUTED_VALUE"""),4.0)</f>
        <v>4</v>
      </c>
      <c r="Z192" s="235">
        <f>IFERROR(__xludf.DUMMYFUNCTION("""COMPUTED_VALUE"""),1224.0)</f>
        <v>1224</v>
      </c>
    </row>
    <row r="193">
      <c r="A193" s="234">
        <f>IFERROR(__xludf.DUMMYFUNCTION("""COMPUTED_VALUE"""),44140.0)</f>
        <v>44140</v>
      </c>
      <c r="B193" s="235">
        <f>IFERROR(__xludf.DUMMYFUNCTION("""COMPUTED_VALUE"""),759.0)</f>
        <v>759</v>
      </c>
      <c r="C193" s="235">
        <f>IFERROR(__xludf.DUMMYFUNCTION("""COMPUTED_VALUE"""),680.0)</f>
        <v>680</v>
      </c>
      <c r="D193" s="235">
        <f>IFERROR(__xludf.DUMMYFUNCTION("""COMPUTED_VALUE"""),47818.0)</f>
        <v>47818</v>
      </c>
      <c r="E193" s="235">
        <f>IFERROR(__xludf.DUMMYFUNCTION("""COMPUTED_VALUE"""),18883.0)</f>
        <v>18883</v>
      </c>
      <c r="F193" s="173">
        <f>IFERROR(__xludf.DUMMYFUNCTION("""COMPUTED_VALUE"""),1174111.0)</f>
        <v>1174111</v>
      </c>
      <c r="G193" s="173">
        <f>IFERROR(__xludf.DUMMYFUNCTION("""COMPUTED_VALUE"""),19642.0)</f>
        <v>19642</v>
      </c>
      <c r="H193" s="173">
        <f>IFERROR(__xludf.DUMMYFUNCTION("""COMPUTED_VALUE"""),1221929.0)</f>
        <v>1221929</v>
      </c>
      <c r="I193" s="235">
        <f>IFERROR(__xludf.DUMMYFUNCTION("""COMPUTED_VALUE"""),674.0)</f>
        <v>674</v>
      </c>
      <c r="J193" s="235">
        <f>IFERROR(__xludf.DUMMYFUNCTION("""COMPUTED_VALUE"""),611.0)</f>
        <v>611</v>
      </c>
      <c r="K193" s="235">
        <f>IFERROR(__xludf.DUMMYFUNCTION("""COMPUTED_VALUE"""),36528.0)</f>
        <v>36528</v>
      </c>
      <c r="L193" s="235">
        <f>IFERROR(__xludf.DUMMYFUNCTION("""COMPUTED_VALUE"""),5180.0)</f>
        <v>5180</v>
      </c>
      <c r="M193" s="235">
        <f>IFERROR(__xludf.DUMMYFUNCTION("""COMPUTED_VALUE"""),417694.0)</f>
        <v>417694</v>
      </c>
      <c r="N193" s="235">
        <f>IFERROR(__xludf.DUMMYFUNCTION("""COMPUTED_VALUE"""),454222.0)</f>
        <v>454222</v>
      </c>
      <c r="O193" s="235">
        <f>IFERROR(__xludf.DUMMYFUNCTION("""COMPUTED_VALUE"""),46.0)</f>
        <v>46</v>
      </c>
      <c r="P193" s="235">
        <f>IFERROR(__xludf.DUMMYFUNCTION("""COMPUTED_VALUE"""),3533.0)</f>
        <v>3533</v>
      </c>
      <c r="Q193" s="235">
        <f>IFERROR(__xludf.DUMMYFUNCTION("""COMPUTED_VALUE"""),33.0)</f>
        <v>33</v>
      </c>
      <c r="R193" s="235">
        <f>IFERROR(__xludf.DUMMYFUNCTION("""COMPUTED_VALUE"""),2912.0)</f>
        <v>2912</v>
      </c>
      <c r="S193" s="235">
        <f>IFERROR(__xludf.DUMMYFUNCTION("""COMPUTED_VALUE"""),1.0)</f>
        <v>1</v>
      </c>
      <c r="T193" s="235">
        <f>IFERROR(__xludf.DUMMYFUNCTION("""COMPUTED_VALUE"""),412.0)</f>
        <v>412</v>
      </c>
      <c r="U193" s="235">
        <f>IFERROR(__xludf.DUMMYFUNCTION("""COMPUTED_VALUE"""),209.0)</f>
        <v>209</v>
      </c>
      <c r="V193" s="235">
        <f>IFERROR(__xludf.DUMMYFUNCTION("""COMPUTED_VALUE"""),198.0)</f>
        <v>198</v>
      </c>
      <c r="W193" s="235">
        <f>IFERROR(__xludf.DUMMYFUNCTION("""COMPUTED_VALUE"""),20.0)</f>
        <v>20</v>
      </c>
      <c r="X193" s="235">
        <f>IFERROR(__xludf.DUMMYFUNCTION("""COMPUTED_VALUE"""),13.0)</f>
        <v>13</v>
      </c>
      <c r="Y193" s="235">
        <f>IFERROR(__xludf.DUMMYFUNCTION("""COMPUTED_VALUE"""),3.0)</f>
        <v>3</v>
      </c>
      <c r="Z193" s="235">
        <f>IFERROR(__xludf.DUMMYFUNCTION("""COMPUTED_VALUE"""),1227.0)</f>
        <v>1227</v>
      </c>
    </row>
    <row r="194">
      <c r="A194" s="234">
        <f>IFERROR(__xludf.DUMMYFUNCTION("""COMPUTED_VALUE"""),44141.0)</f>
        <v>44141</v>
      </c>
      <c r="B194" s="235">
        <f>IFERROR(__xludf.DUMMYFUNCTION("""COMPUTED_VALUE"""),776.0)</f>
        <v>776</v>
      </c>
      <c r="C194" s="235">
        <f>IFERROR(__xludf.DUMMYFUNCTION("""COMPUTED_VALUE"""),738.0)</f>
        <v>738</v>
      </c>
      <c r="D194" s="235">
        <f>IFERROR(__xludf.DUMMYFUNCTION("""COMPUTED_VALUE"""),48594.0)</f>
        <v>48594</v>
      </c>
      <c r="E194" s="235">
        <f>IFERROR(__xludf.DUMMYFUNCTION("""COMPUTED_VALUE"""),17197.0)</f>
        <v>17197</v>
      </c>
      <c r="F194" s="173">
        <f>IFERROR(__xludf.DUMMYFUNCTION("""COMPUTED_VALUE"""),1191308.0)</f>
        <v>1191308</v>
      </c>
      <c r="G194" s="173">
        <f>IFERROR(__xludf.DUMMYFUNCTION("""COMPUTED_VALUE"""),17973.0)</f>
        <v>17973</v>
      </c>
      <c r="H194" s="173">
        <f>IFERROR(__xludf.DUMMYFUNCTION("""COMPUTED_VALUE"""),1239902.0)</f>
        <v>1239902</v>
      </c>
      <c r="I194" s="235">
        <f>IFERROR(__xludf.DUMMYFUNCTION("""COMPUTED_VALUE"""),698.0)</f>
        <v>698</v>
      </c>
      <c r="J194" s="235">
        <f>IFERROR(__xludf.DUMMYFUNCTION("""COMPUTED_VALUE"""),667.0)</f>
        <v>667</v>
      </c>
      <c r="K194" s="235">
        <f>IFERROR(__xludf.DUMMYFUNCTION("""COMPUTED_VALUE"""),37226.0)</f>
        <v>37226</v>
      </c>
      <c r="L194" s="235">
        <f>IFERROR(__xludf.DUMMYFUNCTION("""COMPUTED_VALUE"""),4361.0)</f>
        <v>4361</v>
      </c>
      <c r="M194" s="235">
        <f>IFERROR(__xludf.DUMMYFUNCTION("""COMPUTED_VALUE"""),422055.0)</f>
        <v>422055</v>
      </c>
      <c r="N194" s="235">
        <f>IFERROR(__xludf.DUMMYFUNCTION("""COMPUTED_VALUE"""),459281.0)</f>
        <v>459281</v>
      </c>
      <c r="O194" s="235">
        <f>IFERROR(__xludf.DUMMYFUNCTION("""COMPUTED_VALUE"""),37.0)</f>
        <v>37</v>
      </c>
      <c r="P194" s="235">
        <f>IFERROR(__xludf.DUMMYFUNCTION("""COMPUTED_VALUE"""),3570.0)</f>
        <v>3570</v>
      </c>
      <c r="Q194" s="235">
        <f>IFERROR(__xludf.DUMMYFUNCTION("""COMPUTED_VALUE"""),29.0)</f>
        <v>29</v>
      </c>
      <c r="R194" s="235">
        <f>IFERROR(__xludf.DUMMYFUNCTION("""COMPUTED_VALUE"""),2941.0)</f>
        <v>2941</v>
      </c>
      <c r="S194" s="235">
        <f>IFERROR(__xludf.DUMMYFUNCTION("""COMPUTED_VALUE"""),1.0)</f>
        <v>1</v>
      </c>
      <c r="T194" s="235">
        <f>IFERROR(__xludf.DUMMYFUNCTION("""COMPUTED_VALUE"""),413.0)</f>
        <v>413</v>
      </c>
      <c r="U194" s="235">
        <f>IFERROR(__xludf.DUMMYFUNCTION("""COMPUTED_VALUE"""),216.0)</f>
        <v>216</v>
      </c>
      <c r="V194" s="235">
        <f>IFERROR(__xludf.DUMMYFUNCTION("""COMPUTED_VALUE"""),207.0)</f>
        <v>207</v>
      </c>
      <c r="W194" s="235">
        <f>IFERROR(__xludf.DUMMYFUNCTION("""COMPUTED_VALUE"""),25.0)</f>
        <v>25</v>
      </c>
      <c r="X194" s="235">
        <f>IFERROR(__xludf.DUMMYFUNCTION("""COMPUTED_VALUE"""),16.0)</f>
        <v>16</v>
      </c>
      <c r="Y194" s="235">
        <f>IFERROR(__xludf.DUMMYFUNCTION("""COMPUTED_VALUE"""),5.0)</f>
        <v>5</v>
      </c>
      <c r="Z194" s="235">
        <f>IFERROR(__xludf.DUMMYFUNCTION("""COMPUTED_VALUE"""),1232.0)</f>
        <v>1232</v>
      </c>
    </row>
    <row r="195">
      <c r="A195" s="234">
        <f>IFERROR(__xludf.DUMMYFUNCTION("""COMPUTED_VALUE"""),44142.0)</f>
        <v>44142</v>
      </c>
      <c r="B195" s="235">
        <f>IFERROR(__xludf.DUMMYFUNCTION("""COMPUTED_VALUE"""),606.0)</f>
        <v>606</v>
      </c>
      <c r="C195" s="235">
        <f>IFERROR(__xludf.DUMMYFUNCTION("""COMPUTED_VALUE"""),714.0)</f>
        <v>714</v>
      </c>
      <c r="D195" s="235">
        <f>IFERROR(__xludf.DUMMYFUNCTION("""COMPUTED_VALUE"""),49200.0)</f>
        <v>49200</v>
      </c>
      <c r="E195" s="235">
        <f>IFERROR(__xludf.DUMMYFUNCTION("""COMPUTED_VALUE"""),13245.0)</f>
        <v>13245</v>
      </c>
      <c r="F195" s="173">
        <f>IFERROR(__xludf.DUMMYFUNCTION("""COMPUTED_VALUE"""),1204553.0)</f>
        <v>1204553</v>
      </c>
      <c r="G195" s="173">
        <f>IFERROR(__xludf.DUMMYFUNCTION("""COMPUTED_VALUE"""),13851.0)</f>
        <v>13851</v>
      </c>
      <c r="H195" s="173">
        <f>IFERROR(__xludf.DUMMYFUNCTION("""COMPUTED_VALUE"""),1253753.0)</f>
        <v>1253753</v>
      </c>
      <c r="I195" s="235">
        <f>IFERROR(__xludf.DUMMYFUNCTION("""COMPUTED_VALUE"""),570.0)</f>
        <v>570</v>
      </c>
      <c r="J195" s="235">
        <f>IFERROR(__xludf.DUMMYFUNCTION("""COMPUTED_VALUE"""),647.0)</f>
        <v>647</v>
      </c>
      <c r="K195" s="235">
        <f>IFERROR(__xludf.DUMMYFUNCTION("""COMPUTED_VALUE"""),37796.0)</f>
        <v>37796</v>
      </c>
      <c r="L195" s="235">
        <f>IFERROR(__xludf.DUMMYFUNCTION("""COMPUTED_VALUE"""),2492.0)</f>
        <v>2492</v>
      </c>
      <c r="M195" s="235">
        <f>IFERROR(__xludf.DUMMYFUNCTION("""COMPUTED_VALUE"""),424547.0)</f>
        <v>424547</v>
      </c>
      <c r="N195" s="235">
        <f>IFERROR(__xludf.DUMMYFUNCTION("""COMPUTED_VALUE"""),462343.0)</f>
        <v>462343</v>
      </c>
      <c r="O195" s="235">
        <f>IFERROR(__xludf.DUMMYFUNCTION("""COMPUTED_VALUE"""),31.0)</f>
        <v>31</v>
      </c>
      <c r="P195" s="235">
        <f>IFERROR(__xludf.DUMMYFUNCTION("""COMPUTED_VALUE"""),3601.0)</f>
        <v>3601</v>
      </c>
      <c r="Q195" s="235">
        <f>IFERROR(__xludf.DUMMYFUNCTION("""COMPUTED_VALUE"""),24.0)</f>
        <v>24</v>
      </c>
      <c r="R195" s="235">
        <f>IFERROR(__xludf.DUMMYFUNCTION("""COMPUTED_VALUE"""),2965.0)</f>
        <v>2965</v>
      </c>
      <c r="S195" s="235">
        <f>IFERROR(__xludf.DUMMYFUNCTION("""COMPUTED_VALUE"""),1.0)</f>
        <v>1</v>
      </c>
      <c r="T195" s="235">
        <f>IFERROR(__xludf.DUMMYFUNCTION("""COMPUTED_VALUE"""),414.0)</f>
        <v>414</v>
      </c>
      <c r="U195" s="235">
        <f>IFERROR(__xludf.DUMMYFUNCTION("""COMPUTED_VALUE"""),222.0)</f>
        <v>222</v>
      </c>
      <c r="V195" s="235">
        <f>IFERROR(__xludf.DUMMYFUNCTION("""COMPUTED_VALUE"""),216.0)</f>
        <v>216</v>
      </c>
      <c r="W195" s="235">
        <f>IFERROR(__xludf.DUMMYFUNCTION("""COMPUTED_VALUE"""),27.0)</f>
        <v>27</v>
      </c>
      <c r="X195" s="235">
        <f>IFERROR(__xludf.DUMMYFUNCTION("""COMPUTED_VALUE"""),17.0)</f>
        <v>17</v>
      </c>
      <c r="Y195" s="235">
        <f>IFERROR(__xludf.DUMMYFUNCTION("""COMPUTED_VALUE"""),1.0)</f>
        <v>1</v>
      </c>
      <c r="Z195" s="235">
        <f>IFERROR(__xludf.DUMMYFUNCTION("""COMPUTED_VALUE"""),1233.0)</f>
        <v>1233</v>
      </c>
    </row>
    <row r="196">
      <c r="A196" s="234">
        <f>IFERROR(__xludf.DUMMYFUNCTION("""COMPUTED_VALUE"""),44143.0)</f>
        <v>44143</v>
      </c>
      <c r="B196" s="235">
        <f>IFERROR(__xludf.DUMMYFUNCTION("""COMPUTED_VALUE"""),338.0)</f>
        <v>338</v>
      </c>
      <c r="C196" s="235">
        <f>IFERROR(__xludf.DUMMYFUNCTION("""COMPUTED_VALUE"""),573.0)</f>
        <v>573</v>
      </c>
      <c r="D196" s="235">
        <f>IFERROR(__xludf.DUMMYFUNCTION("""COMPUTED_VALUE"""),49538.0)</f>
        <v>49538</v>
      </c>
      <c r="E196" s="235">
        <f>IFERROR(__xludf.DUMMYFUNCTION("""COMPUTED_VALUE"""),3964.0)</f>
        <v>3964</v>
      </c>
      <c r="F196" s="173">
        <f>IFERROR(__xludf.DUMMYFUNCTION("""COMPUTED_VALUE"""),1208517.0)</f>
        <v>1208517</v>
      </c>
      <c r="G196" s="173">
        <f>IFERROR(__xludf.DUMMYFUNCTION("""COMPUTED_VALUE"""),4302.0)</f>
        <v>4302</v>
      </c>
      <c r="H196" s="173">
        <f>IFERROR(__xludf.DUMMYFUNCTION("""COMPUTED_VALUE"""),1258055.0)</f>
        <v>1258055</v>
      </c>
      <c r="I196" s="235">
        <f>IFERROR(__xludf.DUMMYFUNCTION("""COMPUTED_VALUE"""),319.0)</f>
        <v>319</v>
      </c>
      <c r="J196" s="235">
        <f>IFERROR(__xludf.DUMMYFUNCTION("""COMPUTED_VALUE"""),529.0)</f>
        <v>529</v>
      </c>
      <c r="K196" s="235">
        <f>IFERROR(__xludf.DUMMYFUNCTION("""COMPUTED_VALUE"""),38115.0)</f>
        <v>38115</v>
      </c>
      <c r="L196" s="235">
        <f>IFERROR(__xludf.DUMMYFUNCTION("""COMPUTED_VALUE"""),1293.0)</f>
        <v>1293</v>
      </c>
      <c r="M196" s="235">
        <f>IFERROR(__xludf.DUMMYFUNCTION("""COMPUTED_VALUE"""),425840.0)</f>
        <v>425840</v>
      </c>
      <c r="N196" s="235">
        <f>IFERROR(__xludf.DUMMYFUNCTION("""COMPUTED_VALUE"""),463955.0)</f>
        <v>463955</v>
      </c>
      <c r="O196" s="235">
        <f>IFERROR(__xludf.DUMMYFUNCTION("""COMPUTED_VALUE"""),28.0)</f>
        <v>28</v>
      </c>
      <c r="P196" s="235">
        <f>IFERROR(__xludf.DUMMYFUNCTION("""COMPUTED_VALUE"""),3629.0)</f>
        <v>3629</v>
      </c>
      <c r="Q196" s="235">
        <f>IFERROR(__xludf.DUMMYFUNCTION("""COMPUTED_VALUE"""),25.0)</f>
        <v>25</v>
      </c>
      <c r="R196" s="235">
        <f>IFERROR(__xludf.DUMMYFUNCTION("""COMPUTED_VALUE"""),2990.0)</f>
        <v>2990</v>
      </c>
      <c r="S196" s="235">
        <f>IFERROR(__xludf.DUMMYFUNCTION("""COMPUTED_VALUE"""),1.0)</f>
        <v>1</v>
      </c>
      <c r="T196" s="235">
        <f>IFERROR(__xludf.DUMMYFUNCTION("""COMPUTED_VALUE"""),415.0)</f>
        <v>415</v>
      </c>
      <c r="U196" s="235">
        <f>IFERROR(__xludf.DUMMYFUNCTION("""COMPUTED_VALUE"""),224.0)</f>
        <v>224</v>
      </c>
      <c r="V196" s="235">
        <f>IFERROR(__xludf.DUMMYFUNCTION("""COMPUTED_VALUE"""),221.0)</f>
        <v>221</v>
      </c>
      <c r="W196" s="235">
        <f>IFERROR(__xludf.DUMMYFUNCTION("""COMPUTED_VALUE"""),26.0)</f>
        <v>26</v>
      </c>
      <c r="X196" s="235">
        <f>IFERROR(__xludf.DUMMYFUNCTION("""COMPUTED_VALUE"""),18.0)</f>
        <v>18</v>
      </c>
      <c r="Y196" s="235">
        <f>IFERROR(__xludf.DUMMYFUNCTION("""COMPUTED_VALUE"""),3.0)</f>
        <v>3</v>
      </c>
      <c r="Z196" s="235">
        <f>IFERROR(__xludf.DUMMYFUNCTION("""COMPUTED_VALUE"""),1236.0)</f>
        <v>1236</v>
      </c>
    </row>
    <row r="197">
      <c r="A197" s="234">
        <f>IFERROR(__xludf.DUMMYFUNCTION("""COMPUTED_VALUE"""),44144.0)</f>
        <v>44144</v>
      </c>
      <c r="B197" s="235">
        <f>IFERROR(__xludf.DUMMYFUNCTION("""COMPUTED_VALUE"""),789.0)</f>
        <v>789</v>
      </c>
      <c r="C197" s="235">
        <f>IFERROR(__xludf.DUMMYFUNCTION("""COMPUTED_VALUE"""),578.0)</f>
        <v>578</v>
      </c>
      <c r="D197" s="235">
        <f>IFERROR(__xludf.DUMMYFUNCTION("""COMPUTED_VALUE"""),50327.0)</f>
        <v>50327</v>
      </c>
      <c r="E197" s="235">
        <f>IFERROR(__xludf.DUMMYFUNCTION("""COMPUTED_VALUE"""),8672.0)</f>
        <v>8672</v>
      </c>
      <c r="F197" s="173">
        <f>IFERROR(__xludf.DUMMYFUNCTION("""COMPUTED_VALUE"""),1217189.0)</f>
        <v>1217189</v>
      </c>
      <c r="G197" s="173">
        <f>IFERROR(__xludf.DUMMYFUNCTION("""COMPUTED_VALUE"""),9461.0)</f>
        <v>9461</v>
      </c>
      <c r="H197" s="173">
        <f>IFERROR(__xludf.DUMMYFUNCTION("""COMPUTED_VALUE"""),1267516.0)</f>
        <v>1267516</v>
      </c>
      <c r="I197" s="235">
        <f>IFERROR(__xludf.DUMMYFUNCTION("""COMPUTED_VALUE"""),744.0)</f>
        <v>744</v>
      </c>
      <c r="J197" s="235">
        <f>IFERROR(__xludf.DUMMYFUNCTION("""COMPUTED_VALUE"""),544.0)</f>
        <v>544</v>
      </c>
      <c r="K197" s="235">
        <f>IFERROR(__xludf.DUMMYFUNCTION("""COMPUTED_VALUE"""),38859.0)</f>
        <v>38859</v>
      </c>
      <c r="L197" s="235">
        <f>IFERROR(__xludf.DUMMYFUNCTION("""COMPUTED_VALUE"""),2325.0)</f>
        <v>2325</v>
      </c>
      <c r="M197" s="235">
        <f>IFERROR(__xludf.DUMMYFUNCTION("""COMPUTED_VALUE"""),428165.0)</f>
        <v>428165</v>
      </c>
      <c r="N197" s="235">
        <f>IFERROR(__xludf.DUMMYFUNCTION("""COMPUTED_VALUE"""),467024.0)</f>
        <v>467024</v>
      </c>
      <c r="O197" s="235">
        <f>IFERROR(__xludf.DUMMYFUNCTION("""COMPUTED_VALUE"""),35.0)</f>
        <v>35</v>
      </c>
      <c r="P197" s="235">
        <f>IFERROR(__xludf.DUMMYFUNCTION("""COMPUTED_VALUE"""),3664.0)</f>
        <v>3664</v>
      </c>
      <c r="Q197" s="235">
        <f>IFERROR(__xludf.DUMMYFUNCTION("""COMPUTED_VALUE"""),32.0)</f>
        <v>32</v>
      </c>
      <c r="R197" s="235">
        <f>IFERROR(__xludf.DUMMYFUNCTION("""COMPUTED_VALUE"""),3022.0)</f>
        <v>3022</v>
      </c>
      <c r="S197" s="235">
        <f>IFERROR(__xludf.DUMMYFUNCTION("""COMPUTED_VALUE"""),2.0)</f>
        <v>2</v>
      </c>
      <c r="T197" s="235">
        <f>IFERROR(__xludf.DUMMYFUNCTION("""COMPUTED_VALUE"""),417.0)</f>
        <v>417</v>
      </c>
      <c r="U197" s="235">
        <f>IFERROR(__xludf.DUMMYFUNCTION("""COMPUTED_VALUE"""),225.0)</f>
        <v>225</v>
      </c>
      <c r="V197" s="235">
        <f>IFERROR(__xludf.DUMMYFUNCTION("""COMPUTED_VALUE"""),224.0)</f>
        <v>224</v>
      </c>
      <c r="W197" s="235">
        <f>IFERROR(__xludf.DUMMYFUNCTION("""COMPUTED_VALUE"""),25.0)</f>
        <v>25</v>
      </c>
      <c r="X197" s="235">
        <f>IFERROR(__xludf.DUMMYFUNCTION("""COMPUTED_VALUE"""),17.0)</f>
        <v>17</v>
      </c>
      <c r="Y197" s="235">
        <f>IFERROR(__xludf.DUMMYFUNCTION("""COMPUTED_VALUE"""),3.0)</f>
        <v>3</v>
      </c>
      <c r="Z197" s="235">
        <f>IFERROR(__xludf.DUMMYFUNCTION("""COMPUTED_VALUE"""),1239.0)</f>
        <v>1239</v>
      </c>
    </row>
    <row r="198">
      <c r="A198" s="234">
        <f>IFERROR(__xludf.DUMMYFUNCTION("""COMPUTED_VALUE"""),44145.0)</f>
        <v>44145</v>
      </c>
      <c r="B198" s="235">
        <f>IFERROR(__xludf.DUMMYFUNCTION("""COMPUTED_VALUE"""),1062.0)</f>
        <v>1062</v>
      </c>
      <c r="C198" s="235">
        <f>IFERROR(__xludf.DUMMYFUNCTION("""COMPUTED_VALUE"""),730.0)</f>
        <v>730</v>
      </c>
      <c r="D198" s="235">
        <f>IFERROR(__xludf.DUMMYFUNCTION("""COMPUTED_VALUE"""),51389.0)</f>
        <v>51389</v>
      </c>
      <c r="E198" s="235">
        <f>IFERROR(__xludf.DUMMYFUNCTION("""COMPUTED_VALUE"""),12867.0)</f>
        <v>12867</v>
      </c>
      <c r="F198" s="173">
        <f>IFERROR(__xludf.DUMMYFUNCTION("""COMPUTED_VALUE"""),1230056.0)</f>
        <v>1230056</v>
      </c>
      <c r="G198" s="173">
        <f>IFERROR(__xludf.DUMMYFUNCTION("""COMPUTED_VALUE"""),13929.0)</f>
        <v>13929</v>
      </c>
      <c r="H198" s="173">
        <f>IFERROR(__xludf.DUMMYFUNCTION("""COMPUTED_VALUE"""),1281445.0)</f>
        <v>1281445</v>
      </c>
      <c r="I198" s="235">
        <f>IFERROR(__xludf.DUMMYFUNCTION("""COMPUTED_VALUE"""),969.0)</f>
        <v>969</v>
      </c>
      <c r="J198" s="235">
        <f>IFERROR(__xludf.DUMMYFUNCTION("""COMPUTED_VALUE"""),677.0)</f>
        <v>677</v>
      </c>
      <c r="K198" s="235">
        <f>IFERROR(__xludf.DUMMYFUNCTION("""COMPUTED_VALUE"""),39828.0)</f>
        <v>39828</v>
      </c>
      <c r="L198" s="235">
        <f>IFERROR(__xludf.DUMMYFUNCTION("""COMPUTED_VALUE"""),2910.0)</f>
        <v>2910</v>
      </c>
      <c r="M198" s="235">
        <f>IFERROR(__xludf.DUMMYFUNCTION("""COMPUTED_VALUE"""),431075.0)</f>
        <v>431075</v>
      </c>
      <c r="N198" s="235">
        <f>IFERROR(__xludf.DUMMYFUNCTION("""COMPUTED_VALUE"""),470903.0)</f>
        <v>470903</v>
      </c>
      <c r="O198" s="235">
        <f>IFERROR(__xludf.DUMMYFUNCTION("""COMPUTED_VALUE"""),37.0)</f>
        <v>37</v>
      </c>
      <c r="P198" s="235">
        <f>IFERROR(__xludf.DUMMYFUNCTION("""COMPUTED_VALUE"""),3701.0)</f>
        <v>3701</v>
      </c>
      <c r="Q198" s="235">
        <f>IFERROR(__xludf.DUMMYFUNCTION("""COMPUTED_VALUE"""),30.0)</f>
        <v>30</v>
      </c>
      <c r="R198" s="235">
        <f>IFERROR(__xludf.DUMMYFUNCTION("""COMPUTED_VALUE"""),3052.0)</f>
        <v>3052</v>
      </c>
      <c r="S198" s="235">
        <f>IFERROR(__xludf.DUMMYFUNCTION("""COMPUTED_VALUE"""),0.0)</f>
        <v>0</v>
      </c>
      <c r="T198" s="235">
        <f>IFERROR(__xludf.DUMMYFUNCTION("""COMPUTED_VALUE"""),417.0)</f>
        <v>417</v>
      </c>
      <c r="U198" s="235">
        <f>IFERROR(__xludf.DUMMYFUNCTION("""COMPUTED_VALUE"""),232.0)</f>
        <v>232</v>
      </c>
      <c r="V198" s="235">
        <f>IFERROR(__xludf.DUMMYFUNCTION("""COMPUTED_VALUE"""),227.0)</f>
        <v>227</v>
      </c>
      <c r="W198" s="235">
        <f>IFERROR(__xludf.DUMMYFUNCTION("""COMPUTED_VALUE"""),28.0)</f>
        <v>28</v>
      </c>
      <c r="X198" s="235">
        <f>IFERROR(__xludf.DUMMYFUNCTION("""COMPUTED_VALUE"""),17.0)</f>
        <v>17</v>
      </c>
      <c r="Y198" s="235">
        <f>IFERROR(__xludf.DUMMYFUNCTION("""COMPUTED_VALUE"""),5.0)</f>
        <v>5</v>
      </c>
      <c r="Z198" s="235">
        <f>IFERROR(__xludf.DUMMYFUNCTION("""COMPUTED_VALUE"""),1244.0)</f>
        <v>1244</v>
      </c>
    </row>
    <row r="199">
      <c r="A199" s="234">
        <f>IFERROR(__xludf.DUMMYFUNCTION("""COMPUTED_VALUE"""),44146.0)</f>
        <v>44146</v>
      </c>
      <c r="B199" s="235">
        <f>IFERROR(__xludf.DUMMYFUNCTION("""COMPUTED_VALUE"""),1021.0)</f>
        <v>1021</v>
      </c>
      <c r="C199" s="235">
        <f>IFERROR(__xludf.DUMMYFUNCTION("""COMPUTED_VALUE"""),957.0)</f>
        <v>957</v>
      </c>
      <c r="D199" s="235">
        <f>IFERROR(__xludf.DUMMYFUNCTION("""COMPUTED_VALUE"""),52410.0)</f>
        <v>52410</v>
      </c>
      <c r="E199" s="235">
        <f>IFERROR(__xludf.DUMMYFUNCTION("""COMPUTED_VALUE"""),18820.0)</f>
        <v>18820</v>
      </c>
      <c r="F199" s="173">
        <f>IFERROR(__xludf.DUMMYFUNCTION("""COMPUTED_VALUE"""),1248876.0)</f>
        <v>1248876</v>
      </c>
      <c r="G199" s="173">
        <f>IFERROR(__xludf.DUMMYFUNCTION("""COMPUTED_VALUE"""),19841.0)</f>
        <v>19841</v>
      </c>
      <c r="H199" s="173">
        <f>IFERROR(__xludf.DUMMYFUNCTION("""COMPUTED_VALUE"""),1301286.0)</f>
        <v>1301286</v>
      </c>
      <c r="I199" s="235">
        <f>IFERROR(__xludf.DUMMYFUNCTION("""COMPUTED_VALUE"""),936.0)</f>
        <v>936</v>
      </c>
      <c r="J199" s="235">
        <f>IFERROR(__xludf.DUMMYFUNCTION("""COMPUTED_VALUE"""),883.0)</f>
        <v>883</v>
      </c>
      <c r="K199" s="235">
        <f>IFERROR(__xludf.DUMMYFUNCTION("""COMPUTED_VALUE"""),40764.0)</f>
        <v>40764</v>
      </c>
      <c r="L199" s="235">
        <f>IFERROR(__xludf.DUMMYFUNCTION("""COMPUTED_VALUE"""),2575.0)</f>
        <v>2575</v>
      </c>
      <c r="M199" s="235">
        <f>IFERROR(__xludf.DUMMYFUNCTION("""COMPUTED_VALUE"""),433650.0)</f>
        <v>433650</v>
      </c>
      <c r="N199" s="235">
        <f>IFERROR(__xludf.DUMMYFUNCTION("""COMPUTED_VALUE"""),474414.0)</f>
        <v>474414</v>
      </c>
      <c r="O199" s="235"/>
      <c r="P199" s="235"/>
      <c r="Q199" s="235"/>
      <c r="R199" s="235"/>
      <c r="S199" s="235"/>
      <c r="T199" s="235"/>
      <c r="U199" s="235"/>
      <c r="V199" s="235"/>
      <c r="W199" s="235"/>
      <c r="X199" s="235"/>
      <c r="Y199" s="235">
        <f>IFERROR(__xludf.DUMMYFUNCTION("""COMPUTED_VALUE"""),6.0)</f>
        <v>6</v>
      </c>
      <c r="Z199" s="235">
        <f>IFERROR(__xludf.DUMMYFUNCTION("""COMPUTED_VALUE"""),1250.0)</f>
        <v>1250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6" t="s">
        <v>809</v>
      </c>
      <c r="B1" s="237" t="s">
        <v>230</v>
      </c>
      <c r="C1" s="171" t="s">
        <v>127</v>
      </c>
    </row>
    <row r="2" ht="14.25" customHeight="1">
      <c r="A2" s="238" t="str">
        <f>'Cases by ZCTA'!A2</f>
        <v>02802</v>
      </c>
      <c r="B2" s="239">
        <f>'Cases by ZCTA'!B2</f>
        <v>16</v>
      </c>
      <c r="C2" s="239">
        <f>'Cases by ZCTA'!C2</f>
        <v>2385</v>
      </c>
    </row>
    <row r="3" ht="14.25" customHeight="1">
      <c r="A3" s="238" t="str">
        <f>'Cases by ZCTA'!A3</f>
        <v>02804</v>
      </c>
      <c r="B3" s="239">
        <f>'Cases by ZCTA'!B3</f>
        <v>16</v>
      </c>
      <c r="C3" s="239">
        <f>'Cases by ZCTA'!C3</f>
        <v>798</v>
      </c>
    </row>
    <row r="4" ht="14.25" customHeight="1">
      <c r="A4" s="238" t="str">
        <f>'Cases by ZCTA'!A4</f>
        <v>02806</v>
      </c>
      <c r="B4" s="239">
        <f>'Cases by ZCTA'!B4</f>
        <v>172</v>
      </c>
      <c r="C4" s="239">
        <f>'Cases by ZCTA'!C4</f>
        <v>1062</v>
      </c>
    </row>
    <row r="5" ht="14.25" customHeight="1">
      <c r="A5" s="238" t="str">
        <f>'Cases by ZCTA'!A5</f>
        <v>02807</v>
      </c>
      <c r="B5" s="239">
        <f>'Cases by ZCTA'!B5</f>
        <v>12</v>
      </c>
      <c r="C5" s="239">
        <f>'Cases by ZCTA'!C5</f>
        <v>1451</v>
      </c>
    </row>
    <row r="6" ht="14.25" customHeight="1">
      <c r="A6" s="238" t="str">
        <f>'Cases by ZCTA'!A6</f>
        <v>02808</v>
      </c>
      <c r="B6" s="239">
        <f>'Cases by ZCTA'!B6</f>
        <v>26</v>
      </c>
      <c r="C6" s="239">
        <f>'Cases by ZCTA'!C6</f>
        <v>1014</v>
      </c>
    </row>
    <row r="7" ht="14.25" customHeight="1">
      <c r="A7" s="238" t="str">
        <f>'Cases by ZCTA'!A7</f>
        <v>02809</v>
      </c>
      <c r="B7" s="239">
        <f>'Cases by ZCTA'!B7</f>
        <v>442</v>
      </c>
      <c r="C7" s="239">
        <f>'Cases by ZCTA'!C7</f>
        <v>1986</v>
      </c>
    </row>
    <row r="8" ht="14.25" customHeight="1">
      <c r="A8" s="238" t="str">
        <f>'Cases by ZCTA'!A8</f>
        <v>02812</v>
      </c>
      <c r="B8" s="239">
        <f>'Cases by ZCTA'!B8</f>
        <v>14</v>
      </c>
      <c r="C8" s="239">
        <f>'Cases by ZCTA'!C8</f>
        <v>1159</v>
      </c>
    </row>
    <row r="9" ht="14.25" customHeight="1">
      <c r="A9" s="238" t="str">
        <f>'Cases by ZCTA'!A9</f>
        <v>02813</v>
      </c>
      <c r="B9" s="239">
        <f>'Cases by ZCTA'!B9</f>
        <v>65</v>
      </c>
      <c r="C9" s="239">
        <f>'Cases by ZCTA'!C9</f>
        <v>835</v>
      </c>
    </row>
    <row r="10" ht="14.25" customHeight="1">
      <c r="A10" s="238" t="str">
        <f>'Cases by ZCTA'!A10</f>
        <v>02814</v>
      </c>
      <c r="B10" s="239">
        <f>'Cases by ZCTA'!B10</f>
        <v>112</v>
      </c>
      <c r="C10" s="239">
        <f>'Cases by ZCTA'!C10</f>
        <v>1460</v>
      </c>
    </row>
    <row r="11" ht="14.25" customHeight="1">
      <c r="A11" s="238" t="str">
        <f>'Cases by ZCTA'!A11</f>
        <v>02815</v>
      </c>
      <c r="B11" s="239">
        <f>'Cases by ZCTA'!B11</f>
        <v>0</v>
      </c>
      <c r="C11" s="239">
        <f>'Cases by ZCTA'!C11</f>
        <v>0</v>
      </c>
    </row>
    <row r="12" ht="14.25" customHeight="1">
      <c r="A12" s="238" t="str">
        <f>'Cases by ZCTA'!A12</f>
        <v>02816</v>
      </c>
      <c r="B12" s="239">
        <f>'Cases by ZCTA'!B12</f>
        <v>578</v>
      </c>
      <c r="C12" s="239">
        <f>'Cases by ZCTA'!C12</f>
        <v>1761</v>
      </c>
    </row>
    <row r="13" ht="14.25" customHeight="1">
      <c r="A13" s="238" t="str">
        <f>'Cases by ZCTA'!A13</f>
        <v>02817</v>
      </c>
      <c r="B13" s="239">
        <f>'Cases by ZCTA'!B13</f>
        <v>85</v>
      </c>
      <c r="C13" s="239">
        <f>'Cases by ZCTA'!C13</f>
        <v>1409</v>
      </c>
    </row>
    <row r="14" ht="14.25" customHeight="1">
      <c r="A14" s="238" t="str">
        <f>'Cases by ZCTA'!A14</f>
        <v>02818</v>
      </c>
      <c r="B14" s="239">
        <f>'Cases by ZCTA'!B14</f>
        <v>293</v>
      </c>
      <c r="C14" s="239">
        <f>'Cases by ZCTA'!C14</f>
        <v>1611</v>
      </c>
    </row>
    <row r="15" ht="14.25" customHeight="1">
      <c r="A15" s="238" t="str">
        <f>'Cases by ZCTA'!A15</f>
        <v>02822</v>
      </c>
      <c r="B15" s="239">
        <f>'Cases by ZCTA'!B15</f>
        <v>75</v>
      </c>
      <c r="C15" s="239">
        <f>'Cases by ZCTA'!C15</f>
        <v>1140</v>
      </c>
    </row>
    <row r="16" ht="14.25" customHeight="1">
      <c r="A16" s="238" t="str">
        <f>'Cases by ZCTA'!A16</f>
        <v>02825</v>
      </c>
      <c r="B16" s="239">
        <f>'Cases by ZCTA'!B16</f>
        <v>73</v>
      </c>
      <c r="C16" s="239">
        <f>'Cases by ZCTA'!C16</f>
        <v>1327</v>
      </c>
    </row>
    <row r="17" ht="14.25" customHeight="1">
      <c r="A17" s="238" t="str">
        <f>'Cases by ZCTA'!A17</f>
        <v>02826</v>
      </c>
      <c r="B17" s="239">
        <f>'Cases by ZCTA'!B17</f>
        <v>7</v>
      </c>
      <c r="C17" s="239">
        <f>'Cases by ZCTA'!C17</f>
        <v>1397</v>
      </c>
    </row>
    <row r="18" ht="14.25" customHeight="1">
      <c r="A18" s="238" t="str">
        <f>'Cases by ZCTA'!A18</f>
        <v>02827</v>
      </c>
      <c r="B18" s="239">
        <f>'Cases by ZCTA'!B18</f>
        <v>33</v>
      </c>
      <c r="C18" s="239">
        <f>'Cases by ZCTA'!C18</f>
        <v>1602</v>
      </c>
    </row>
    <row r="19" ht="14.25" customHeight="1">
      <c r="A19" s="238" t="str">
        <f>'Cases by ZCTA'!A19</f>
        <v>02828</v>
      </c>
      <c r="B19" s="239">
        <f>'Cases by ZCTA'!B19</f>
        <v>306</v>
      </c>
      <c r="C19" s="239">
        <f>'Cases by ZCTA'!C19</f>
        <v>3892</v>
      </c>
    </row>
    <row r="20" ht="14.25" customHeight="1">
      <c r="A20" s="238" t="str">
        <f>'Cases by ZCTA'!A20</f>
        <v>02830</v>
      </c>
      <c r="B20" s="239">
        <f>'Cases by ZCTA'!B20</f>
        <v>70</v>
      </c>
      <c r="C20" s="239">
        <f>'Cases by ZCTA'!C20</f>
        <v>1179</v>
      </c>
    </row>
    <row r="21" ht="14.25" customHeight="1">
      <c r="A21" s="238" t="str">
        <f>'Cases by ZCTA'!A21</f>
        <v>02831</v>
      </c>
      <c r="B21" s="239">
        <f>'Cases by ZCTA'!B21</f>
        <v>72</v>
      </c>
      <c r="C21" s="239">
        <f>'Cases by ZCTA'!C21</f>
        <v>2057</v>
      </c>
    </row>
    <row r="22" ht="14.25" customHeight="1">
      <c r="A22" s="238" t="str">
        <f>'Cases by ZCTA'!A22</f>
        <v>02832</v>
      </c>
      <c r="B22" s="239">
        <f>'Cases by ZCTA'!B22</f>
        <v>35</v>
      </c>
      <c r="C22" s="239">
        <f>'Cases by ZCTA'!C22</f>
        <v>810</v>
      </c>
    </row>
    <row r="23" ht="14.25" customHeight="1">
      <c r="A23" s="238" t="str">
        <f>'Cases by ZCTA'!A23</f>
        <v>02833</v>
      </c>
      <c r="B23" s="239">
        <f>'Cases by ZCTA'!B23</f>
        <v>0</v>
      </c>
      <c r="C23" s="239">
        <f>'Cases by ZCTA'!C23</f>
        <v>0</v>
      </c>
    </row>
    <row r="24" ht="14.25" customHeight="1">
      <c r="A24" s="238" t="str">
        <f>'Cases by ZCTA'!A24</f>
        <v>02835</v>
      </c>
      <c r="B24" s="239">
        <f>'Cases by ZCTA'!B24</f>
        <v>59</v>
      </c>
      <c r="C24" s="239">
        <f>'Cases by ZCTA'!C24</f>
        <v>1074</v>
      </c>
    </row>
    <row r="25" ht="14.25" customHeight="1">
      <c r="A25" s="238" t="str">
        <f>'Cases by ZCTA'!A25</f>
        <v>02836</v>
      </c>
      <c r="B25" s="239">
        <f>'Cases by ZCTA'!B25</f>
        <v>0</v>
      </c>
      <c r="C25" s="239">
        <f>'Cases by ZCTA'!C25</f>
        <v>0</v>
      </c>
    </row>
    <row r="26" ht="14.25" customHeight="1">
      <c r="A26" s="238" t="str">
        <f>'Cases by ZCTA'!A26</f>
        <v>02837</v>
      </c>
      <c r="B26" s="239">
        <f>'Cases by ZCTA'!B26</f>
        <v>30</v>
      </c>
      <c r="C26" s="239">
        <f>'Cases by ZCTA'!C26</f>
        <v>856</v>
      </c>
    </row>
    <row r="27" ht="14.25" customHeight="1">
      <c r="A27" s="238" t="str">
        <f>'Cases by ZCTA'!A27</f>
        <v>02838</v>
      </c>
      <c r="B27" s="239">
        <f>'Cases by ZCTA'!B27</f>
        <v>163</v>
      </c>
      <c r="C27" s="239">
        <f>'Cases by ZCTA'!C27</f>
        <v>4632</v>
      </c>
    </row>
    <row r="28" ht="14.25" customHeight="1">
      <c r="A28" s="238" t="str">
        <f>'Cases by ZCTA'!A28</f>
        <v>02839</v>
      </c>
      <c r="B28" s="239">
        <f>'Cases by ZCTA'!B28</f>
        <v>30</v>
      </c>
      <c r="C28" s="239">
        <f>'Cases by ZCTA'!C28</f>
        <v>1455</v>
      </c>
    </row>
    <row r="29" ht="14.25" customHeight="1">
      <c r="A29" s="238" t="str">
        <f>'Cases by ZCTA'!A29</f>
        <v>02840</v>
      </c>
      <c r="B29" s="239">
        <f>'Cases by ZCTA'!B29</f>
        <v>257</v>
      </c>
      <c r="C29" s="239">
        <f>'Cases by ZCTA'!C29</f>
        <v>1107</v>
      </c>
    </row>
    <row r="30" ht="14.25" customHeight="1">
      <c r="A30" s="238" t="str">
        <f>'Cases by ZCTA'!A30</f>
        <v>02841</v>
      </c>
      <c r="B30" s="239">
        <f>'Cases by ZCTA'!B30</f>
        <v>15</v>
      </c>
      <c r="C30" s="239">
        <f>'Cases by ZCTA'!C30</f>
        <v>919</v>
      </c>
    </row>
    <row r="31" ht="14.25" customHeight="1">
      <c r="A31" s="238" t="str">
        <f>'Cases by ZCTA'!A31</f>
        <v>02842</v>
      </c>
      <c r="B31" s="239">
        <f>'Cases by ZCTA'!B31</f>
        <v>147</v>
      </c>
      <c r="C31" s="239">
        <f>'Cases by ZCTA'!C31</f>
        <v>919</v>
      </c>
    </row>
    <row r="32" ht="14.25" customHeight="1">
      <c r="A32" s="238" t="str">
        <f>'Cases by ZCTA'!A32</f>
        <v>02852</v>
      </c>
      <c r="B32" s="239">
        <f>'Cases by ZCTA'!B32</f>
        <v>487</v>
      </c>
      <c r="C32" s="239">
        <f>'Cases by ZCTA'!C32</f>
        <v>2211</v>
      </c>
    </row>
    <row r="33" ht="14.25" customHeight="1">
      <c r="A33" s="238" t="str">
        <f>'Cases by ZCTA'!A33</f>
        <v>02857</v>
      </c>
      <c r="B33" s="239">
        <f>'Cases by ZCTA'!B33</f>
        <v>112</v>
      </c>
      <c r="C33" s="239">
        <f>'Cases by ZCTA'!C33</f>
        <v>1282</v>
      </c>
    </row>
    <row r="34" ht="14.25" customHeight="1">
      <c r="A34" s="238" t="str">
        <f>'Cases by ZCTA'!A34</f>
        <v>02858</v>
      </c>
      <c r="B34" s="239">
        <f>'Cases by ZCTA'!B34</f>
        <v>9</v>
      </c>
      <c r="C34" s="239">
        <f>'Cases by ZCTA'!C34</f>
        <v>1236</v>
      </c>
    </row>
    <row r="35" ht="14.25" customHeight="1">
      <c r="A35" s="238" t="str">
        <f>'Cases by ZCTA'!A35</f>
        <v>02859</v>
      </c>
      <c r="B35" s="239">
        <f>'Cases by ZCTA'!B35</f>
        <v>154</v>
      </c>
      <c r="C35" s="239">
        <f>'Cases by ZCTA'!C35</f>
        <v>2131</v>
      </c>
    </row>
    <row r="36" ht="14.25" customHeight="1">
      <c r="A36" s="238" t="str">
        <f>'Cases by ZCTA'!A36</f>
        <v>02860</v>
      </c>
      <c r="B36" s="239">
        <f>'Cases by ZCTA'!B36</f>
        <v>2636</v>
      </c>
      <c r="C36" s="239">
        <f>'Cases by ZCTA'!C36</f>
        <v>5593</v>
      </c>
    </row>
    <row r="37" ht="14.25" customHeight="1">
      <c r="A37" s="238" t="str">
        <f>'Cases by ZCTA'!A37</f>
        <v>02861</v>
      </c>
      <c r="B37" s="239">
        <f>'Cases by ZCTA'!B37</f>
        <v>961</v>
      </c>
      <c r="C37" s="239">
        <f>'Cases by ZCTA'!C37</f>
        <v>3837</v>
      </c>
    </row>
    <row r="38" ht="14.25" customHeight="1">
      <c r="A38" s="238" t="str">
        <f>'Cases by ZCTA'!A38</f>
        <v>02863</v>
      </c>
      <c r="B38" s="239">
        <f>'Cases by ZCTA'!B38</f>
        <v>2026</v>
      </c>
      <c r="C38" s="239">
        <f>'Cases by ZCTA'!C38</f>
        <v>10472</v>
      </c>
    </row>
    <row r="39" ht="14.25" customHeight="1">
      <c r="A39" s="238" t="str">
        <f>'Cases by ZCTA'!A39</f>
        <v>02864</v>
      </c>
      <c r="B39" s="239">
        <f>'Cases by ZCTA'!B39</f>
        <v>810</v>
      </c>
      <c r="C39" s="239">
        <f>'Cases by ZCTA'!C39</f>
        <v>2339</v>
      </c>
    </row>
    <row r="40" ht="14.25" customHeight="1">
      <c r="A40" s="238" t="str">
        <f>'Cases by ZCTA'!A40</f>
        <v>02865</v>
      </c>
      <c r="B40" s="239">
        <f>'Cases by ZCTA'!B40</f>
        <v>390</v>
      </c>
      <c r="C40" s="239">
        <f>'Cases by ZCTA'!C40</f>
        <v>2235</v>
      </c>
    </row>
    <row r="41" ht="14.25" customHeight="1">
      <c r="A41" s="238" t="str">
        <f>'Cases by ZCTA'!A41</f>
        <v>02871</v>
      </c>
      <c r="B41" s="239">
        <f>'Cases by ZCTA'!B41</f>
        <v>153</v>
      </c>
      <c r="C41" s="239">
        <f>'Cases by ZCTA'!C41</f>
        <v>893</v>
      </c>
    </row>
    <row r="42" ht="14.25" customHeight="1">
      <c r="A42" s="238" t="str">
        <f>'Cases by ZCTA'!A42</f>
        <v>02872</v>
      </c>
      <c r="B42" s="239">
        <f>'Cases by ZCTA'!B42</f>
        <v>0</v>
      </c>
      <c r="C42" s="239">
        <f>'Cases by ZCTA'!C42</f>
        <v>0</v>
      </c>
    </row>
    <row r="43" ht="14.25" customHeight="1">
      <c r="A43" s="238" t="str">
        <f>'Cases by ZCTA'!A43</f>
        <v>02873</v>
      </c>
      <c r="B43" s="239">
        <f>'Cases by ZCTA'!B43</f>
        <v>0</v>
      </c>
      <c r="C43" s="239">
        <f>'Cases by ZCTA'!C43</f>
        <v>0</v>
      </c>
    </row>
    <row r="44" ht="14.25" customHeight="1">
      <c r="A44" s="238" t="str">
        <f>'Cases by ZCTA'!A44</f>
        <v>02874</v>
      </c>
      <c r="B44" s="239">
        <f>'Cases by ZCTA'!B44</f>
        <v>88</v>
      </c>
      <c r="C44" s="239">
        <f>'Cases by ZCTA'!C44</f>
        <v>1477</v>
      </c>
    </row>
    <row r="45" ht="14.25" customHeight="1">
      <c r="A45" s="238" t="str">
        <f>'Cases by ZCTA'!A45</f>
        <v>02875</v>
      </c>
      <c r="B45" s="239">
        <f>'Cases by ZCTA'!B45</f>
        <v>0</v>
      </c>
      <c r="C45" s="239">
        <f>'Cases by ZCTA'!C45</f>
        <v>0</v>
      </c>
    </row>
    <row r="46" ht="14.25" customHeight="1">
      <c r="A46" s="238" t="str">
        <f>'Cases by ZCTA'!A46</f>
        <v>02876</v>
      </c>
      <c r="B46" s="239">
        <f>'Cases by ZCTA'!B46</f>
        <v>8</v>
      </c>
      <c r="C46" s="239">
        <f>'Cases by ZCTA'!C46</f>
        <v>2749</v>
      </c>
    </row>
    <row r="47" ht="14.25" customHeight="1">
      <c r="A47" s="238" t="str">
        <f>'Cases by ZCTA'!A47</f>
        <v>02878</v>
      </c>
      <c r="B47" s="239">
        <f>'Cases by ZCTA'!B47</f>
        <v>233</v>
      </c>
      <c r="C47" s="239">
        <f>'Cases by ZCTA'!C47</f>
        <v>1473</v>
      </c>
    </row>
    <row r="48" ht="14.25" customHeight="1">
      <c r="A48" s="238" t="str">
        <f>'Cases by ZCTA'!A48</f>
        <v>02879</v>
      </c>
      <c r="B48" s="239">
        <f>'Cases by ZCTA'!B48</f>
        <v>250</v>
      </c>
      <c r="C48" s="239">
        <f>'Cases by ZCTA'!C48</f>
        <v>1218</v>
      </c>
    </row>
    <row r="49" ht="14.25" customHeight="1">
      <c r="A49" s="238" t="str">
        <f>'Cases by ZCTA'!A49</f>
        <v>02881</v>
      </c>
      <c r="B49" s="239">
        <f>'Cases by ZCTA'!B49</f>
        <v>102</v>
      </c>
      <c r="C49" s="239">
        <f>'Cases by ZCTA'!C49</f>
        <v>1302</v>
      </c>
    </row>
    <row r="50" ht="14.25" customHeight="1">
      <c r="A50" s="238" t="str">
        <f>'Cases by ZCTA'!A50</f>
        <v>02882</v>
      </c>
      <c r="B50" s="239">
        <f>'Cases by ZCTA'!B50</f>
        <v>383</v>
      </c>
      <c r="C50" s="239">
        <f>'Cases by ZCTA'!C50</f>
        <v>2745</v>
      </c>
    </row>
    <row r="51" ht="14.25" customHeight="1">
      <c r="A51" s="238" t="str">
        <f>'Cases by ZCTA'!A51</f>
        <v>02885</v>
      </c>
      <c r="B51" s="239">
        <f>'Cases by ZCTA'!B51</f>
        <v>231</v>
      </c>
      <c r="C51" s="239">
        <f>'Cases by ZCTA'!C51</f>
        <v>2208</v>
      </c>
    </row>
    <row r="52" ht="14.25" customHeight="1">
      <c r="A52" s="238" t="str">
        <f>'Cases by ZCTA'!A52</f>
        <v>02886</v>
      </c>
      <c r="B52" s="239">
        <f>'Cases by ZCTA'!B52</f>
        <v>557</v>
      </c>
      <c r="C52" s="239">
        <f>'Cases by ZCTA'!C52</f>
        <v>1920</v>
      </c>
    </row>
    <row r="53" ht="14.25" customHeight="1">
      <c r="A53" s="238" t="str">
        <f>'Cases by ZCTA'!A53</f>
        <v>02888</v>
      </c>
      <c r="B53" s="239">
        <f>'Cases by ZCTA'!B53</f>
        <v>384</v>
      </c>
      <c r="C53" s="239">
        <f>'Cases by ZCTA'!C53</f>
        <v>2003</v>
      </c>
    </row>
    <row r="54" ht="14.25" customHeight="1">
      <c r="A54" s="238" t="str">
        <f>'Cases by ZCTA'!A54</f>
        <v>02889</v>
      </c>
      <c r="B54" s="239">
        <f>'Cases by ZCTA'!B54</f>
        <v>684</v>
      </c>
      <c r="C54" s="239">
        <f>'Cases by ZCTA'!C54</f>
        <v>2502</v>
      </c>
    </row>
    <row r="55" ht="14.25" customHeight="1">
      <c r="A55" s="238" t="str">
        <f>'Cases by ZCTA'!A55</f>
        <v>02891</v>
      </c>
      <c r="B55" s="239">
        <f>'Cases by ZCTA'!B55</f>
        <v>208</v>
      </c>
      <c r="C55" s="239">
        <f>'Cases by ZCTA'!C55</f>
        <v>986</v>
      </c>
    </row>
    <row r="56" ht="14.25" customHeight="1">
      <c r="A56" s="238" t="str">
        <f>'Cases by ZCTA'!A56</f>
        <v>02892</v>
      </c>
      <c r="B56" s="239">
        <f>'Cases by ZCTA'!B56</f>
        <v>62</v>
      </c>
      <c r="C56" s="239">
        <f>'Cases by ZCTA'!C56</f>
        <v>1196</v>
      </c>
    </row>
    <row r="57" ht="14.25" customHeight="1">
      <c r="A57" s="238" t="str">
        <f>'Cases by ZCTA'!A57</f>
        <v>02893</v>
      </c>
      <c r="B57" s="239">
        <f>'Cases by ZCTA'!B57</f>
        <v>696</v>
      </c>
      <c r="C57" s="239">
        <f>'Cases by ZCTA'!C57</f>
        <v>2387</v>
      </c>
    </row>
    <row r="58" ht="14.25" customHeight="1">
      <c r="A58" s="238" t="str">
        <f>'Cases by ZCTA'!A58</f>
        <v>02894</v>
      </c>
      <c r="B58" s="239">
        <f>'Cases by ZCTA'!B58</f>
        <v>9</v>
      </c>
      <c r="C58" s="239">
        <f>'Cases by ZCTA'!C58</f>
        <v>1335</v>
      </c>
    </row>
    <row r="59" ht="14.25" customHeight="1">
      <c r="A59" s="238" t="str">
        <f>'Cases by ZCTA'!A59</f>
        <v>02895</v>
      </c>
      <c r="B59" s="239">
        <f>'Cases by ZCTA'!B59</f>
        <v>1208</v>
      </c>
      <c r="C59" s="239">
        <f>'Cases by ZCTA'!C59</f>
        <v>2908</v>
      </c>
    </row>
    <row r="60" ht="14.25" customHeight="1">
      <c r="A60" s="238" t="str">
        <f>'Cases by ZCTA'!A60</f>
        <v>02896</v>
      </c>
      <c r="B60" s="239">
        <f>'Cases by ZCTA'!B60</f>
        <v>274</v>
      </c>
      <c r="C60" s="239">
        <f>'Cases by ZCTA'!C60</f>
        <v>2272</v>
      </c>
    </row>
    <row r="61" ht="14.25" customHeight="1">
      <c r="A61" s="238" t="str">
        <f>'Cases by ZCTA'!A61</f>
        <v>02898</v>
      </c>
      <c r="B61" s="239">
        <f>'Cases by ZCTA'!B61</f>
        <v>25</v>
      </c>
      <c r="C61" s="239">
        <f>'Cases by ZCTA'!C61</f>
        <v>1522</v>
      </c>
    </row>
    <row r="62" ht="14.25" customHeight="1">
      <c r="A62" s="238" t="str">
        <f>'Cases by ZCTA'!A62</f>
        <v>02903</v>
      </c>
      <c r="B62" s="239">
        <f>'Cases by ZCTA'!B62</f>
        <v>355</v>
      </c>
      <c r="C62" s="239">
        <f>'Cases by ZCTA'!C62</f>
        <v>3367</v>
      </c>
    </row>
    <row r="63" ht="14.25" customHeight="1">
      <c r="A63" s="238" t="str">
        <f>'Cases by ZCTA'!A63</f>
        <v>02904</v>
      </c>
      <c r="B63" s="239">
        <f>'Cases by ZCTA'!B63</f>
        <v>1634</v>
      </c>
      <c r="C63" s="239">
        <f>'Cases by ZCTA'!C63</f>
        <v>5354</v>
      </c>
    </row>
    <row r="64" ht="14.25" customHeight="1">
      <c r="A64" s="238" t="str">
        <f>'Cases by ZCTA'!A64</f>
        <v>02905</v>
      </c>
      <c r="B64" s="239">
        <f>'Cases by ZCTA'!B64</f>
        <v>1266</v>
      </c>
      <c r="C64" s="239">
        <f>'Cases by ZCTA'!C64</f>
        <v>4967</v>
      </c>
    </row>
    <row r="65" ht="14.25" customHeight="1">
      <c r="A65" s="238" t="str">
        <f>'Cases by ZCTA'!A65</f>
        <v>02906</v>
      </c>
      <c r="B65" s="239">
        <f>'Cases by ZCTA'!B65</f>
        <v>672</v>
      </c>
      <c r="C65" s="239">
        <f>'Cases by ZCTA'!C65</f>
        <v>2383</v>
      </c>
    </row>
    <row r="66" ht="14.25" customHeight="1">
      <c r="A66" s="238" t="str">
        <f>'Cases by ZCTA'!A66</f>
        <v>02907</v>
      </c>
      <c r="B66" s="239">
        <f>'Cases by ZCTA'!B66</f>
        <v>2479</v>
      </c>
      <c r="C66" s="239">
        <f>'Cases by ZCTA'!C66</f>
        <v>8054</v>
      </c>
    </row>
    <row r="67" ht="14.25" customHeight="1">
      <c r="A67" s="238" t="str">
        <f>'Cases by ZCTA'!A67</f>
        <v>02908</v>
      </c>
      <c r="B67" s="239">
        <f>'Cases by ZCTA'!B67</f>
        <v>2697</v>
      </c>
      <c r="C67" s="239">
        <f>'Cases by ZCTA'!C67</f>
        <v>7183</v>
      </c>
    </row>
    <row r="68" ht="14.25" customHeight="1">
      <c r="A68" s="238" t="str">
        <f>'Cases by ZCTA'!A68</f>
        <v>02909</v>
      </c>
      <c r="B68" s="239">
        <f>'Cases by ZCTA'!B68</f>
        <v>3400</v>
      </c>
      <c r="C68" s="239">
        <f>'Cases by ZCTA'!C68</f>
        <v>8380</v>
      </c>
    </row>
    <row r="69" ht="14.25" customHeight="1">
      <c r="A69" s="238" t="str">
        <f>'Cases by ZCTA'!A69</f>
        <v>02910</v>
      </c>
      <c r="B69" s="239">
        <f>'Cases by ZCTA'!B69</f>
        <v>682</v>
      </c>
      <c r="C69" s="239">
        <f>'Cases by ZCTA'!C69</f>
        <v>3080</v>
      </c>
    </row>
    <row r="70" ht="14.25" customHeight="1">
      <c r="A70" s="238" t="str">
        <f>'Cases by ZCTA'!A70</f>
        <v>02911</v>
      </c>
      <c r="B70" s="239">
        <f>'Cases by ZCTA'!B70</f>
        <v>522</v>
      </c>
      <c r="C70" s="239">
        <f>'Cases by ZCTA'!C70</f>
        <v>3290</v>
      </c>
    </row>
    <row r="71" ht="14.25" customHeight="1">
      <c r="A71" s="238" t="str">
        <f>'Cases by ZCTA'!A71</f>
        <v>02912</v>
      </c>
      <c r="B71" s="239">
        <f>'Cases by ZCTA'!B71</f>
        <v>10</v>
      </c>
      <c r="C71" s="239">
        <f>'Cases by ZCTA'!C71</f>
        <v>735</v>
      </c>
    </row>
    <row r="72" ht="14.25" customHeight="1">
      <c r="A72" s="238" t="str">
        <f>'Cases by ZCTA'!A72</f>
        <v>02914</v>
      </c>
      <c r="B72" s="239">
        <f>'Cases by ZCTA'!B72</f>
        <v>739</v>
      </c>
      <c r="C72" s="239">
        <f>'Cases by ZCTA'!C72</f>
        <v>3421</v>
      </c>
    </row>
    <row r="73" ht="14.25" customHeight="1">
      <c r="A73" s="238" t="str">
        <f>'Cases by ZCTA'!A73</f>
        <v>02915</v>
      </c>
      <c r="B73" s="239">
        <f>'Cases by ZCTA'!B73</f>
        <v>392</v>
      </c>
      <c r="C73" s="239">
        <f>'Cases by ZCTA'!C73</f>
        <v>2355</v>
      </c>
    </row>
    <row r="74" ht="14.25" customHeight="1">
      <c r="A74" s="238" t="str">
        <f>'Cases by ZCTA'!A74</f>
        <v>02916</v>
      </c>
      <c r="B74" s="239">
        <f>'Cases by ZCTA'!B74</f>
        <v>176</v>
      </c>
      <c r="C74" s="239">
        <f>'Cases by ZCTA'!C74</f>
        <v>1939</v>
      </c>
    </row>
    <row r="75" ht="14.25" customHeight="1">
      <c r="A75" s="238" t="str">
        <f>'Cases by ZCTA'!A75</f>
        <v>02917</v>
      </c>
      <c r="B75" s="239">
        <f>'Cases by ZCTA'!B75</f>
        <v>264</v>
      </c>
      <c r="C75" s="239">
        <f>'Cases by ZCTA'!C75</f>
        <v>1913</v>
      </c>
    </row>
    <row r="76" ht="14.25" customHeight="1">
      <c r="A76" s="238" t="str">
        <f>'Cases by ZCTA'!A76</f>
        <v>02919</v>
      </c>
      <c r="B76" s="239">
        <f>'Cases by ZCTA'!B76</f>
        <v>1146</v>
      </c>
      <c r="C76" s="239">
        <f>'Cases by ZCTA'!C76</f>
        <v>3917</v>
      </c>
    </row>
    <row r="77" ht="14.25" customHeight="1">
      <c r="A77" s="238" t="str">
        <f>'Cases by ZCTA'!A77</f>
        <v>02920</v>
      </c>
      <c r="B77" s="239">
        <f>'Cases by ZCTA'!B77</f>
        <v>1436</v>
      </c>
      <c r="C77" s="239">
        <f>'Cases by ZCTA'!C77</f>
        <v>3860</v>
      </c>
    </row>
    <row r="78" ht="14.25" customHeight="1">
      <c r="A78" s="238" t="str">
        <f>'Cases by ZCTA'!A78</f>
        <v>02921</v>
      </c>
      <c r="B78" s="239">
        <f>'Cases by ZCTA'!B78</f>
        <v>314</v>
      </c>
      <c r="C78" s="239">
        <f>'Cases by ZCTA'!C78</f>
        <v>2529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0" t="s">
        <v>1</v>
      </c>
      <c r="C1" s="240" t="s">
        <v>2</v>
      </c>
      <c r="D1" s="240" t="s">
        <v>3</v>
      </c>
      <c r="E1" s="240" t="s">
        <v>4</v>
      </c>
      <c r="F1" s="241" t="s">
        <v>5</v>
      </c>
      <c r="G1" s="241" t="s">
        <v>6</v>
      </c>
      <c r="H1" s="241" t="s">
        <v>7</v>
      </c>
      <c r="I1" s="242" t="s">
        <v>8</v>
      </c>
      <c r="J1" s="243" t="s">
        <v>9</v>
      </c>
      <c r="K1" s="242" t="s">
        <v>10</v>
      </c>
      <c r="L1" s="242" t="s">
        <v>11</v>
      </c>
      <c r="M1" s="242" t="s">
        <v>12</v>
      </c>
      <c r="N1" s="242" t="s">
        <v>13</v>
      </c>
      <c r="O1" s="244" t="s">
        <v>14</v>
      </c>
      <c r="P1" s="244" t="s">
        <v>15</v>
      </c>
      <c r="Q1" s="244" t="s">
        <v>16</v>
      </c>
      <c r="R1" s="244" t="s">
        <v>17</v>
      </c>
      <c r="S1" s="244" t="s">
        <v>18</v>
      </c>
      <c r="T1" s="244" t="s">
        <v>19</v>
      </c>
      <c r="U1" s="244" t="s">
        <v>20</v>
      </c>
      <c r="V1" s="244" t="s">
        <v>21</v>
      </c>
      <c r="W1" s="244" t="s">
        <v>22</v>
      </c>
      <c r="X1" s="244" t="s">
        <v>23</v>
      </c>
      <c r="Y1" s="245" t="s">
        <v>24</v>
      </c>
      <c r="Z1" s="245" t="s">
        <v>25</v>
      </c>
      <c r="AA1" s="246" t="s">
        <v>810</v>
      </c>
      <c r="AB1" s="246" t="s">
        <v>811</v>
      </c>
      <c r="AC1" s="246" t="s">
        <v>812</v>
      </c>
      <c r="AD1" s="246" t="s">
        <v>813</v>
      </c>
    </row>
    <row r="2">
      <c r="A2" s="247">
        <f>Summary!B1</f>
        <v>44147</v>
      </c>
      <c r="B2" s="248">
        <f>Summary!B2</f>
        <v>1021</v>
      </c>
      <c r="C2" s="249">
        <f>Summary!B3</f>
        <v>957</v>
      </c>
      <c r="D2" s="249">
        <f>Summary!B4</f>
        <v>52410</v>
      </c>
      <c r="E2" s="249">
        <f>Summary!B5</f>
        <v>18820</v>
      </c>
      <c r="F2" s="249">
        <f>Summary!B6</f>
        <v>1248876</v>
      </c>
      <c r="G2" s="249">
        <f>Summary!B7</f>
        <v>19841</v>
      </c>
      <c r="H2" s="249">
        <f>Summary!B8</f>
        <v>1301286</v>
      </c>
      <c r="I2" s="249">
        <f>Summary!B9</f>
        <v>936</v>
      </c>
      <c r="J2" s="249">
        <f>Summary!B10</f>
        <v>883</v>
      </c>
      <c r="K2" s="249">
        <f>Summary!B11</f>
        <v>40764</v>
      </c>
      <c r="L2" s="249">
        <f>Summary!B12</f>
        <v>2575</v>
      </c>
      <c r="M2" s="249">
        <f>Summary!B13</f>
        <v>433650</v>
      </c>
      <c r="N2" s="249">
        <f>Summary!B14</f>
        <v>474414</v>
      </c>
      <c r="O2" s="249">
        <f>Summary!B15</f>
        <v>37</v>
      </c>
      <c r="P2" s="249">
        <f>Summary!B16</f>
        <v>3701</v>
      </c>
      <c r="Q2" s="249">
        <f>Summary!B17</f>
        <v>30</v>
      </c>
      <c r="R2" s="249">
        <f>Summary!B18</f>
        <v>3052</v>
      </c>
      <c r="S2" s="249">
        <f>Summary!B19</f>
        <v>0</v>
      </c>
      <c r="T2" s="249">
        <f>Summary!B20</f>
        <v>417</v>
      </c>
      <c r="U2" s="249">
        <f>Summary!B21</f>
        <v>232</v>
      </c>
      <c r="V2" s="249">
        <f>Summary!B22</f>
        <v>227</v>
      </c>
      <c r="W2" s="249">
        <f>Summary!B23</f>
        <v>28</v>
      </c>
      <c r="X2" s="249">
        <f>Summary!B24</f>
        <v>17</v>
      </c>
      <c r="Y2" s="249">
        <f>Summary!B25</f>
        <v>7</v>
      </c>
      <c r="Z2" s="249">
        <f>Summary!B26</f>
        <v>1250</v>
      </c>
      <c r="AA2" s="250">
        <f>I2+E2</f>
        <v>19756</v>
      </c>
      <c r="AB2" s="250">
        <f>K2+F2</f>
        <v>1289640</v>
      </c>
      <c r="AC2" s="251">
        <f>K2/H2</f>
        <v>0.0313259345</v>
      </c>
      <c r="AD2" s="251">
        <f>I2/G2</f>
        <v>0.04717504158</v>
      </c>
    </row>
    <row r="3">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row>
    <row r="4">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row>
    <row r="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row>
    <row r="6">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row>
    <row r="7">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row>
    <row r="8">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252"/>
      <c r="B9" s="252"/>
      <c r="C9" s="252"/>
      <c r="D9" s="252"/>
      <c r="E9" s="252"/>
      <c r="F9" s="252"/>
      <c r="G9" s="252"/>
      <c r="H9" s="252"/>
      <c r="I9" s="252"/>
      <c r="J9" s="252"/>
      <c r="K9" s="252"/>
      <c r="L9" s="252"/>
      <c r="M9" s="252"/>
      <c r="N9" s="252"/>
      <c r="O9" s="252"/>
      <c r="P9" s="252"/>
      <c r="Q9" s="252"/>
      <c r="R9" s="252"/>
      <c r="S9" s="252"/>
      <c r="T9" s="252"/>
      <c r="U9" s="252"/>
      <c r="V9" s="252"/>
      <c r="W9" s="252"/>
      <c r="X9" s="252"/>
      <c r="Y9" s="252"/>
      <c r="Z9" s="252"/>
      <c r="AA9" s="252"/>
      <c r="AB9" s="252"/>
      <c r="AC9" s="252"/>
      <c r="AD9" s="252"/>
    </row>
    <row r="10">
      <c r="A10" s="25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c r="A16" s="252"/>
      <c r="B16" s="252"/>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c r="A17" s="252"/>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c r="A22" s="252"/>
      <c r="B22" s="252"/>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c r="A23" s="252"/>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c r="A24" s="252"/>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c r="A25" s="252"/>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c r="A27" s="252"/>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row>
    <row r="58">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row>
    <row r="59">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row>
    <row r="70">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row>
    <row r="76">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c r="AA76" s="252"/>
      <c r="AB76" s="252"/>
      <c r="AC76" s="252"/>
      <c r="AD76" s="252"/>
    </row>
    <row r="77">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c r="AA77" s="252"/>
      <c r="AB77" s="252"/>
      <c r="AC77" s="252"/>
      <c r="AD77" s="252"/>
    </row>
    <row r="78">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c r="AA78" s="252"/>
      <c r="AB78" s="252"/>
      <c r="AC78" s="252"/>
      <c r="AD78" s="252"/>
    </row>
    <row r="79">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row>
    <row r="80">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c r="AA80" s="252"/>
      <c r="AB80" s="252"/>
      <c r="AC80" s="252"/>
      <c r="AD80" s="252"/>
    </row>
    <row r="8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c r="AA81" s="252"/>
      <c r="AB81" s="252"/>
      <c r="AC81" s="252"/>
      <c r="AD81" s="252"/>
    </row>
    <row r="82">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c r="AA82" s="252"/>
      <c r="AB82" s="252"/>
      <c r="AC82" s="252"/>
      <c r="AD82" s="252"/>
    </row>
    <row r="83">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row>
    <row r="84">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row>
    <row r="85">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row>
    <row r="86">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row>
    <row r="87">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row>
    <row r="88">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row>
    <row r="89">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row>
    <row r="90">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row>
    <row r="9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row>
    <row r="92">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row>
    <row r="93">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row>
    <row r="94">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row>
    <row r="95">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row>
    <row r="96">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row>
    <row r="97">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row>
    <row r="98">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row>
    <row r="99">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row>
    <row r="100">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row>
    <row r="10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row>
    <row r="102">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row>
    <row r="103">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row>
    <row r="104">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row>
    <row r="105">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row>
    <row r="106">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row>
    <row r="107">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row>
    <row r="108">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row>
    <row r="109">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row>
    <row r="110">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row>
    <row r="11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row>
    <row r="112">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row>
    <row r="113">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row>
    <row r="114">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row>
    <row r="115">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row>
    <row r="116">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row>
    <row r="117">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row>
    <row r="118">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row>
    <row r="119">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row>
    <row r="120">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row>
    <row r="12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row>
    <row r="122">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row>
    <row r="123">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row>
    <row r="124">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row>
    <row r="125">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row>
    <row r="126">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row>
    <row r="127">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row>
    <row r="128">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row>
    <row r="129">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row>
    <row r="130">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row>
    <row r="13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row>
    <row r="132">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row>
    <row r="133">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c r="AA133" s="252"/>
      <c r="AB133" s="252"/>
      <c r="AC133" s="252"/>
      <c r="AD133" s="252"/>
    </row>
    <row r="134">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row>
    <row r="135">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row>
    <row r="136">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c r="AA136" s="252"/>
      <c r="AB136" s="252"/>
      <c r="AC136" s="252"/>
      <c r="AD136" s="252"/>
    </row>
    <row r="137">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c r="AA137" s="252"/>
      <c r="AB137" s="252"/>
      <c r="AC137" s="252"/>
      <c r="AD137" s="252"/>
    </row>
    <row r="138">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c r="AA138" s="252"/>
      <c r="AB138" s="252"/>
      <c r="AC138" s="252"/>
      <c r="AD138" s="252"/>
    </row>
    <row r="139">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c r="AA139" s="252"/>
      <c r="AB139" s="252"/>
      <c r="AC139" s="252"/>
      <c r="AD139" s="252"/>
    </row>
    <row r="140">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c r="AA140" s="252"/>
      <c r="AB140" s="252"/>
      <c r="AC140" s="252"/>
      <c r="AD140" s="252"/>
    </row>
    <row r="14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row>
    <row r="142">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c r="AA142" s="252"/>
      <c r="AB142" s="252"/>
      <c r="AC142" s="252"/>
      <c r="AD142" s="252"/>
    </row>
    <row r="143">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c r="AA143" s="252"/>
      <c r="AB143" s="252"/>
      <c r="AC143" s="252"/>
      <c r="AD143" s="252"/>
    </row>
    <row r="144">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c r="AA144" s="252"/>
      <c r="AB144" s="252"/>
      <c r="AC144" s="252"/>
      <c r="AD144" s="252"/>
    </row>
    <row r="145">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c r="AA145" s="252"/>
      <c r="AB145" s="252"/>
      <c r="AC145" s="252"/>
      <c r="AD145" s="252"/>
    </row>
    <row r="146">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c r="AA146" s="252"/>
      <c r="AB146" s="252"/>
      <c r="AC146" s="252"/>
      <c r="AD146" s="252"/>
    </row>
    <row r="147">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c r="AA147" s="252"/>
      <c r="AB147" s="252"/>
      <c r="AC147" s="252"/>
      <c r="AD147" s="252"/>
    </row>
    <row r="148">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c r="AA148" s="252"/>
      <c r="AB148" s="252"/>
      <c r="AC148" s="252"/>
      <c r="AD148" s="252"/>
    </row>
    <row r="149">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c r="AA149" s="252"/>
      <c r="AB149" s="252"/>
      <c r="AC149" s="252"/>
      <c r="AD149" s="252"/>
    </row>
    <row r="150">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c r="AA150" s="252"/>
      <c r="AB150" s="252"/>
      <c r="AC150" s="252"/>
      <c r="AD150" s="252"/>
    </row>
    <row r="15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c r="AA151" s="252"/>
      <c r="AB151" s="252"/>
      <c r="AC151" s="252"/>
      <c r="AD151" s="252"/>
    </row>
    <row r="152">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c r="AA152" s="252"/>
      <c r="AB152" s="252"/>
      <c r="AC152" s="252"/>
      <c r="AD152" s="252"/>
    </row>
    <row r="153">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c r="AA153" s="252"/>
      <c r="AB153" s="252"/>
      <c r="AC153" s="252"/>
      <c r="AD153" s="252"/>
    </row>
    <row r="154">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c r="AA154" s="252"/>
      <c r="AB154" s="252"/>
      <c r="AC154" s="252"/>
      <c r="AD154" s="252"/>
    </row>
    <row r="155">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c r="AA155" s="252"/>
      <c r="AB155" s="252"/>
      <c r="AC155" s="252"/>
      <c r="AD155" s="252"/>
    </row>
    <row r="156">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c r="AA156" s="252"/>
      <c r="AB156" s="252"/>
      <c r="AC156" s="252"/>
      <c r="AD156" s="252"/>
    </row>
    <row r="157">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c r="AA157" s="252"/>
      <c r="AB157" s="252"/>
      <c r="AC157" s="252"/>
      <c r="AD157" s="252"/>
    </row>
    <row r="158">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c r="AA158" s="252"/>
      <c r="AB158" s="252"/>
      <c r="AC158" s="252"/>
      <c r="AD158" s="252"/>
    </row>
    <row r="159">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c r="AA159" s="252"/>
      <c r="AB159" s="252"/>
      <c r="AC159" s="252"/>
      <c r="AD159" s="252"/>
    </row>
    <row r="160">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c r="AA160" s="252"/>
      <c r="AB160" s="252"/>
      <c r="AC160" s="252"/>
      <c r="AD160" s="252"/>
    </row>
    <row r="16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c r="AA161" s="252"/>
      <c r="AB161" s="252"/>
      <c r="AC161" s="252"/>
      <c r="AD161" s="252"/>
    </row>
    <row r="16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c r="AA162" s="252"/>
      <c r="AB162" s="252"/>
      <c r="AC162" s="252"/>
      <c r="AD162" s="252"/>
    </row>
    <row r="163">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c r="AA163" s="252"/>
      <c r="AB163" s="252"/>
      <c r="AC163" s="252"/>
      <c r="AD163" s="252"/>
    </row>
    <row r="164">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c r="AA164" s="252"/>
      <c r="AB164" s="252"/>
      <c r="AC164" s="252"/>
      <c r="AD164" s="252"/>
    </row>
    <row r="165">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c r="AA165" s="252"/>
      <c r="AB165" s="252"/>
      <c r="AC165" s="252"/>
      <c r="AD165" s="252"/>
    </row>
    <row r="166">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c r="AA166" s="252"/>
      <c r="AB166" s="252"/>
      <c r="AC166" s="252"/>
      <c r="AD166" s="252"/>
    </row>
    <row r="167">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c r="AA167" s="252"/>
      <c r="AB167" s="252"/>
      <c r="AC167" s="252"/>
      <c r="AD167" s="252"/>
    </row>
    <row r="168">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c r="AA168" s="252"/>
      <c r="AB168" s="252"/>
      <c r="AC168" s="252"/>
      <c r="AD168" s="252"/>
    </row>
    <row r="169">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c r="AA169" s="252"/>
      <c r="AB169" s="252"/>
      <c r="AC169" s="252"/>
      <c r="AD169" s="252"/>
    </row>
    <row r="170">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c r="AA170" s="252"/>
      <c r="AB170" s="252"/>
      <c r="AC170" s="252"/>
      <c r="AD170" s="252"/>
    </row>
    <row r="17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c r="AA171" s="252"/>
      <c r="AB171" s="252"/>
      <c r="AC171" s="252"/>
      <c r="AD171" s="252"/>
    </row>
    <row r="17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c r="AA172" s="252"/>
      <c r="AB172" s="252"/>
      <c r="AC172" s="252"/>
      <c r="AD172" s="252"/>
    </row>
    <row r="173">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c r="AA173" s="252"/>
      <c r="AB173" s="252"/>
      <c r="AC173" s="252"/>
      <c r="AD173" s="252"/>
    </row>
    <row r="174">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c r="AA174" s="252"/>
      <c r="AB174" s="252"/>
      <c r="AC174" s="252"/>
      <c r="AD174" s="252"/>
    </row>
    <row r="175">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c r="AA175" s="252"/>
      <c r="AB175" s="252"/>
      <c r="AC175" s="252"/>
      <c r="AD175" s="252"/>
    </row>
    <row r="176">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c r="AA176" s="252"/>
      <c r="AB176" s="252"/>
      <c r="AC176" s="252"/>
      <c r="AD176" s="252"/>
    </row>
    <row r="177">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c r="AA177" s="252"/>
      <c r="AB177" s="252"/>
      <c r="AC177" s="252"/>
      <c r="AD177" s="252"/>
    </row>
    <row r="178">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c r="AA178" s="252"/>
      <c r="AB178" s="252"/>
      <c r="AC178" s="252"/>
      <c r="AD178" s="252"/>
    </row>
    <row r="179">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c r="AA179" s="252"/>
      <c r="AB179" s="252"/>
      <c r="AC179" s="252"/>
      <c r="AD179" s="252"/>
    </row>
    <row r="180">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c r="AA180" s="252"/>
      <c r="AB180" s="252"/>
      <c r="AC180" s="252"/>
      <c r="AD180" s="252"/>
    </row>
    <row r="18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c r="AA181" s="252"/>
      <c r="AB181" s="252"/>
      <c r="AC181" s="252"/>
      <c r="AD181" s="252"/>
    </row>
    <row r="18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c r="AA182" s="252"/>
      <c r="AB182" s="252"/>
      <c r="AC182" s="252"/>
      <c r="AD182" s="252"/>
    </row>
    <row r="183">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c r="AA183" s="252"/>
      <c r="AB183" s="252"/>
      <c r="AC183" s="252"/>
      <c r="AD183" s="252"/>
    </row>
    <row r="184">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c r="AA184" s="252"/>
      <c r="AB184" s="252"/>
      <c r="AC184" s="252"/>
      <c r="AD184" s="252"/>
    </row>
    <row r="185">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c r="AA185" s="252"/>
      <c r="AB185" s="252"/>
      <c r="AC185" s="252"/>
      <c r="AD185" s="252"/>
    </row>
    <row r="186">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c r="AA186" s="252"/>
      <c r="AB186" s="252"/>
      <c r="AC186" s="252"/>
      <c r="AD186" s="252"/>
    </row>
    <row r="187">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c r="AA187" s="252"/>
      <c r="AB187" s="252"/>
      <c r="AC187" s="252"/>
      <c r="AD187" s="252"/>
    </row>
    <row r="188">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c r="AA188" s="252"/>
      <c r="AB188" s="252"/>
      <c r="AC188" s="252"/>
      <c r="AD188" s="252"/>
    </row>
    <row r="189">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c r="AA189" s="252"/>
      <c r="AB189" s="252"/>
      <c r="AC189" s="252"/>
      <c r="AD189" s="252"/>
    </row>
    <row r="190">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c r="AA190" s="252"/>
      <c r="AB190" s="252"/>
      <c r="AC190" s="252"/>
      <c r="AD190" s="252"/>
    </row>
    <row r="19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c r="AA191" s="252"/>
      <c r="AB191" s="252"/>
      <c r="AC191" s="252"/>
      <c r="AD191" s="252"/>
    </row>
    <row r="19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c r="AA192" s="252"/>
      <c r="AB192" s="252"/>
      <c r="AC192" s="252"/>
      <c r="AD192" s="252"/>
    </row>
    <row r="193">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c r="AA193" s="252"/>
      <c r="AB193" s="252"/>
      <c r="AC193" s="252"/>
      <c r="AD193" s="252"/>
    </row>
    <row r="194">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c r="AA194" s="252"/>
      <c r="AB194" s="252"/>
      <c r="AC194" s="252"/>
      <c r="AD194" s="252"/>
    </row>
    <row r="195">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c r="AA195" s="252"/>
      <c r="AB195" s="252"/>
      <c r="AC195" s="252"/>
      <c r="AD195" s="252"/>
    </row>
    <row r="196">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c r="AA196" s="252"/>
      <c r="AB196" s="252"/>
      <c r="AC196" s="252"/>
      <c r="AD196" s="252"/>
    </row>
    <row r="197">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c r="AA197" s="252"/>
      <c r="AB197" s="252"/>
      <c r="AC197" s="252"/>
      <c r="AD197" s="252"/>
    </row>
    <row r="198">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c r="AA198" s="252"/>
      <c r="AB198" s="252"/>
      <c r="AC198" s="252"/>
      <c r="AD198" s="252"/>
    </row>
    <row r="199">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c r="AA199" s="252"/>
      <c r="AB199" s="252"/>
      <c r="AC199" s="252"/>
      <c r="AD199" s="252"/>
    </row>
    <row r="200">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c r="AA200" s="252"/>
      <c r="AB200" s="252"/>
      <c r="AC200" s="252"/>
      <c r="AD200" s="252"/>
    </row>
    <row r="20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c r="AA201" s="252"/>
      <c r="AB201" s="252"/>
      <c r="AC201" s="252"/>
      <c r="AD201" s="252"/>
    </row>
    <row r="20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c r="AA202" s="252"/>
      <c r="AB202" s="252"/>
      <c r="AC202" s="252"/>
      <c r="AD202" s="252"/>
    </row>
    <row r="203">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c r="AA203" s="252"/>
      <c r="AB203" s="252"/>
      <c r="AC203" s="252"/>
      <c r="AD203" s="252"/>
    </row>
    <row r="204">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c r="AA204" s="252"/>
      <c r="AB204" s="252"/>
      <c r="AC204" s="252"/>
      <c r="AD204" s="252"/>
    </row>
    <row r="205">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c r="AA205" s="252"/>
      <c r="AB205" s="252"/>
      <c r="AC205" s="252"/>
      <c r="AD205" s="252"/>
    </row>
    <row r="206">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c r="AA206" s="252"/>
      <c r="AB206" s="252"/>
      <c r="AC206" s="252"/>
      <c r="AD206" s="252"/>
    </row>
    <row r="207">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c r="AA207" s="252"/>
      <c r="AB207" s="252"/>
      <c r="AC207" s="252"/>
      <c r="AD207" s="252"/>
    </row>
    <row r="208">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c r="AA208" s="252"/>
      <c r="AB208" s="252"/>
      <c r="AC208" s="252"/>
      <c r="AD208" s="252"/>
    </row>
    <row r="209">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c r="AA209" s="252"/>
      <c r="AB209" s="252"/>
      <c r="AC209" s="252"/>
      <c r="AD209" s="252"/>
    </row>
    <row r="210">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c r="AA210" s="252"/>
      <c r="AB210" s="252"/>
      <c r="AC210" s="252"/>
      <c r="AD210" s="252"/>
    </row>
    <row r="21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c r="AA211" s="252"/>
      <c r="AB211" s="252"/>
      <c r="AC211" s="252"/>
      <c r="AD211" s="252"/>
    </row>
    <row r="2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c r="AA212" s="252"/>
      <c r="AB212" s="252"/>
      <c r="AC212" s="252"/>
      <c r="AD212" s="252"/>
    </row>
    <row r="213">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c r="AA213" s="252"/>
      <c r="AB213" s="252"/>
      <c r="AC213" s="252"/>
      <c r="AD213" s="252"/>
    </row>
    <row r="214">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c r="AA214" s="252"/>
      <c r="AB214" s="252"/>
      <c r="AC214" s="252"/>
      <c r="AD214" s="252"/>
    </row>
    <row r="215">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c r="AA215" s="252"/>
      <c r="AB215" s="252"/>
      <c r="AC215" s="252"/>
      <c r="AD215" s="252"/>
    </row>
    <row r="216">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c r="AA216" s="252"/>
      <c r="AB216" s="252"/>
      <c r="AC216" s="252"/>
      <c r="AD216" s="252"/>
    </row>
    <row r="217">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c r="AA217" s="252"/>
      <c r="AB217" s="252"/>
      <c r="AC217" s="252"/>
      <c r="AD217" s="252"/>
    </row>
    <row r="218">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c r="AA218" s="252"/>
      <c r="AB218" s="252"/>
      <c r="AC218" s="252"/>
      <c r="AD218" s="252"/>
    </row>
    <row r="219">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c r="AA219" s="252"/>
      <c r="AB219" s="252"/>
      <c r="AC219" s="252"/>
      <c r="AD219" s="252"/>
    </row>
    <row r="220">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c r="AA220" s="252"/>
      <c r="AB220" s="252"/>
      <c r="AC220" s="252"/>
      <c r="AD220" s="252"/>
    </row>
    <row r="22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c r="AA221" s="252"/>
      <c r="AB221" s="252"/>
      <c r="AC221" s="252"/>
      <c r="AD221" s="252"/>
    </row>
    <row r="22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c r="AA222" s="252"/>
      <c r="AB222" s="252"/>
      <c r="AC222" s="252"/>
      <c r="AD222" s="252"/>
    </row>
    <row r="223">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c r="AA223" s="252"/>
      <c r="AB223" s="252"/>
      <c r="AC223" s="252"/>
      <c r="AD223" s="252"/>
    </row>
    <row r="224">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c r="AA224" s="252"/>
      <c r="AB224" s="252"/>
      <c r="AC224" s="252"/>
      <c r="AD224" s="252"/>
    </row>
    <row r="225">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c r="AA225" s="252"/>
      <c r="AB225" s="252"/>
      <c r="AC225" s="252"/>
      <c r="AD225" s="252"/>
    </row>
    <row r="226">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2"/>
      <c r="AA226" s="252"/>
      <c r="AB226" s="252"/>
      <c r="AC226" s="252"/>
      <c r="AD226" s="252"/>
    </row>
    <row r="227">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2"/>
      <c r="AA227" s="252"/>
      <c r="AB227" s="252"/>
      <c r="AC227" s="252"/>
      <c r="AD227" s="252"/>
    </row>
    <row r="228">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2"/>
      <c r="AA228" s="252"/>
      <c r="AB228" s="252"/>
      <c r="AC228" s="252"/>
      <c r="AD228" s="252"/>
    </row>
    <row r="229">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2"/>
      <c r="AA229" s="252"/>
      <c r="AB229" s="252"/>
      <c r="AC229" s="252"/>
      <c r="AD229" s="252"/>
    </row>
    <row r="230">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2"/>
      <c r="AA230" s="252"/>
      <c r="AB230" s="252"/>
      <c r="AC230" s="252"/>
      <c r="AD230" s="252"/>
    </row>
    <row r="231">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2"/>
      <c r="AA231" s="252"/>
      <c r="AB231" s="252"/>
      <c r="AC231" s="252"/>
      <c r="AD231" s="252"/>
    </row>
    <row r="23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2"/>
      <c r="AA232" s="252"/>
      <c r="AB232" s="252"/>
      <c r="AC232" s="252"/>
      <c r="AD232" s="252"/>
    </row>
    <row r="233">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2"/>
      <c r="AA233" s="252"/>
      <c r="AB233" s="252"/>
      <c r="AC233" s="252"/>
      <c r="AD233" s="252"/>
    </row>
    <row r="234">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2"/>
      <c r="AA234" s="252"/>
      <c r="AB234" s="252"/>
      <c r="AC234" s="252"/>
      <c r="AD234" s="252"/>
    </row>
    <row r="235">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2"/>
      <c r="AA235" s="252"/>
      <c r="AB235" s="252"/>
      <c r="AC235" s="252"/>
      <c r="AD235" s="252"/>
    </row>
    <row r="236">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2"/>
      <c r="AA236" s="252"/>
      <c r="AB236" s="252"/>
      <c r="AC236" s="252"/>
      <c r="AD236" s="252"/>
    </row>
    <row r="237">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2"/>
      <c r="AA237" s="252"/>
      <c r="AB237" s="252"/>
      <c r="AC237" s="252"/>
      <c r="AD237" s="252"/>
    </row>
    <row r="238">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2"/>
      <c r="AA238" s="252"/>
      <c r="AB238" s="252"/>
      <c r="AC238" s="252"/>
      <c r="AD238" s="252"/>
    </row>
    <row r="239">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2"/>
      <c r="AA239" s="252"/>
      <c r="AB239" s="252"/>
      <c r="AC239" s="252"/>
      <c r="AD239" s="252"/>
    </row>
    <row r="240">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2"/>
      <c r="AA240" s="252"/>
      <c r="AB240" s="252"/>
      <c r="AC240" s="252"/>
      <c r="AD240" s="252"/>
    </row>
    <row r="241">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2"/>
      <c r="AA241" s="252"/>
      <c r="AB241" s="252"/>
      <c r="AC241" s="252"/>
      <c r="AD241" s="252"/>
    </row>
    <row r="24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2"/>
      <c r="AA242" s="252"/>
      <c r="AB242" s="252"/>
      <c r="AC242" s="252"/>
      <c r="AD242" s="252"/>
    </row>
    <row r="243">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c r="AA243" s="252"/>
      <c r="AB243" s="252"/>
      <c r="AC243" s="252"/>
      <c r="AD243" s="252"/>
    </row>
    <row r="244">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c r="AA244" s="252"/>
      <c r="AB244" s="252"/>
      <c r="AC244" s="252"/>
      <c r="AD244" s="252"/>
    </row>
    <row r="245">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c r="AA245" s="252"/>
      <c r="AB245" s="252"/>
      <c r="AC245" s="252"/>
      <c r="AD245" s="252"/>
    </row>
    <row r="246">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c r="AA246" s="252"/>
      <c r="AB246" s="252"/>
      <c r="AC246" s="252"/>
      <c r="AD246" s="252"/>
    </row>
    <row r="247">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c r="AA247" s="252"/>
      <c r="AB247" s="252"/>
      <c r="AC247" s="252"/>
      <c r="AD247" s="252"/>
    </row>
    <row r="248">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c r="AA248" s="252"/>
      <c r="AB248" s="252"/>
      <c r="AC248" s="252"/>
      <c r="AD248" s="252"/>
    </row>
    <row r="249">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c r="AA249" s="252"/>
      <c r="AB249" s="252"/>
      <c r="AC249" s="252"/>
      <c r="AD249" s="252"/>
    </row>
    <row r="250">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c r="AA250" s="252"/>
      <c r="AB250" s="252"/>
      <c r="AC250" s="252"/>
      <c r="AD250" s="252"/>
    </row>
    <row r="251">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c r="AA251" s="252"/>
      <c r="AB251" s="252"/>
      <c r="AC251" s="252"/>
      <c r="AD251" s="252"/>
    </row>
    <row r="25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c r="AA252" s="252"/>
      <c r="AB252" s="252"/>
      <c r="AC252" s="252"/>
      <c r="AD252" s="252"/>
    </row>
    <row r="253">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c r="AA253" s="252"/>
      <c r="AB253" s="252"/>
      <c r="AC253" s="252"/>
      <c r="AD253" s="252"/>
    </row>
    <row r="254">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c r="AA254" s="252"/>
      <c r="AB254" s="252"/>
      <c r="AC254" s="252"/>
      <c r="AD254" s="252"/>
    </row>
    <row r="255">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c r="AA255" s="252"/>
      <c r="AB255" s="252"/>
      <c r="AC255" s="252"/>
      <c r="AD255" s="252"/>
    </row>
    <row r="256">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c r="AA256" s="252"/>
      <c r="AB256" s="252"/>
      <c r="AC256" s="252"/>
      <c r="AD256" s="252"/>
    </row>
    <row r="257">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c r="AA257" s="252"/>
      <c r="AB257" s="252"/>
      <c r="AC257" s="252"/>
      <c r="AD257" s="252"/>
    </row>
    <row r="258">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c r="AA258" s="252"/>
      <c r="AB258" s="252"/>
      <c r="AC258" s="252"/>
      <c r="AD258" s="252"/>
    </row>
    <row r="259">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c r="AA259" s="252"/>
      <c r="AB259" s="252"/>
      <c r="AC259" s="252"/>
      <c r="AD259" s="252"/>
    </row>
    <row r="260">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c r="AA260" s="252"/>
      <c r="AB260" s="252"/>
      <c r="AC260" s="252"/>
      <c r="AD260" s="252"/>
    </row>
    <row r="261">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c r="AA261" s="252"/>
      <c r="AB261" s="252"/>
      <c r="AC261" s="252"/>
      <c r="AD261" s="252"/>
    </row>
    <row r="26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c r="AA262" s="252"/>
      <c r="AB262" s="252"/>
      <c r="AC262" s="252"/>
      <c r="AD262" s="252"/>
    </row>
    <row r="263">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c r="AA263" s="252"/>
      <c r="AB263" s="252"/>
      <c r="AC263" s="252"/>
      <c r="AD263" s="252"/>
    </row>
    <row r="264">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c r="AA264" s="252"/>
      <c r="AB264" s="252"/>
      <c r="AC264" s="252"/>
      <c r="AD264" s="252"/>
    </row>
    <row r="265">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c r="AA265" s="252"/>
      <c r="AB265" s="252"/>
      <c r="AC265" s="252"/>
      <c r="AD265" s="252"/>
    </row>
    <row r="266">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252"/>
      <c r="AD266" s="252"/>
    </row>
    <row r="267">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c r="AA267" s="252"/>
      <c r="AB267" s="252"/>
      <c r="AC267" s="252"/>
      <c r="AD267" s="252"/>
    </row>
    <row r="268">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c r="AA268" s="252"/>
      <c r="AB268" s="252"/>
      <c r="AC268" s="252"/>
      <c r="AD268" s="252"/>
    </row>
    <row r="269">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c r="AA269" s="252"/>
      <c r="AB269" s="252"/>
      <c r="AC269" s="252"/>
      <c r="AD269" s="252"/>
    </row>
    <row r="270">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c r="AA270" s="252"/>
      <c r="AB270" s="252"/>
      <c r="AC270" s="252"/>
      <c r="AD270" s="252"/>
    </row>
    <row r="27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c r="AA271" s="252"/>
      <c r="AB271" s="252"/>
      <c r="AC271" s="252"/>
      <c r="AD271" s="252"/>
    </row>
    <row r="27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c r="AA272" s="252"/>
      <c r="AB272" s="252"/>
      <c r="AC272" s="252"/>
      <c r="AD272" s="252"/>
    </row>
    <row r="273">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c r="AA273" s="252"/>
      <c r="AB273" s="252"/>
      <c r="AC273" s="252"/>
      <c r="AD273" s="252"/>
    </row>
    <row r="274">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252"/>
      <c r="AD274" s="252"/>
    </row>
    <row r="275">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c r="AA275" s="252"/>
      <c r="AB275" s="252"/>
      <c r="AC275" s="252"/>
      <c r="AD275" s="252"/>
    </row>
    <row r="276">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c r="AA276" s="252"/>
      <c r="AB276" s="252"/>
      <c r="AC276" s="252"/>
      <c r="AD276" s="252"/>
    </row>
    <row r="277">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c r="AA277" s="252"/>
      <c r="AB277" s="252"/>
      <c r="AC277" s="252"/>
      <c r="AD277" s="252"/>
    </row>
    <row r="278">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c r="AA278" s="252"/>
      <c r="AB278" s="252"/>
      <c r="AC278" s="252"/>
      <c r="AD278" s="252"/>
    </row>
    <row r="279">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c r="AA279" s="252"/>
      <c r="AB279" s="252"/>
      <c r="AC279" s="252"/>
      <c r="AD279" s="252"/>
    </row>
    <row r="280">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c r="AA280" s="252"/>
      <c r="AB280" s="252"/>
      <c r="AC280" s="252"/>
      <c r="AD280" s="252"/>
    </row>
    <row r="28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c r="AA281" s="252"/>
      <c r="AB281" s="252"/>
      <c r="AC281" s="252"/>
      <c r="AD281" s="252"/>
    </row>
    <row r="28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c r="AA282" s="252"/>
      <c r="AB282" s="252"/>
      <c r="AC282" s="252"/>
      <c r="AD282" s="252"/>
    </row>
    <row r="283">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c r="AA283" s="252"/>
      <c r="AB283" s="252"/>
      <c r="AC283" s="252"/>
      <c r="AD283" s="252"/>
    </row>
    <row r="284">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c r="AD284" s="252"/>
    </row>
    <row r="285">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c r="AA285" s="252"/>
      <c r="AB285" s="252"/>
      <c r="AC285" s="252"/>
      <c r="AD285" s="252"/>
    </row>
    <row r="286">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c r="AA286" s="252"/>
      <c r="AB286" s="252"/>
      <c r="AC286" s="252"/>
      <c r="AD286" s="252"/>
    </row>
    <row r="287">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c r="AA287" s="252"/>
      <c r="AB287" s="252"/>
      <c r="AC287" s="252"/>
      <c r="AD287" s="252"/>
    </row>
    <row r="288">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c r="AA288" s="252"/>
      <c r="AB288" s="252"/>
      <c r="AC288" s="252"/>
      <c r="AD288" s="252"/>
    </row>
    <row r="289">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c r="AA289" s="252"/>
      <c r="AB289" s="252"/>
      <c r="AC289" s="252"/>
      <c r="AD289" s="252"/>
    </row>
    <row r="290">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c r="AA290" s="252"/>
      <c r="AB290" s="252"/>
      <c r="AC290" s="252"/>
      <c r="AD290" s="252"/>
    </row>
    <row r="29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c r="AA291" s="252"/>
      <c r="AB291" s="252"/>
      <c r="AC291" s="252"/>
      <c r="AD291" s="252"/>
    </row>
    <row r="29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c r="AA292" s="252"/>
      <c r="AB292" s="252"/>
      <c r="AC292" s="252"/>
      <c r="AD292" s="252"/>
    </row>
    <row r="293">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c r="AA293" s="252"/>
      <c r="AB293" s="252"/>
      <c r="AC293" s="252"/>
      <c r="AD293" s="252"/>
    </row>
    <row r="294">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c r="AD294" s="252"/>
    </row>
    <row r="295">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c r="AA295" s="252"/>
      <c r="AB295" s="252"/>
      <c r="AC295" s="252"/>
      <c r="AD295" s="252"/>
    </row>
    <row r="296">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c r="AA296" s="252"/>
      <c r="AB296" s="252"/>
      <c r="AC296" s="252"/>
      <c r="AD296" s="252"/>
    </row>
    <row r="297">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c r="AA297" s="252"/>
      <c r="AB297" s="252"/>
      <c r="AC297" s="252"/>
      <c r="AD297" s="252"/>
    </row>
    <row r="298">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c r="AA298" s="252"/>
      <c r="AB298" s="252"/>
      <c r="AC298" s="252"/>
      <c r="AD298" s="252"/>
    </row>
    <row r="299">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c r="AA299" s="252"/>
      <c r="AB299" s="252"/>
      <c r="AC299" s="252"/>
      <c r="AD299" s="252"/>
    </row>
    <row r="300">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c r="AA300" s="252"/>
      <c r="AB300" s="252"/>
      <c r="AC300" s="252"/>
      <c r="AD300" s="252"/>
    </row>
    <row r="30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c r="AA301" s="252"/>
      <c r="AB301" s="252"/>
      <c r="AC301" s="252"/>
      <c r="AD301" s="252"/>
    </row>
    <row r="30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c r="AA302" s="252"/>
      <c r="AB302" s="252"/>
      <c r="AC302" s="252"/>
      <c r="AD302" s="252"/>
    </row>
    <row r="303">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c r="AA303" s="252"/>
      <c r="AB303" s="252"/>
      <c r="AC303" s="252"/>
      <c r="AD303" s="252"/>
    </row>
    <row r="304">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c r="AA304" s="252"/>
      <c r="AB304" s="252"/>
      <c r="AC304" s="252"/>
      <c r="AD304" s="252"/>
    </row>
    <row r="305">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c r="AA305" s="252"/>
      <c r="AB305" s="252"/>
      <c r="AC305" s="252"/>
      <c r="AD305" s="252"/>
    </row>
    <row r="306">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c r="AA306" s="252"/>
      <c r="AB306" s="252"/>
      <c r="AC306" s="252"/>
      <c r="AD306" s="252"/>
    </row>
    <row r="307">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c r="AA307" s="252"/>
      <c r="AB307" s="252"/>
      <c r="AC307" s="252"/>
      <c r="AD307" s="252"/>
    </row>
    <row r="308">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c r="AA308" s="252"/>
      <c r="AB308" s="252"/>
      <c r="AC308" s="252"/>
      <c r="AD308" s="252"/>
    </row>
    <row r="309">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c r="AA309" s="252"/>
      <c r="AB309" s="252"/>
      <c r="AC309" s="252"/>
      <c r="AD309" s="252"/>
    </row>
    <row r="310">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c r="AA310" s="252"/>
      <c r="AB310" s="252"/>
      <c r="AC310" s="252"/>
      <c r="AD310" s="252"/>
    </row>
    <row r="31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c r="AA311" s="252"/>
      <c r="AB311" s="252"/>
      <c r="AC311" s="252"/>
      <c r="AD311" s="252"/>
    </row>
    <row r="3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c r="AA312" s="252"/>
      <c r="AB312" s="252"/>
      <c r="AC312" s="252"/>
      <c r="AD312" s="252"/>
    </row>
    <row r="313">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c r="AA313" s="252"/>
      <c r="AB313" s="252"/>
      <c r="AC313" s="252"/>
      <c r="AD313" s="252"/>
    </row>
    <row r="314">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c r="AA314" s="252"/>
      <c r="AB314" s="252"/>
      <c r="AC314" s="252"/>
      <c r="AD314" s="252"/>
    </row>
    <row r="315">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c r="AA315" s="252"/>
      <c r="AB315" s="252"/>
      <c r="AC315" s="252"/>
      <c r="AD315" s="252"/>
    </row>
    <row r="316">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c r="AA316" s="252"/>
      <c r="AB316" s="252"/>
      <c r="AC316" s="252"/>
      <c r="AD316" s="252"/>
    </row>
    <row r="317">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c r="AA317" s="252"/>
      <c r="AB317" s="252"/>
      <c r="AC317" s="252"/>
      <c r="AD317" s="252"/>
    </row>
    <row r="318">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c r="AA318" s="252"/>
      <c r="AB318" s="252"/>
      <c r="AC318" s="252"/>
      <c r="AD318" s="252"/>
    </row>
    <row r="319">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c r="AD319" s="252"/>
    </row>
    <row r="320">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c r="AA320" s="252"/>
      <c r="AB320" s="252"/>
      <c r="AC320" s="252"/>
      <c r="AD320" s="252"/>
    </row>
    <row r="32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c r="AA321" s="252"/>
      <c r="AB321" s="252"/>
      <c r="AC321" s="252"/>
      <c r="AD321" s="252"/>
    </row>
    <row r="32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c r="AA322" s="252"/>
      <c r="AB322" s="252"/>
      <c r="AC322" s="252"/>
      <c r="AD322" s="252"/>
    </row>
    <row r="323">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c r="AA323" s="252"/>
      <c r="AB323" s="252"/>
      <c r="AC323" s="252"/>
      <c r="AD323" s="252"/>
    </row>
    <row r="324">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c r="AA324" s="252"/>
      <c r="AB324" s="252"/>
      <c r="AC324" s="252"/>
      <c r="AD324" s="252"/>
    </row>
    <row r="325">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c r="AA325" s="252"/>
      <c r="AB325" s="252"/>
      <c r="AC325" s="252"/>
      <c r="AD325" s="252"/>
    </row>
    <row r="326">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c r="AA326" s="252"/>
      <c r="AB326" s="252"/>
      <c r="AC326" s="252"/>
      <c r="AD326" s="252"/>
    </row>
    <row r="327">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c r="AA327" s="252"/>
      <c r="AB327" s="252"/>
      <c r="AC327" s="252"/>
      <c r="AD327" s="252"/>
    </row>
    <row r="328">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c r="AA328" s="252"/>
      <c r="AB328" s="252"/>
      <c r="AC328" s="252"/>
      <c r="AD328" s="252"/>
    </row>
    <row r="329">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c r="AD329" s="252"/>
    </row>
    <row r="330">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c r="AA330" s="252"/>
      <c r="AB330" s="252"/>
      <c r="AC330" s="252"/>
      <c r="AD330" s="252"/>
    </row>
    <row r="33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c r="AA331" s="252"/>
      <c r="AB331" s="252"/>
      <c r="AC331" s="252"/>
      <c r="AD331" s="252"/>
    </row>
    <row r="33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c r="AD332" s="252"/>
    </row>
    <row r="333">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c r="AA333" s="252"/>
      <c r="AB333" s="252"/>
      <c r="AC333" s="252"/>
      <c r="AD333" s="252"/>
    </row>
    <row r="334">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c r="AA334" s="252"/>
      <c r="AB334" s="252"/>
      <c r="AC334" s="252"/>
      <c r="AD334" s="252"/>
    </row>
    <row r="335">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252"/>
      <c r="AB335" s="252"/>
      <c r="AC335" s="252"/>
      <c r="AD335" s="252"/>
    </row>
    <row r="336">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c r="AA336" s="252"/>
      <c r="AB336" s="252"/>
      <c r="AC336" s="252"/>
      <c r="AD336" s="252"/>
    </row>
    <row r="337">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c r="AA337" s="252"/>
      <c r="AB337" s="252"/>
      <c r="AC337" s="252"/>
      <c r="AD337" s="252"/>
    </row>
    <row r="338">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c r="AA338" s="252"/>
      <c r="AB338" s="252"/>
      <c r="AC338" s="252"/>
      <c r="AD338" s="252"/>
    </row>
    <row r="339">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c r="AA339" s="252"/>
      <c r="AB339" s="252"/>
      <c r="AC339" s="252"/>
      <c r="AD339" s="252"/>
    </row>
    <row r="340">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c r="AA340" s="252"/>
      <c r="AB340" s="252"/>
      <c r="AC340" s="252"/>
      <c r="AD340" s="252"/>
    </row>
    <row r="34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c r="AA341" s="252"/>
      <c r="AB341" s="252"/>
      <c r="AC341" s="252"/>
      <c r="AD341" s="252"/>
    </row>
    <row r="34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c r="AA342" s="252"/>
      <c r="AB342" s="252"/>
      <c r="AC342" s="252"/>
      <c r="AD342" s="252"/>
    </row>
    <row r="343">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c r="AA343" s="252"/>
      <c r="AB343" s="252"/>
      <c r="AC343" s="252"/>
      <c r="AD343" s="252"/>
    </row>
    <row r="344">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c r="AA344" s="252"/>
      <c r="AB344" s="252"/>
      <c r="AC344" s="252"/>
      <c r="AD344" s="252"/>
    </row>
    <row r="345">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c r="AD345" s="252"/>
    </row>
    <row r="346">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c r="AA346" s="252"/>
      <c r="AB346" s="252"/>
      <c r="AC346" s="252"/>
      <c r="AD346" s="252"/>
    </row>
    <row r="347">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c r="AA347" s="252"/>
      <c r="AB347" s="252"/>
      <c r="AC347" s="252"/>
      <c r="AD347" s="252"/>
    </row>
    <row r="348">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c r="AA348" s="252"/>
      <c r="AB348" s="252"/>
      <c r="AC348" s="252"/>
      <c r="AD348" s="252"/>
    </row>
    <row r="349">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c r="AA349" s="252"/>
      <c r="AB349" s="252"/>
      <c r="AC349" s="252"/>
      <c r="AD349" s="252"/>
    </row>
    <row r="350">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c r="AA350" s="252"/>
      <c r="AB350" s="252"/>
      <c r="AC350" s="252"/>
      <c r="AD350" s="252"/>
    </row>
    <row r="35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c r="AA351" s="252"/>
      <c r="AB351" s="252"/>
      <c r="AC351" s="252"/>
      <c r="AD351" s="252"/>
    </row>
    <row r="35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c r="AA352" s="252"/>
      <c r="AB352" s="252"/>
      <c r="AC352" s="252"/>
      <c r="AD352" s="252"/>
    </row>
    <row r="353">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c r="AA353" s="252"/>
      <c r="AB353" s="252"/>
      <c r="AC353" s="252"/>
      <c r="AD353" s="252"/>
    </row>
    <row r="354">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c r="AA354" s="252"/>
      <c r="AB354" s="252"/>
      <c r="AC354" s="252"/>
      <c r="AD354" s="252"/>
    </row>
    <row r="355">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c r="AA355" s="252"/>
      <c r="AB355" s="252"/>
      <c r="AC355" s="252"/>
      <c r="AD355" s="252"/>
    </row>
    <row r="356">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c r="AA356" s="252"/>
      <c r="AB356" s="252"/>
      <c r="AC356" s="252"/>
      <c r="AD356" s="252"/>
    </row>
    <row r="357">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c r="AA357" s="252"/>
      <c r="AB357" s="252"/>
      <c r="AC357" s="252"/>
      <c r="AD357" s="252"/>
    </row>
    <row r="358">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c r="AA358" s="252"/>
      <c r="AB358" s="252"/>
      <c r="AC358" s="252"/>
      <c r="AD358" s="252"/>
    </row>
    <row r="359">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c r="AA359" s="252"/>
      <c r="AB359" s="252"/>
      <c r="AC359" s="252"/>
      <c r="AD359" s="252"/>
    </row>
    <row r="360">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c r="AA360" s="252"/>
      <c r="AB360" s="252"/>
      <c r="AC360" s="252"/>
      <c r="AD360" s="252"/>
    </row>
    <row r="36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c r="AA361" s="252"/>
      <c r="AB361" s="252"/>
      <c r="AC361" s="252"/>
      <c r="AD361" s="252"/>
    </row>
    <row r="36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c r="AA362" s="252"/>
      <c r="AB362" s="252"/>
      <c r="AC362" s="252"/>
      <c r="AD362" s="252"/>
    </row>
    <row r="363">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c r="AA363" s="252"/>
      <c r="AB363" s="252"/>
      <c r="AC363" s="252"/>
      <c r="AD363" s="252"/>
    </row>
    <row r="364">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c r="AA364" s="252"/>
      <c r="AB364" s="252"/>
      <c r="AC364" s="252"/>
      <c r="AD364" s="252"/>
    </row>
    <row r="365">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c r="AA365" s="252"/>
      <c r="AB365" s="252"/>
      <c r="AC365" s="252"/>
      <c r="AD365" s="252"/>
    </row>
    <row r="366">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c r="AA366" s="252"/>
      <c r="AB366" s="252"/>
      <c r="AC366" s="252"/>
      <c r="AD366" s="252"/>
    </row>
    <row r="367">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c r="AA367" s="252"/>
      <c r="AB367" s="252"/>
      <c r="AC367" s="252"/>
      <c r="AD367" s="252"/>
    </row>
    <row r="368">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c r="AA368" s="252"/>
      <c r="AB368" s="252"/>
      <c r="AC368" s="252"/>
      <c r="AD368" s="252"/>
    </row>
    <row r="369">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c r="AA369" s="252"/>
      <c r="AB369" s="252"/>
      <c r="AC369" s="252"/>
      <c r="AD369" s="252"/>
    </row>
    <row r="370">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c r="AA370" s="252"/>
      <c r="AB370" s="252"/>
      <c r="AC370" s="252"/>
      <c r="AD370" s="252"/>
    </row>
    <row r="37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c r="AA371" s="252"/>
      <c r="AB371" s="252"/>
      <c r="AC371" s="252"/>
      <c r="AD371" s="252"/>
    </row>
    <row r="37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c r="AA372" s="252"/>
      <c r="AB372" s="252"/>
      <c r="AC372" s="252"/>
      <c r="AD372" s="252"/>
    </row>
    <row r="373">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c r="AA373" s="252"/>
      <c r="AB373" s="252"/>
      <c r="AC373" s="252"/>
      <c r="AD373" s="252"/>
    </row>
    <row r="374">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c r="AA374" s="252"/>
      <c r="AB374" s="252"/>
      <c r="AC374" s="252"/>
      <c r="AD374" s="252"/>
    </row>
    <row r="375">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c r="AD375" s="252"/>
    </row>
    <row r="376">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c r="AA376" s="252"/>
      <c r="AB376" s="252"/>
      <c r="AC376" s="252"/>
      <c r="AD376" s="252"/>
    </row>
    <row r="377">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c r="AA377" s="252"/>
      <c r="AB377" s="252"/>
      <c r="AC377" s="252"/>
      <c r="AD377" s="252"/>
    </row>
    <row r="378">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c r="AA378" s="252"/>
      <c r="AB378" s="252"/>
      <c r="AC378" s="252"/>
      <c r="AD378" s="252"/>
    </row>
    <row r="379">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c r="AA379" s="252"/>
      <c r="AB379" s="252"/>
      <c r="AC379" s="252"/>
      <c r="AD379" s="252"/>
    </row>
    <row r="380">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c r="AA380" s="252"/>
      <c r="AB380" s="252"/>
      <c r="AC380" s="252"/>
      <c r="AD380" s="252"/>
    </row>
    <row r="38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252"/>
      <c r="AC381" s="252"/>
      <c r="AD381" s="252"/>
    </row>
    <row r="38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c r="AA382" s="252"/>
      <c r="AB382" s="252"/>
      <c r="AC382" s="252"/>
      <c r="AD382" s="252"/>
    </row>
    <row r="383">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252"/>
      <c r="AB383" s="252"/>
      <c r="AC383" s="252"/>
      <c r="AD383" s="252"/>
    </row>
    <row r="384">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c r="AA384" s="252"/>
      <c r="AB384" s="252"/>
      <c r="AC384" s="252"/>
      <c r="AD384" s="252"/>
    </row>
    <row r="385">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c r="AA385" s="252"/>
      <c r="AB385" s="252"/>
      <c r="AC385" s="252"/>
      <c r="AD385" s="252"/>
    </row>
    <row r="386">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c r="AA386" s="252"/>
      <c r="AB386" s="252"/>
      <c r="AC386" s="252"/>
      <c r="AD386" s="252"/>
    </row>
    <row r="387">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c r="AA387" s="252"/>
      <c r="AB387" s="252"/>
      <c r="AC387" s="252"/>
      <c r="AD387" s="252"/>
    </row>
    <row r="388">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252"/>
      <c r="AB388" s="252"/>
      <c r="AC388" s="252"/>
      <c r="AD388" s="252"/>
    </row>
    <row r="389">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c r="AA389" s="252"/>
      <c r="AB389" s="252"/>
      <c r="AC389" s="252"/>
      <c r="AD389" s="252"/>
    </row>
    <row r="390">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c r="AA390" s="252"/>
      <c r="AB390" s="252"/>
      <c r="AC390" s="252"/>
      <c r="AD390" s="252"/>
    </row>
    <row r="39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c r="AA391" s="252"/>
      <c r="AB391" s="252"/>
      <c r="AC391" s="252"/>
      <c r="AD391" s="252"/>
    </row>
    <row r="39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c r="AA392" s="252"/>
      <c r="AB392" s="252"/>
      <c r="AC392" s="252"/>
      <c r="AD392" s="252"/>
    </row>
    <row r="393">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c r="AA393" s="252"/>
      <c r="AB393" s="252"/>
      <c r="AC393" s="252"/>
      <c r="AD393" s="252"/>
    </row>
    <row r="394">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c r="AA394" s="252"/>
      <c r="AB394" s="252"/>
      <c r="AC394" s="252"/>
      <c r="AD394" s="252"/>
    </row>
    <row r="395">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c r="AA395" s="252"/>
      <c r="AB395" s="252"/>
      <c r="AC395" s="252"/>
      <c r="AD395" s="252"/>
    </row>
    <row r="396">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c r="AA396" s="252"/>
      <c r="AB396" s="252"/>
      <c r="AC396" s="252"/>
      <c r="AD396" s="252"/>
    </row>
    <row r="397">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c r="AA397" s="252"/>
      <c r="AB397" s="252"/>
      <c r="AC397" s="252"/>
      <c r="AD397" s="252"/>
    </row>
    <row r="398">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c r="AA398" s="252"/>
      <c r="AB398" s="252"/>
      <c r="AC398" s="252"/>
      <c r="AD398" s="252"/>
    </row>
    <row r="399">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c r="AA399" s="252"/>
      <c r="AB399" s="252"/>
      <c r="AC399" s="252"/>
      <c r="AD399" s="252"/>
    </row>
    <row r="400">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c r="AA400" s="252"/>
      <c r="AB400" s="252"/>
      <c r="AC400" s="252"/>
      <c r="AD400" s="252"/>
    </row>
    <row r="40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c r="AA401" s="252"/>
      <c r="AB401" s="252"/>
      <c r="AC401" s="252"/>
      <c r="AD401" s="252"/>
    </row>
    <row r="40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c r="AA402" s="252"/>
      <c r="AB402" s="252"/>
      <c r="AC402" s="252"/>
      <c r="AD402" s="252"/>
    </row>
    <row r="403">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c r="AA403" s="252"/>
      <c r="AB403" s="252"/>
      <c r="AC403" s="252"/>
      <c r="AD403" s="252"/>
    </row>
    <row r="404">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c r="AA404" s="252"/>
      <c r="AB404" s="252"/>
      <c r="AC404" s="252"/>
      <c r="AD404" s="252"/>
    </row>
    <row r="405">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c r="AA405" s="252"/>
      <c r="AB405" s="252"/>
      <c r="AC405" s="252"/>
      <c r="AD405" s="252"/>
    </row>
    <row r="406">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c r="AD406" s="252"/>
    </row>
    <row r="407">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c r="AA407" s="252"/>
      <c r="AB407" s="252"/>
      <c r="AC407" s="252"/>
      <c r="AD407" s="252"/>
    </row>
    <row r="408">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c r="AA408" s="252"/>
      <c r="AB408" s="252"/>
      <c r="AC408" s="252"/>
      <c r="AD408" s="252"/>
    </row>
    <row r="409">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c r="AA409" s="252"/>
      <c r="AB409" s="252"/>
      <c r="AC409" s="252"/>
      <c r="AD409" s="252"/>
    </row>
    <row r="410">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c r="AA410" s="252"/>
      <c r="AB410" s="252"/>
      <c r="AC410" s="252"/>
      <c r="AD410" s="252"/>
    </row>
    <row r="41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c r="AA411" s="252"/>
      <c r="AB411" s="252"/>
      <c r="AC411" s="252"/>
      <c r="AD411" s="252"/>
    </row>
    <row r="4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c r="AA412" s="252"/>
      <c r="AB412" s="252"/>
      <c r="AC412" s="252"/>
      <c r="AD412" s="252"/>
    </row>
    <row r="413">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c r="AA413" s="252"/>
      <c r="AB413" s="252"/>
      <c r="AC413" s="252"/>
      <c r="AD413" s="252"/>
    </row>
    <row r="414">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c r="AA414" s="252"/>
      <c r="AB414" s="252"/>
      <c r="AC414" s="252"/>
      <c r="AD414" s="252"/>
    </row>
    <row r="415">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c r="AA415" s="252"/>
      <c r="AB415" s="252"/>
      <c r="AC415" s="252"/>
      <c r="AD415" s="252"/>
    </row>
    <row r="416">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c r="AA416" s="252"/>
      <c r="AB416" s="252"/>
      <c r="AC416" s="252"/>
      <c r="AD416" s="252"/>
    </row>
    <row r="417">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c r="AA417" s="252"/>
      <c r="AB417" s="252"/>
      <c r="AC417" s="252"/>
      <c r="AD417" s="252"/>
    </row>
    <row r="418">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c r="AA418" s="252"/>
      <c r="AB418" s="252"/>
      <c r="AC418" s="252"/>
      <c r="AD418" s="252"/>
    </row>
    <row r="419">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c r="AA419" s="252"/>
      <c r="AB419" s="252"/>
      <c r="AC419" s="252"/>
      <c r="AD419" s="252"/>
    </row>
    <row r="420">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c r="AA420" s="252"/>
      <c r="AB420" s="252"/>
      <c r="AC420" s="252"/>
      <c r="AD420" s="252"/>
    </row>
    <row r="42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c r="AA421" s="252"/>
      <c r="AB421" s="252"/>
      <c r="AC421" s="252"/>
      <c r="AD421" s="252"/>
    </row>
    <row r="42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c r="AA422" s="252"/>
      <c r="AB422" s="252"/>
      <c r="AC422" s="252"/>
      <c r="AD422" s="252"/>
    </row>
    <row r="423">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c r="AA423" s="252"/>
      <c r="AB423" s="252"/>
      <c r="AC423" s="252"/>
      <c r="AD423" s="252"/>
    </row>
    <row r="424">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c r="AA424" s="252"/>
      <c r="AB424" s="252"/>
      <c r="AC424" s="252"/>
      <c r="AD424" s="252"/>
    </row>
    <row r="425">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c r="AA425" s="252"/>
      <c r="AB425" s="252"/>
      <c r="AC425" s="252"/>
      <c r="AD425" s="252"/>
    </row>
    <row r="426">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c r="AA426" s="252"/>
      <c r="AB426" s="252"/>
      <c r="AC426" s="252"/>
      <c r="AD426" s="252"/>
    </row>
    <row r="427">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c r="AA427" s="252"/>
      <c r="AB427" s="252"/>
      <c r="AC427" s="252"/>
      <c r="AD427" s="252"/>
    </row>
    <row r="428">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c r="AA428" s="252"/>
      <c r="AB428" s="252"/>
      <c r="AC428" s="252"/>
      <c r="AD428" s="252"/>
    </row>
    <row r="429">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c r="AA429" s="252"/>
      <c r="AB429" s="252"/>
      <c r="AC429" s="252"/>
      <c r="AD429" s="252"/>
    </row>
    <row r="430">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c r="AA430" s="252"/>
      <c r="AB430" s="252"/>
      <c r="AC430" s="252"/>
      <c r="AD430" s="252"/>
    </row>
    <row r="43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c r="AA431" s="252"/>
      <c r="AB431" s="252"/>
      <c r="AC431" s="252"/>
      <c r="AD431" s="252"/>
    </row>
    <row r="43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c r="AA432" s="252"/>
      <c r="AB432" s="252"/>
      <c r="AC432" s="252"/>
      <c r="AD432" s="252"/>
    </row>
    <row r="433">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c r="AA433" s="252"/>
      <c r="AB433" s="252"/>
      <c r="AC433" s="252"/>
      <c r="AD433" s="252"/>
    </row>
    <row r="434">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c r="AA434" s="252"/>
      <c r="AB434" s="252"/>
      <c r="AC434" s="252"/>
      <c r="AD434" s="252"/>
    </row>
    <row r="435">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c r="AA435" s="252"/>
      <c r="AB435" s="252"/>
      <c r="AC435" s="252"/>
      <c r="AD435" s="252"/>
    </row>
    <row r="436">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c r="AA436" s="252"/>
      <c r="AB436" s="252"/>
      <c r="AC436" s="252"/>
      <c r="AD436" s="252"/>
    </row>
    <row r="437">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c r="AA437" s="252"/>
      <c r="AB437" s="252"/>
      <c r="AC437" s="252"/>
      <c r="AD437" s="252"/>
    </row>
    <row r="438">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c r="AA438" s="252"/>
      <c r="AB438" s="252"/>
      <c r="AC438" s="252"/>
      <c r="AD438" s="252"/>
    </row>
    <row r="439">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c r="AA439" s="252"/>
      <c r="AB439" s="252"/>
      <c r="AC439" s="252"/>
      <c r="AD439" s="252"/>
    </row>
    <row r="440">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c r="AA440" s="252"/>
      <c r="AB440" s="252"/>
      <c r="AC440" s="252"/>
      <c r="AD440" s="252"/>
    </row>
    <row r="44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c r="AA441" s="252"/>
      <c r="AB441" s="252"/>
      <c r="AC441" s="252"/>
      <c r="AD441" s="252"/>
    </row>
    <row r="44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c r="AA442" s="252"/>
      <c r="AB442" s="252"/>
      <c r="AC442" s="252"/>
      <c r="AD442" s="252"/>
    </row>
    <row r="443">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c r="AA443" s="252"/>
      <c r="AB443" s="252"/>
      <c r="AC443" s="252"/>
      <c r="AD443" s="252"/>
    </row>
    <row r="444">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c r="AA444" s="252"/>
      <c r="AB444" s="252"/>
      <c r="AC444" s="252"/>
      <c r="AD444" s="252"/>
    </row>
    <row r="445">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c r="AA445" s="252"/>
      <c r="AB445" s="252"/>
      <c r="AC445" s="252"/>
      <c r="AD445" s="252"/>
    </row>
    <row r="446">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c r="AA446" s="252"/>
      <c r="AB446" s="252"/>
      <c r="AC446" s="252"/>
      <c r="AD446" s="252"/>
    </row>
    <row r="447">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c r="AA447" s="252"/>
      <c r="AB447" s="252"/>
      <c r="AC447" s="252"/>
      <c r="AD447" s="252"/>
    </row>
    <row r="448">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c r="AA448" s="252"/>
      <c r="AB448" s="252"/>
      <c r="AC448" s="252"/>
      <c r="AD448" s="252"/>
    </row>
    <row r="449">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c r="AA449" s="252"/>
      <c r="AB449" s="252"/>
      <c r="AC449" s="252"/>
      <c r="AD449" s="252"/>
    </row>
    <row r="450">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c r="AA450" s="252"/>
      <c r="AB450" s="252"/>
      <c r="AC450" s="252"/>
      <c r="AD450" s="252"/>
    </row>
    <row r="45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c r="AA451" s="252"/>
      <c r="AB451" s="252"/>
      <c r="AC451" s="252"/>
      <c r="AD451" s="252"/>
    </row>
    <row r="45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c r="AA452" s="252"/>
      <c r="AB452" s="252"/>
      <c r="AC452" s="252"/>
      <c r="AD452" s="252"/>
    </row>
    <row r="453">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c r="AA453" s="252"/>
      <c r="AB453" s="252"/>
      <c r="AC453" s="252"/>
      <c r="AD453" s="252"/>
    </row>
    <row r="454">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c r="AA454" s="252"/>
      <c r="AB454" s="252"/>
      <c r="AC454" s="252"/>
      <c r="AD454" s="252"/>
    </row>
    <row r="455">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c r="AA455" s="252"/>
      <c r="AB455" s="252"/>
      <c r="AC455" s="252"/>
      <c r="AD455" s="252"/>
    </row>
    <row r="456">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c r="AA456" s="252"/>
      <c r="AB456" s="252"/>
      <c r="AC456" s="252"/>
      <c r="AD456" s="252"/>
    </row>
    <row r="457">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c r="AA457" s="252"/>
      <c r="AB457" s="252"/>
      <c r="AC457" s="252"/>
      <c r="AD457" s="252"/>
    </row>
    <row r="458">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c r="AA458" s="252"/>
      <c r="AB458" s="252"/>
      <c r="AC458" s="252"/>
      <c r="AD458" s="252"/>
    </row>
    <row r="459">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c r="AA459" s="252"/>
      <c r="AB459" s="252"/>
      <c r="AC459" s="252"/>
      <c r="AD459" s="252"/>
    </row>
    <row r="460">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c r="AA460" s="252"/>
      <c r="AB460" s="252"/>
      <c r="AC460" s="252"/>
      <c r="AD460" s="252"/>
    </row>
    <row r="46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c r="AA461" s="252"/>
      <c r="AB461" s="252"/>
      <c r="AC461" s="252"/>
      <c r="AD461" s="252"/>
    </row>
    <row r="46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c r="AA462" s="252"/>
      <c r="AB462" s="252"/>
      <c r="AC462" s="252"/>
      <c r="AD462" s="252"/>
    </row>
    <row r="463">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c r="AA463" s="252"/>
      <c r="AB463" s="252"/>
      <c r="AC463" s="252"/>
      <c r="AD463" s="252"/>
    </row>
    <row r="464">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c r="AA464" s="252"/>
      <c r="AB464" s="252"/>
      <c r="AC464" s="252"/>
      <c r="AD464" s="252"/>
    </row>
    <row r="465">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c r="AA465" s="252"/>
      <c r="AB465" s="252"/>
      <c r="AC465" s="252"/>
      <c r="AD465" s="252"/>
    </row>
    <row r="466">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c r="AA466" s="252"/>
      <c r="AB466" s="252"/>
      <c r="AC466" s="252"/>
      <c r="AD466" s="252"/>
    </row>
    <row r="467">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c r="AA467" s="252"/>
      <c r="AB467" s="252"/>
      <c r="AC467" s="252"/>
      <c r="AD467" s="252"/>
    </row>
    <row r="468">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c r="AA468" s="252"/>
      <c r="AB468" s="252"/>
      <c r="AC468" s="252"/>
      <c r="AD468" s="252"/>
    </row>
    <row r="469">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c r="AA469" s="252"/>
      <c r="AB469" s="252"/>
      <c r="AC469" s="252"/>
      <c r="AD469" s="252"/>
    </row>
    <row r="470">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c r="AA470" s="252"/>
      <c r="AB470" s="252"/>
      <c r="AC470" s="252"/>
      <c r="AD470" s="252"/>
    </row>
    <row r="47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c r="AA471" s="252"/>
      <c r="AB471" s="252"/>
      <c r="AC471" s="252"/>
      <c r="AD471" s="252"/>
    </row>
    <row r="47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c r="AA472" s="252"/>
      <c r="AB472" s="252"/>
      <c r="AC472" s="252"/>
      <c r="AD472" s="252"/>
    </row>
    <row r="473">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c r="AA473" s="252"/>
      <c r="AB473" s="252"/>
      <c r="AC473" s="252"/>
      <c r="AD473" s="252"/>
    </row>
    <row r="474">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c r="AA474" s="252"/>
      <c r="AB474" s="252"/>
      <c r="AC474" s="252"/>
      <c r="AD474" s="252"/>
    </row>
    <row r="475">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c r="AD475" s="252"/>
    </row>
    <row r="476">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c r="AA476" s="252"/>
      <c r="AB476" s="252"/>
      <c r="AC476" s="252"/>
      <c r="AD476" s="252"/>
    </row>
    <row r="477">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c r="AA477" s="252"/>
      <c r="AB477" s="252"/>
      <c r="AC477" s="252"/>
      <c r="AD477" s="252"/>
    </row>
    <row r="478">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c r="AA478" s="252"/>
      <c r="AB478" s="252"/>
      <c r="AC478" s="252"/>
      <c r="AD478" s="252"/>
    </row>
    <row r="479">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c r="AA479" s="252"/>
      <c r="AB479" s="252"/>
      <c r="AC479" s="252"/>
      <c r="AD479" s="252"/>
    </row>
    <row r="480">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c r="AA480" s="252"/>
      <c r="AB480" s="252"/>
      <c r="AC480" s="252"/>
      <c r="AD480" s="252"/>
    </row>
    <row r="48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c r="AA481" s="252"/>
      <c r="AB481" s="252"/>
      <c r="AC481" s="252"/>
      <c r="AD481" s="252"/>
    </row>
    <row r="48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c r="AA482" s="252"/>
      <c r="AB482" s="252"/>
      <c r="AC482" s="252"/>
      <c r="AD482" s="252"/>
    </row>
    <row r="483">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c r="AA483" s="252"/>
      <c r="AB483" s="252"/>
      <c r="AC483" s="252"/>
      <c r="AD483" s="252"/>
    </row>
    <row r="484">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c r="AD484" s="252"/>
    </row>
    <row r="485">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c r="AA485" s="252"/>
      <c r="AB485" s="252"/>
      <c r="AC485" s="252"/>
      <c r="AD485" s="252"/>
    </row>
    <row r="486">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c r="AA486" s="252"/>
      <c r="AB486" s="252"/>
      <c r="AC486" s="252"/>
      <c r="AD486" s="252"/>
    </row>
    <row r="487">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c r="AA487" s="252"/>
      <c r="AB487" s="252"/>
      <c r="AC487" s="252"/>
      <c r="AD487" s="252"/>
    </row>
    <row r="488">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c r="AA488" s="252"/>
      <c r="AB488" s="252"/>
      <c r="AC488" s="252"/>
      <c r="AD488" s="252"/>
    </row>
    <row r="489">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c r="AA489" s="252"/>
      <c r="AB489" s="252"/>
      <c r="AC489" s="252"/>
      <c r="AD489" s="252"/>
    </row>
    <row r="490">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c r="AA490" s="252"/>
      <c r="AB490" s="252"/>
      <c r="AC490" s="252"/>
      <c r="AD490" s="252"/>
    </row>
    <row r="49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c r="AA491" s="252"/>
      <c r="AB491" s="252"/>
      <c r="AC491" s="252"/>
      <c r="AD491" s="252"/>
    </row>
    <row r="49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c r="AA492" s="252"/>
      <c r="AB492" s="252"/>
      <c r="AC492" s="252"/>
      <c r="AD492" s="252"/>
    </row>
    <row r="493">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c r="AA493" s="252"/>
      <c r="AB493" s="252"/>
      <c r="AC493" s="252"/>
      <c r="AD493" s="252"/>
    </row>
    <row r="494">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c r="AA494" s="252"/>
      <c r="AB494" s="252"/>
      <c r="AC494" s="252"/>
      <c r="AD494" s="252"/>
    </row>
    <row r="495">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c r="AA495" s="252"/>
      <c r="AB495" s="252"/>
      <c r="AC495" s="252"/>
      <c r="AD495" s="252"/>
    </row>
    <row r="496">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c r="AA496" s="252"/>
      <c r="AB496" s="252"/>
      <c r="AC496" s="252"/>
      <c r="AD496" s="252"/>
    </row>
    <row r="497">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c r="AA497" s="252"/>
      <c r="AB497" s="252"/>
      <c r="AC497" s="252"/>
      <c r="AD497" s="252"/>
    </row>
    <row r="498">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c r="AA498" s="252"/>
      <c r="AB498" s="252"/>
      <c r="AC498" s="252"/>
      <c r="AD498" s="252"/>
    </row>
    <row r="499">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c r="AA499" s="252"/>
      <c r="AB499" s="252"/>
      <c r="AC499" s="252"/>
      <c r="AD499" s="252"/>
    </row>
    <row r="500">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c r="AA500" s="252"/>
      <c r="AB500" s="252"/>
      <c r="AC500" s="252"/>
      <c r="AD500" s="252"/>
    </row>
    <row r="50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c r="AA501" s="252"/>
      <c r="AB501" s="252"/>
      <c r="AC501" s="252"/>
      <c r="AD501" s="252"/>
    </row>
    <row r="50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c r="AA502" s="252"/>
      <c r="AB502" s="252"/>
      <c r="AC502" s="252"/>
      <c r="AD502" s="252"/>
    </row>
    <row r="503">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c r="AA503" s="252"/>
      <c r="AB503" s="252"/>
      <c r="AC503" s="252"/>
      <c r="AD503" s="252"/>
    </row>
    <row r="504">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c r="AA504" s="252"/>
      <c r="AB504" s="252"/>
      <c r="AC504" s="252"/>
      <c r="AD504" s="252"/>
    </row>
    <row r="505">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c r="AA505" s="252"/>
      <c r="AB505" s="252"/>
      <c r="AC505" s="252"/>
      <c r="AD505" s="252"/>
    </row>
    <row r="506">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c r="AD506" s="252"/>
    </row>
    <row r="507">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c r="AA507" s="252"/>
      <c r="AB507" s="252"/>
      <c r="AC507" s="252"/>
      <c r="AD507" s="252"/>
    </row>
    <row r="508">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c r="AA508" s="252"/>
      <c r="AB508" s="252"/>
      <c r="AC508" s="252"/>
      <c r="AD508" s="252"/>
    </row>
    <row r="509">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c r="AA509" s="252"/>
      <c r="AB509" s="252"/>
      <c r="AC509" s="252"/>
      <c r="AD509" s="252"/>
    </row>
    <row r="510">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c r="AA510" s="252"/>
      <c r="AB510" s="252"/>
      <c r="AC510" s="252"/>
      <c r="AD510" s="252"/>
    </row>
    <row r="51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c r="AA511" s="252"/>
      <c r="AB511" s="252"/>
      <c r="AC511" s="252"/>
      <c r="AD511" s="252"/>
    </row>
    <row r="5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c r="AA512" s="252"/>
      <c r="AB512" s="252"/>
      <c r="AC512" s="252"/>
      <c r="AD512" s="252"/>
    </row>
    <row r="513">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c r="AA513" s="252"/>
      <c r="AB513" s="252"/>
      <c r="AC513" s="252"/>
      <c r="AD513" s="252"/>
    </row>
    <row r="514">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c r="AA514" s="252"/>
      <c r="AB514" s="252"/>
      <c r="AC514" s="252"/>
      <c r="AD514" s="252"/>
    </row>
    <row r="515">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c r="AA515" s="252"/>
      <c r="AB515" s="252"/>
      <c r="AC515" s="252"/>
      <c r="AD515" s="252"/>
    </row>
    <row r="516">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c r="AA516" s="252"/>
      <c r="AB516" s="252"/>
      <c r="AC516" s="252"/>
      <c r="AD516" s="252"/>
    </row>
    <row r="517">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c r="AA517" s="252"/>
      <c r="AB517" s="252"/>
      <c r="AC517" s="252"/>
      <c r="AD517" s="252"/>
    </row>
    <row r="518">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c r="AA518" s="252"/>
      <c r="AB518" s="252"/>
      <c r="AC518" s="252"/>
      <c r="AD518" s="252"/>
    </row>
    <row r="519">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c r="AA519" s="252"/>
      <c r="AB519" s="252"/>
      <c r="AC519" s="252"/>
      <c r="AD519" s="252"/>
    </row>
    <row r="520">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c r="AA520" s="252"/>
      <c r="AB520" s="252"/>
      <c r="AC520" s="252"/>
      <c r="AD520" s="252"/>
    </row>
    <row r="52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c r="AA521" s="252"/>
      <c r="AB521" s="252"/>
      <c r="AC521" s="252"/>
      <c r="AD521" s="252"/>
    </row>
    <row r="52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c r="AA522" s="252"/>
      <c r="AB522" s="252"/>
      <c r="AC522" s="252"/>
      <c r="AD522" s="252"/>
    </row>
    <row r="523">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c r="AA523" s="252"/>
      <c r="AB523" s="252"/>
      <c r="AC523" s="252"/>
      <c r="AD523" s="252"/>
    </row>
    <row r="524">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c r="AA524" s="252"/>
      <c r="AB524" s="252"/>
      <c r="AC524" s="252"/>
      <c r="AD524" s="252"/>
    </row>
    <row r="525">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c r="AA525" s="252"/>
      <c r="AB525" s="252"/>
      <c r="AC525" s="252"/>
      <c r="AD525" s="252"/>
    </row>
    <row r="526">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c r="AA526" s="252"/>
      <c r="AB526" s="252"/>
      <c r="AC526" s="252"/>
      <c r="AD526" s="252"/>
    </row>
    <row r="527">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c r="AA527" s="252"/>
      <c r="AB527" s="252"/>
      <c r="AC527" s="252"/>
      <c r="AD527" s="252"/>
    </row>
    <row r="528">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c r="AA528" s="252"/>
      <c r="AB528" s="252"/>
      <c r="AC528" s="252"/>
      <c r="AD528" s="252"/>
    </row>
    <row r="529">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c r="AA529" s="252"/>
      <c r="AB529" s="252"/>
      <c r="AC529" s="252"/>
      <c r="AD529" s="252"/>
    </row>
    <row r="530">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c r="AA530" s="252"/>
      <c r="AB530" s="252"/>
      <c r="AC530" s="252"/>
      <c r="AD530" s="252"/>
    </row>
    <row r="53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c r="AA531" s="252"/>
      <c r="AB531" s="252"/>
      <c r="AC531" s="252"/>
      <c r="AD531" s="252"/>
    </row>
    <row r="53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c r="AA532" s="252"/>
      <c r="AB532" s="252"/>
      <c r="AC532" s="252"/>
      <c r="AD532" s="252"/>
    </row>
    <row r="533">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c r="AA533" s="252"/>
      <c r="AB533" s="252"/>
      <c r="AC533" s="252"/>
      <c r="AD533" s="252"/>
    </row>
    <row r="534">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c r="AA534" s="252"/>
      <c r="AB534" s="252"/>
      <c r="AC534" s="252"/>
      <c r="AD534" s="252"/>
    </row>
    <row r="535">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c r="AA535" s="252"/>
      <c r="AB535" s="252"/>
      <c r="AC535" s="252"/>
      <c r="AD535" s="252"/>
    </row>
    <row r="536">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c r="AA536" s="252"/>
      <c r="AB536" s="252"/>
      <c r="AC536" s="252"/>
      <c r="AD536" s="252"/>
    </row>
    <row r="537">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c r="AA537" s="252"/>
      <c r="AB537" s="252"/>
      <c r="AC537" s="252"/>
      <c r="AD537" s="252"/>
    </row>
    <row r="538">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c r="AA538" s="252"/>
      <c r="AB538" s="252"/>
      <c r="AC538" s="252"/>
      <c r="AD538" s="252"/>
    </row>
    <row r="539">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c r="AA539" s="252"/>
      <c r="AB539" s="252"/>
      <c r="AC539" s="252"/>
      <c r="AD539" s="252"/>
    </row>
    <row r="540">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c r="AD540" s="252"/>
    </row>
    <row r="54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c r="AA541" s="252"/>
      <c r="AB541" s="252"/>
      <c r="AC541" s="252"/>
      <c r="AD541" s="252"/>
    </row>
    <row r="54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c r="AA542" s="252"/>
      <c r="AB542" s="252"/>
      <c r="AC542" s="252"/>
      <c r="AD542" s="252"/>
    </row>
    <row r="543">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c r="AA543" s="252"/>
      <c r="AB543" s="252"/>
      <c r="AC543" s="252"/>
      <c r="AD543" s="252"/>
    </row>
    <row r="544">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c r="AA544" s="252"/>
      <c r="AB544" s="252"/>
      <c r="AC544" s="252"/>
      <c r="AD544" s="252"/>
    </row>
    <row r="545">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c r="AA545" s="252"/>
      <c r="AB545" s="252"/>
      <c r="AC545" s="252"/>
      <c r="AD545" s="252"/>
    </row>
    <row r="546">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c r="AA546" s="252"/>
      <c r="AB546" s="252"/>
      <c r="AC546" s="252"/>
      <c r="AD546" s="252"/>
    </row>
    <row r="547">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c r="AA547" s="252"/>
      <c r="AB547" s="252"/>
      <c r="AC547" s="252"/>
      <c r="AD547" s="252"/>
    </row>
    <row r="548">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c r="AA548" s="252"/>
      <c r="AB548" s="252"/>
      <c r="AC548" s="252"/>
      <c r="AD548" s="252"/>
    </row>
    <row r="549">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c r="AA549" s="252"/>
      <c r="AB549" s="252"/>
      <c r="AC549" s="252"/>
      <c r="AD549" s="252"/>
    </row>
    <row r="550">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c r="AA550" s="252"/>
      <c r="AB550" s="252"/>
      <c r="AC550" s="252"/>
      <c r="AD550" s="252"/>
    </row>
    <row r="55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c r="AA551" s="252"/>
      <c r="AB551" s="252"/>
      <c r="AC551" s="252"/>
      <c r="AD551" s="252"/>
    </row>
    <row r="55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c r="AA552" s="252"/>
      <c r="AB552" s="252"/>
      <c r="AC552" s="252"/>
      <c r="AD552" s="252"/>
    </row>
    <row r="553">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c r="AA553" s="252"/>
      <c r="AB553" s="252"/>
      <c r="AC553" s="252"/>
      <c r="AD553" s="252"/>
    </row>
    <row r="554">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c r="AA554" s="252"/>
      <c r="AB554" s="252"/>
      <c r="AC554" s="252"/>
      <c r="AD554" s="252"/>
    </row>
    <row r="555">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c r="AA555" s="252"/>
      <c r="AB555" s="252"/>
      <c r="AC555" s="252"/>
      <c r="AD555" s="252"/>
    </row>
    <row r="556">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c r="AA556" s="252"/>
      <c r="AB556" s="252"/>
      <c r="AC556" s="252"/>
      <c r="AD556" s="252"/>
    </row>
    <row r="557">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c r="AA557" s="252"/>
      <c r="AB557" s="252"/>
      <c r="AC557" s="252"/>
      <c r="AD557" s="252"/>
    </row>
    <row r="558">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c r="AA558" s="252"/>
      <c r="AB558" s="252"/>
      <c r="AC558" s="252"/>
      <c r="AD558" s="252"/>
    </row>
    <row r="559">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c r="AA559" s="252"/>
      <c r="AB559" s="252"/>
      <c r="AC559" s="252"/>
      <c r="AD559" s="252"/>
    </row>
    <row r="560">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c r="AA560" s="252"/>
      <c r="AB560" s="252"/>
      <c r="AC560" s="252"/>
      <c r="AD560" s="252"/>
    </row>
    <row r="56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c r="AA561" s="252"/>
      <c r="AB561" s="252"/>
      <c r="AC561" s="252"/>
      <c r="AD561" s="252"/>
    </row>
    <row r="56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c r="AA562" s="252"/>
      <c r="AB562" s="252"/>
      <c r="AC562" s="252"/>
      <c r="AD562" s="252"/>
    </row>
    <row r="563">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c r="AA563" s="252"/>
      <c r="AB563" s="252"/>
      <c r="AC563" s="252"/>
      <c r="AD563" s="252"/>
    </row>
    <row r="564">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c r="AA564" s="252"/>
      <c r="AB564" s="252"/>
      <c r="AC564" s="252"/>
      <c r="AD564" s="252"/>
    </row>
    <row r="565">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c r="AA565" s="252"/>
      <c r="AB565" s="252"/>
      <c r="AC565" s="252"/>
      <c r="AD565" s="252"/>
    </row>
    <row r="566">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c r="AA566" s="252"/>
      <c r="AB566" s="252"/>
      <c r="AC566" s="252"/>
      <c r="AD566" s="252"/>
    </row>
    <row r="567">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c r="AA567" s="252"/>
      <c r="AB567" s="252"/>
      <c r="AC567" s="252"/>
      <c r="AD567" s="252"/>
    </row>
    <row r="568">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c r="AA568" s="252"/>
      <c r="AB568" s="252"/>
      <c r="AC568" s="252"/>
      <c r="AD568" s="252"/>
    </row>
    <row r="569">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c r="AA569" s="252"/>
      <c r="AB569" s="252"/>
      <c r="AC569" s="252"/>
      <c r="AD569" s="252"/>
    </row>
    <row r="570">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c r="AA570" s="252"/>
      <c r="AB570" s="252"/>
      <c r="AC570" s="252"/>
      <c r="AD570" s="252"/>
    </row>
    <row r="57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c r="AA571" s="252"/>
      <c r="AB571" s="252"/>
      <c r="AC571" s="252"/>
      <c r="AD571" s="252"/>
    </row>
    <row r="57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c r="AA572" s="252"/>
      <c r="AB572" s="252"/>
      <c r="AC572" s="252"/>
      <c r="AD572" s="252"/>
    </row>
    <row r="573">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c r="AA573" s="252"/>
      <c r="AB573" s="252"/>
      <c r="AC573" s="252"/>
      <c r="AD573" s="252"/>
    </row>
    <row r="574">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c r="AA574" s="252"/>
      <c r="AB574" s="252"/>
      <c r="AC574" s="252"/>
      <c r="AD574" s="252"/>
    </row>
    <row r="575">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c r="AA575" s="252"/>
      <c r="AB575" s="252"/>
      <c r="AC575" s="252"/>
      <c r="AD575" s="252"/>
    </row>
    <row r="576">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c r="AA576" s="252"/>
      <c r="AB576" s="252"/>
      <c r="AC576" s="252"/>
      <c r="AD576" s="252"/>
    </row>
    <row r="577">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c r="AA577" s="252"/>
      <c r="AB577" s="252"/>
      <c r="AC577" s="252"/>
      <c r="AD577" s="252"/>
    </row>
    <row r="578">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c r="AA578" s="252"/>
      <c r="AB578" s="252"/>
      <c r="AC578" s="252"/>
      <c r="AD578" s="252"/>
    </row>
    <row r="579">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c r="AA579" s="252"/>
      <c r="AB579" s="252"/>
      <c r="AC579" s="252"/>
      <c r="AD579" s="252"/>
    </row>
    <row r="580">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c r="AA580" s="252"/>
      <c r="AB580" s="252"/>
      <c r="AC580" s="252"/>
      <c r="AD580" s="252"/>
    </row>
    <row r="58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2"/>
      <c r="AC581" s="252"/>
      <c r="AD581" s="252"/>
    </row>
    <row r="58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c r="AA582" s="252"/>
      <c r="AB582" s="252"/>
      <c r="AC582" s="252"/>
      <c r="AD582" s="252"/>
    </row>
    <row r="583">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c r="AA583" s="252"/>
      <c r="AB583" s="252"/>
      <c r="AC583" s="252"/>
      <c r="AD583" s="252"/>
    </row>
    <row r="584">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c r="AA584" s="252"/>
      <c r="AB584" s="252"/>
      <c r="AC584" s="252"/>
      <c r="AD584" s="252"/>
    </row>
    <row r="585">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c r="AA585" s="252"/>
      <c r="AB585" s="252"/>
      <c r="AC585" s="252"/>
      <c r="AD585" s="252"/>
    </row>
    <row r="586">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c r="AA586" s="252"/>
      <c r="AB586" s="252"/>
      <c r="AC586" s="252"/>
      <c r="AD586" s="252"/>
    </row>
    <row r="587">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c r="AA587" s="252"/>
      <c r="AB587" s="252"/>
      <c r="AC587" s="252"/>
      <c r="AD587" s="252"/>
    </row>
    <row r="588">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c r="AA588" s="252"/>
      <c r="AB588" s="252"/>
      <c r="AC588" s="252"/>
      <c r="AD588" s="252"/>
    </row>
    <row r="589">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c r="AA589" s="252"/>
      <c r="AB589" s="252"/>
      <c r="AC589" s="252"/>
      <c r="AD589" s="252"/>
    </row>
    <row r="590">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c r="AA590" s="252"/>
      <c r="AB590" s="252"/>
      <c r="AC590" s="252"/>
      <c r="AD590" s="252"/>
    </row>
    <row r="59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c r="AA591" s="252"/>
      <c r="AB591" s="252"/>
      <c r="AC591" s="252"/>
      <c r="AD591" s="252"/>
    </row>
    <row r="59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c r="AA592" s="252"/>
      <c r="AB592" s="252"/>
      <c r="AC592" s="252"/>
      <c r="AD592" s="252"/>
    </row>
    <row r="593">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c r="AA593" s="252"/>
      <c r="AB593" s="252"/>
      <c r="AC593" s="252"/>
      <c r="AD593" s="252"/>
    </row>
    <row r="594">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c r="AA594" s="252"/>
      <c r="AB594" s="252"/>
      <c r="AC594" s="252"/>
      <c r="AD594" s="252"/>
    </row>
    <row r="595">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c r="AA595" s="252"/>
      <c r="AB595" s="252"/>
      <c r="AC595" s="252"/>
      <c r="AD595" s="252"/>
    </row>
    <row r="596">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c r="AA596" s="252"/>
      <c r="AB596" s="252"/>
      <c r="AC596" s="252"/>
      <c r="AD596" s="252"/>
    </row>
    <row r="597">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c r="AA597" s="252"/>
      <c r="AB597" s="252"/>
      <c r="AC597" s="252"/>
      <c r="AD597" s="252"/>
    </row>
    <row r="598">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c r="AA598" s="252"/>
      <c r="AB598" s="252"/>
      <c r="AC598" s="252"/>
      <c r="AD598" s="252"/>
    </row>
    <row r="599">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c r="AA599" s="252"/>
      <c r="AB599" s="252"/>
      <c r="AC599" s="252"/>
      <c r="AD599" s="252"/>
    </row>
    <row r="600">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c r="AA600" s="252"/>
      <c r="AB600" s="252"/>
      <c r="AC600" s="252"/>
      <c r="AD600" s="252"/>
    </row>
    <row r="60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c r="AA601" s="252"/>
      <c r="AB601" s="252"/>
      <c r="AC601" s="252"/>
      <c r="AD601" s="252"/>
    </row>
    <row r="60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c r="AA602" s="252"/>
      <c r="AB602" s="252"/>
      <c r="AC602" s="252"/>
      <c r="AD602" s="252"/>
    </row>
    <row r="603">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c r="AA603" s="252"/>
      <c r="AB603" s="252"/>
      <c r="AC603" s="252"/>
      <c r="AD603" s="252"/>
    </row>
    <row r="604">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c r="AA604" s="252"/>
      <c r="AB604" s="252"/>
      <c r="AC604" s="252"/>
      <c r="AD604" s="252"/>
    </row>
    <row r="605">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c r="AA605" s="252"/>
      <c r="AB605" s="252"/>
      <c r="AC605" s="252"/>
      <c r="AD605" s="252"/>
    </row>
    <row r="606">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c r="AA606" s="252"/>
      <c r="AB606" s="252"/>
      <c r="AC606" s="252"/>
      <c r="AD606" s="252"/>
    </row>
    <row r="607">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c r="AA607" s="252"/>
      <c r="AB607" s="252"/>
      <c r="AC607" s="252"/>
      <c r="AD607" s="252"/>
    </row>
    <row r="608">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c r="AA608" s="252"/>
      <c r="AB608" s="252"/>
      <c r="AC608" s="252"/>
      <c r="AD608" s="252"/>
    </row>
    <row r="609">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c r="AA609" s="252"/>
      <c r="AB609" s="252"/>
      <c r="AC609" s="252"/>
      <c r="AD609" s="252"/>
    </row>
    <row r="610">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c r="AA610" s="252"/>
      <c r="AB610" s="252"/>
      <c r="AC610" s="252"/>
      <c r="AD610" s="252"/>
    </row>
    <row r="61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c r="AA611" s="252"/>
      <c r="AB611" s="252"/>
      <c r="AC611" s="252"/>
      <c r="AD611" s="252"/>
    </row>
    <row r="6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c r="AA612" s="252"/>
      <c r="AB612" s="252"/>
      <c r="AC612" s="252"/>
      <c r="AD612" s="252"/>
    </row>
    <row r="613">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c r="AA613" s="252"/>
      <c r="AB613" s="252"/>
      <c r="AC613" s="252"/>
      <c r="AD613" s="252"/>
    </row>
    <row r="614">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c r="AA614" s="252"/>
      <c r="AB614" s="252"/>
      <c r="AC614" s="252"/>
      <c r="AD614" s="252"/>
    </row>
    <row r="615">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c r="AA615" s="252"/>
      <c r="AB615" s="252"/>
      <c r="AC615" s="252"/>
      <c r="AD615" s="252"/>
    </row>
    <row r="616">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c r="AA616" s="252"/>
      <c r="AB616" s="252"/>
      <c r="AC616" s="252"/>
      <c r="AD616" s="252"/>
    </row>
    <row r="617">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c r="AA617" s="252"/>
      <c r="AB617" s="252"/>
      <c r="AC617" s="252"/>
      <c r="AD617" s="252"/>
    </row>
    <row r="618">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c r="AA618" s="252"/>
      <c r="AB618" s="252"/>
      <c r="AC618" s="252"/>
      <c r="AD618" s="252"/>
    </row>
    <row r="619">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c r="AA619" s="252"/>
      <c r="AB619" s="252"/>
      <c r="AC619" s="252"/>
      <c r="AD619" s="252"/>
    </row>
    <row r="620">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c r="AA620" s="252"/>
      <c r="AB620" s="252"/>
      <c r="AC620" s="252"/>
      <c r="AD620" s="252"/>
    </row>
    <row r="62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c r="AA621" s="252"/>
      <c r="AB621" s="252"/>
      <c r="AC621" s="252"/>
      <c r="AD621" s="252"/>
    </row>
    <row r="62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c r="AA622" s="252"/>
      <c r="AB622" s="252"/>
      <c r="AC622" s="252"/>
      <c r="AD622" s="252"/>
    </row>
    <row r="623">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c r="AA623" s="252"/>
      <c r="AB623" s="252"/>
      <c r="AC623" s="252"/>
      <c r="AD623" s="252"/>
    </row>
    <row r="624">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c r="AA624" s="252"/>
      <c r="AB624" s="252"/>
      <c r="AC624" s="252"/>
      <c r="AD624" s="252"/>
    </row>
    <row r="625">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c r="AA625" s="252"/>
      <c r="AB625" s="252"/>
      <c r="AC625" s="252"/>
      <c r="AD625" s="252"/>
    </row>
    <row r="626">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c r="AA626" s="252"/>
      <c r="AB626" s="252"/>
      <c r="AC626" s="252"/>
      <c r="AD626" s="252"/>
    </row>
    <row r="627">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c r="AA627" s="252"/>
      <c r="AB627" s="252"/>
      <c r="AC627" s="252"/>
      <c r="AD627" s="252"/>
    </row>
    <row r="628">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c r="AA628" s="252"/>
      <c r="AB628" s="252"/>
      <c r="AC628" s="252"/>
      <c r="AD628" s="252"/>
    </row>
    <row r="629">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c r="AA629" s="252"/>
      <c r="AB629" s="252"/>
      <c r="AC629" s="252"/>
      <c r="AD629" s="252"/>
    </row>
    <row r="630">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c r="AA630" s="252"/>
      <c r="AB630" s="252"/>
      <c r="AC630" s="252"/>
      <c r="AD630" s="252"/>
    </row>
    <row r="63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c r="AA631" s="252"/>
      <c r="AB631" s="252"/>
      <c r="AC631" s="252"/>
      <c r="AD631" s="252"/>
    </row>
    <row r="63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c r="AA632" s="252"/>
      <c r="AB632" s="252"/>
      <c r="AC632" s="252"/>
      <c r="AD632" s="252"/>
    </row>
    <row r="633">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c r="AA633" s="252"/>
      <c r="AB633" s="252"/>
      <c r="AC633" s="252"/>
      <c r="AD633" s="252"/>
    </row>
    <row r="634">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c r="AA634" s="252"/>
      <c r="AB634" s="252"/>
      <c r="AC634" s="252"/>
      <c r="AD634" s="252"/>
    </row>
    <row r="635">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c r="AA635" s="252"/>
      <c r="AB635" s="252"/>
      <c r="AC635" s="252"/>
      <c r="AD635" s="252"/>
    </row>
    <row r="636">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c r="AA636" s="252"/>
      <c r="AB636" s="252"/>
      <c r="AC636" s="252"/>
      <c r="AD636" s="252"/>
    </row>
    <row r="637">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c r="AA637" s="252"/>
      <c r="AB637" s="252"/>
      <c r="AC637" s="252"/>
      <c r="AD637" s="252"/>
    </row>
    <row r="638">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c r="AA638" s="252"/>
      <c r="AB638" s="252"/>
      <c r="AC638" s="252"/>
      <c r="AD638" s="252"/>
    </row>
    <row r="639">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c r="AA639" s="252"/>
      <c r="AB639" s="252"/>
      <c r="AC639" s="252"/>
      <c r="AD639" s="252"/>
    </row>
    <row r="640">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c r="AA640" s="252"/>
      <c r="AB640" s="252"/>
      <c r="AC640" s="252"/>
      <c r="AD640" s="252"/>
    </row>
    <row r="64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c r="AA641" s="252"/>
      <c r="AB641" s="252"/>
      <c r="AC641" s="252"/>
      <c r="AD641" s="252"/>
    </row>
    <row r="64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c r="AA642" s="252"/>
      <c r="AB642" s="252"/>
      <c r="AC642" s="252"/>
      <c r="AD642" s="252"/>
    </row>
    <row r="643">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c r="AA643" s="252"/>
      <c r="AB643" s="252"/>
      <c r="AC643" s="252"/>
      <c r="AD643" s="252"/>
    </row>
    <row r="644">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c r="AA644" s="252"/>
      <c r="AB644" s="252"/>
      <c r="AC644" s="252"/>
      <c r="AD644" s="252"/>
    </row>
    <row r="645">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c r="AA645" s="252"/>
      <c r="AB645" s="252"/>
      <c r="AC645" s="252"/>
      <c r="AD645" s="252"/>
    </row>
    <row r="646">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c r="AA646" s="252"/>
      <c r="AB646" s="252"/>
      <c r="AC646" s="252"/>
      <c r="AD646" s="252"/>
    </row>
    <row r="647">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c r="AA647" s="252"/>
      <c r="AB647" s="252"/>
      <c r="AC647" s="252"/>
      <c r="AD647" s="252"/>
    </row>
    <row r="648">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c r="AA648" s="252"/>
      <c r="AB648" s="252"/>
      <c r="AC648" s="252"/>
      <c r="AD648" s="252"/>
    </row>
    <row r="649">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c r="AA649" s="252"/>
      <c r="AB649" s="252"/>
      <c r="AC649" s="252"/>
      <c r="AD649" s="252"/>
    </row>
    <row r="650">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c r="AA650" s="252"/>
      <c r="AB650" s="252"/>
      <c r="AC650" s="252"/>
      <c r="AD650" s="252"/>
    </row>
    <row r="65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c r="AA651" s="252"/>
      <c r="AB651" s="252"/>
      <c r="AC651" s="252"/>
      <c r="AD651" s="252"/>
    </row>
    <row r="65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c r="AA652" s="252"/>
      <c r="AB652" s="252"/>
      <c r="AC652" s="252"/>
      <c r="AD652" s="252"/>
    </row>
    <row r="653">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c r="AA653" s="252"/>
      <c r="AB653" s="252"/>
      <c r="AC653" s="252"/>
      <c r="AD653" s="252"/>
    </row>
    <row r="654">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c r="AA654" s="252"/>
      <c r="AB654" s="252"/>
      <c r="AC654" s="252"/>
      <c r="AD654" s="252"/>
    </row>
    <row r="655">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c r="AA655" s="252"/>
      <c r="AB655" s="252"/>
      <c r="AC655" s="252"/>
      <c r="AD655" s="252"/>
    </row>
    <row r="656">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c r="AA656" s="252"/>
      <c r="AB656" s="252"/>
      <c r="AC656" s="252"/>
      <c r="AD656" s="252"/>
    </row>
    <row r="657">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c r="AA657" s="252"/>
      <c r="AB657" s="252"/>
      <c r="AC657" s="252"/>
      <c r="AD657" s="252"/>
    </row>
    <row r="658">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c r="AA658" s="252"/>
      <c r="AB658" s="252"/>
      <c r="AC658" s="252"/>
      <c r="AD658" s="252"/>
    </row>
    <row r="659">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c r="AA659" s="252"/>
      <c r="AB659" s="252"/>
      <c r="AC659" s="252"/>
      <c r="AD659" s="252"/>
    </row>
    <row r="660">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c r="AA660" s="252"/>
      <c r="AB660" s="252"/>
      <c r="AC660" s="252"/>
      <c r="AD660" s="252"/>
    </row>
    <row r="66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c r="AA661" s="252"/>
      <c r="AB661" s="252"/>
      <c r="AC661" s="252"/>
      <c r="AD661" s="252"/>
    </row>
    <row r="66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c r="AA662" s="252"/>
      <c r="AB662" s="252"/>
      <c r="AC662" s="252"/>
      <c r="AD662" s="252"/>
    </row>
    <row r="663">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c r="AA663" s="252"/>
      <c r="AB663" s="252"/>
      <c r="AC663" s="252"/>
      <c r="AD663" s="252"/>
    </row>
    <row r="664">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c r="AA664" s="252"/>
      <c r="AB664" s="252"/>
      <c r="AC664" s="252"/>
      <c r="AD664" s="252"/>
    </row>
    <row r="665">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c r="AA665" s="252"/>
      <c r="AB665" s="252"/>
      <c r="AC665" s="252"/>
      <c r="AD665" s="252"/>
    </row>
    <row r="666">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c r="AA666" s="252"/>
      <c r="AB666" s="252"/>
      <c r="AC666" s="252"/>
      <c r="AD666" s="252"/>
    </row>
    <row r="667">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c r="AA667" s="252"/>
      <c r="AB667" s="252"/>
      <c r="AC667" s="252"/>
      <c r="AD667" s="252"/>
    </row>
    <row r="668">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c r="AA668" s="252"/>
      <c r="AB668" s="252"/>
      <c r="AC668" s="252"/>
      <c r="AD668" s="252"/>
    </row>
    <row r="669">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c r="AA669" s="252"/>
      <c r="AB669" s="252"/>
      <c r="AC669" s="252"/>
      <c r="AD669" s="252"/>
    </row>
    <row r="670">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c r="AA670" s="252"/>
      <c r="AB670" s="252"/>
      <c r="AC670" s="252"/>
      <c r="AD670" s="252"/>
    </row>
    <row r="67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c r="AA671" s="252"/>
      <c r="AB671" s="252"/>
      <c r="AC671" s="252"/>
      <c r="AD671" s="252"/>
    </row>
    <row r="67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c r="AA672" s="252"/>
      <c r="AB672" s="252"/>
      <c r="AC672" s="252"/>
      <c r="AD672" s="252"/>
    </row>
    <row r="673">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c r="AA673" s="252"/>
      <c r="AB673" s="252"/>
      <c r="AC673" s="252"/>
      <c r="AD673" s="252"/>
    </row>
    <row r="674">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c r="AA674" s="252"/>
      <c r="AB674" s="252"/>
      <c r="AC674" s="252"/>
      <c r="AD674" s="252"/>
    </row>
    <row r="675">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c r="AA675" s="252"/>
      <c r="AB675" s="252"/>
      <c r="AC675" s="252"/>
      <c r="AD675" s="252"/>
    </row>
    <row r="676">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c r="AA676" s="252"/>
      <c r="AB676" s="252"/>
      <c r="AC676" s="252"/>
      <c r="AD676" s="252"/>
    </row>
    <row r="677">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c r="AA677" s="252"/>
      <c r="AB677" s="252"/>
      <c r="AC677" s="252"/>
      <c r="AD677" s="252"/>
    </row>
    <row r="678">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c r="AA678" s="252"/>
      <c r="AB678" s="252"/>
      <c r="AC678" s="252"/>
      <c r="AD678" s="252"/>
    </row>
    <row r="679">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c r="AA679" s="252"/>
      <c r="AB679" s="252"/>
      <c r="AC679" s="252"/>
      <c r="AD679" s="252"/>
    </row>
    <row r="680">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c r="AA680" s="252"/>
      <c r="AB680" s="252"/>
      <c r="AC680" s="252"/>
      <c r="AD680" s="252"/>
    </row>
    <row r="68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c r="AA681" s="252"/>
      <c r="AB681" s="252"/>
      <c r="AC681" s="252"/>
      <c r="AD681" s="252"/>
    </row>
    <row r="68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c r="AA682" s="252"/>
      <c r="AB682" s="252"/>
      <c r="AC682" s="252"/>
      <c r="AD682" s="252"/>
    </row>
    <row r="683">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c r="AA683" s="252"/>
      <c r="AB683" s="252"/>
      <c r="AC683" s="252"/>
      <c r="AD683" s="252"/>
    </row>
    <row r="684">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c r="AA684" s="252"/>
      <c r="AB684" s="252"/>
      <c r="AC684" s="252"/>
      <c r="AD684" s="252"/>
    </row>
    <row r="685">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c r="AA685" s="252"/>
      <c r="AB685" s="252"/>
      <c r="AC685" s="252"/>
      <c r="AD685" s="252"/>
    </row>
    <row r="686">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c r="AA686" s="252"/>
      <c r="AB686" s="252"/>
      <c r="AC686" s="252"/>
      <c r="AD686" s="252"/>
    </row>
    <row r="687">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c r="AA687" s="252"/>
      <c r="AB687" s="252"/>
      <c r="AC687" s="252"/>
      <c r="AD687" s="252"/>
    </row>
    <row r="688">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c r="AA688" s="252"/>
      <c r="AB688" s="252"/>
      <c r="AC688" s="252"/>
      <c r="AD688" s="252"/>
    </row>
    <row r="689">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c r="AA689" s="252"/>
      <c r="AB689" s="252"/>
      <c r="AC689" s="252"/>
      <c r="AD689" s="252"/>
    </row>
    <row r="690">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c r="AA690" s="252"/>
      <c r="AB690" s="252"/>
      <c r="AC690" s="252"/>
      <c r="AD690" s="252"/>
    </row>
    <row r="69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c r="AA691" s="252"/>
      <c r="AB691" s="252"/>
      <c r="AC691" s="252"/>
      <c r="AD691" s="252"/>
    </row>
    <row r="69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c r="AA692" s="252"/>
      <c r="AB692" s="252"/>
      <c r="AC692" s="252"/>
      <c r="AD692" s="252"/>
    </row>
    <row r="693">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c r="AA693" s="252"/>
      <c r="AB693" s="252"/>
      <c r="AC693" s="252"/>
      <c r="AD693" s="252"/>
    </row>
    <row r="694">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c r="AA694" s="252"/>
      <c r="AB694" s="252"/>
      <c r="AC694" s="252"/>
      <c r="AD694" s="252"/>
    </row>
    <row r="695">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c r="AA695" s="252"/>
      <c r="AB695" s="252"/>
      <c r="AC695" s="252"/>
      <c r="AD695" s="252"/>
    </row>
    <row r="696">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c r="AA696" s="252"/>
      <c r="AB696" s="252"/>
      <c r="AC696" s="252"/>
      <c r="AD696" s="252"/>
    </row>
    <row r="697">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c r="AA697" s="252"/>
      <c r="AB697" s="252"/>
      <c r="AC697" s="252"/>
      <c r="AD697" s="252"/>
    </row>
    <row r="698">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c r="AA698" s="252"/>
      <c r="AB698" s="252"/>
      <c r="AC698" s="252"/>
      <c r="AD698" s="252"/>
    </row>
    <row r="699">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c r="AA699" s="252"/>
      <c r="AB699" s="252"/>
      <c r="AC699" s="252"/>
      <c r="AD699" s="252"/>
    </row>
    <row r="700">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c r="AA700" s="252"/>
      <c r="AB700" s="252"/>
      <c r="AC700" s="252"/>
      <c r="AD700" s="252"/>
    </row>
    <row r="70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c r="AA701" s="252"/>
      <c r="AB701" s="252"/>
      <c r="AC701" s="252"/>
      <c r="AD701" s="252"/>
    </row>
    <row r="70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c r="AA702" s="252"/>
      <c r="AB702" s="252"/>
      <c r="AC702" s="252"/>
      <c r="AD702" s="252"/>
    </row>
    <row r="703">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c r="AA703" s="252"/>
      <c r="AB703" s="252"/>
      <c r="AC703" s="252"/>
      <c r="AD703" s="252"/>
    </row>
    <row r="704">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c r="AA704" s="252"/>
      <c r="AB704" s="252"/>
      <c r="AC704" s="252"/>
      <c r="AD704" s="252"/>
    </row>
    <row r="705">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c r="AA705" s="252"/>
      <c r="AB705" s="252"/>
      <c r="AC705" s="252"/>
      <c r="AD705" s="252"/>
    </row>
    <row r="706">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c r="AA706" s="252"/>
      <c r="AB706" s="252"/>
      <c r="AC706" s="252"/>
      <c r="AD706" s="252"/>
    </row>
    <row r="707">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c r="AA707" s="252"/>
      <c r="AB707" s="252"/>
      <c r="AC707" s="252"/>
      <c r="AD707" s="252"/>
    </row>
    <row r="708">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c r="AA708" s="252"/>
      <c r="AB708" s="252"/>
      <c r="AC708" s="252"/>
      <c r="AD708" s="252"/>
    </row>
    <row r="709">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c r="AA709" s="252"/>
      <c r="AB709" s="252"/>
      <c r="AC709" s="252"/>
      <c r="AD709" s="252"/>
    </row>
    <row r="710">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c r="AA710" s="252"/>
      <c r="AB710" s="252"/>
      <c r="AC710" s="252"/>
      <c r="AD710" s="252"/>
    </row>
    <row r="71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c r="AA711" s="252"/>
      <c r="AB711" s="252"/>
      <c r="AC711" s="252"/>
      <c r="AD711" s="252"/>
    </row>
    <row r="7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c r="AA712" s="252"/>
      <c r="AB712" s="252"/>
      <c r="AC712" s="252"/>
      <c r="AD712" s="252"/>
    </row>
    <row r="713">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c r="AA713" s="252"/>
      <c r="AB713" s="252"/>
      <c r="AC713" s="252"/>
      <c r="AD713" s="252"/>
    </row>
    <row r="714">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c r="AA714" s="252"/>
      <c r="AB714" s="252"/>
      <c r="AC714" s="252"/>
      <c r="AD714" s="252"/>
    </row>
    <row r="715">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c r="AA715" s="252"/>
      <c r="AB715" s="252"/>
      <c r="AC715" s="252"/>
      <c r="AD715" s="252"/>
    </row>
    <row r="716">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c r="AA716" s="252"/>
      <c r="AB716" s="252"/>
      <c r="AC716" s="252"/>
      <c r="AD716" s="252"/>
    </row>
    <row r="717">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c r="AA717" s="252"/>
      <c r="AB717" s="252"/>
      <c r="AC717" s="252"/>
      <c r="AD717" s="252"/>
    </row>
    <row r="718">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c r="AA718" s="252"/>
      <c r="AB718" s="252"/>
      <c r="AC718" s="252"/>
      <c r="AD718" s="252"/>
    </row>
    <row r="719">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c r="AA719" s="252"/>
      <c r="AB719" s="252"/>
      <c r="AC719" s="252"/>
      <c r="AD719" s="252"/>
    </row>
    <row r="720">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c r="AA720" s="252"/>
      <c r="AB720" s="252"/>
      <c r="AC720" s="252"/>
      <c r="AD720" s="252"/>
    </row>
    <row r="72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c r="AA721" s="252"/>
      <c r="AB721" s="252"/>
      <c r="AC721" s="252"/>
      <c r="AD721" s="252"/>
    </row>
    <row r="72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c r="AA722" s="252"/>
      <c r="AB722" s="252"/>
      <c r="AC722" s="252"/>
      <c r="AD722" s="252"/>
    </row>
    <row r="723">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c r="AA723" s="252"/>
      <c r="AB723" s="252"/>
      <c r="AC723" s="252"/>
      <c r="AD723" s="252"/>
    </row>
    <row r="724">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c r="AA724" s="252"/>
      <c r="AB724" s="252"/>
      <c r="AC724" s="252"/>
      <c r="AD724" s="252"/>
    </row>
    <row r="725">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c r="AA725" s="252"/>
      <c r="AB725" s="252"/>
      <c r="AC725" s="252"/>
      <c r="AD725" s="252"/>
    </row>
    <row r="726">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c r="AA726" s="252"/>
      <c r="AB726" s="252"/>
      <c r="AC726" s="252"/>
      <c r="AD726" s="252"/>
    </row>
    <row r="727">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c r="AA727" s="252"/>
      <c r="AB727" s="252"/>
      <c r="AC727" s="252"/>
      <c r="AD727" s="252"/>
    </row>
    <row r="728">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c r="AA728" s="252"/>
      <c r="AB728" s="252"/>
      <c r="AC728" s="252"/>
      <c r="AD728" s="252"/>
    </row>
    <row r="729">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c r="AA729" s="252"/>
      <c r="AB729" s="252"/>
      <c r="AC729" s="252"/>
      <c r="AD729" s="252"/>
    </row>
    <row r="730">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c r="AA730" s="252"/>
      <c r="AB730" s="252"/>
      <c r="AC730" s="252"/>
      <c r="AD730" s="252"/>
    </row>
    <row r="73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c r="AA731" s="252"/>
      <c r="AB731" s="252"/>
      <c r="AC731" s="252"/>
      <c r="AD731" s="252"/>
    </row>
    <row r="73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c r="AA732" s="252"/>
      <c r="AB732" s="252"/>
      <c r="AC732" s="252"/>
      <c r="AD732" s="252"/>
    </row>
    <row r="733">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c r="AA733" s="252"/>
      <c r="AB733" s="252"/>
      <c r="AC733" s="252"/>
      <c r="AD733" s="252"/>
    </row>
    <row r="734">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c r="AA734" s="252"/>
      <c r="AB734" s="252"/>
      <c r="AC734" s="252"/>
      <c r="AD734" s="252"/>
    </row>
    <row r="735">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c r="AA735" s="252"/>
      <c r="AB735" s="252"/>
      <c r="AC735" s="252"/>
      <c r="AD735" s="252"/>
    </row>
    <row r="736">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c r="AA736" s="252"/>
      <c r="AB736" s="252"/>
      <c r="AC736" s="252"/>
      <c r="AD736" s="252"/>
    </row>
    <row r="737">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c r="AA737" s="252"/>
      <c r="AB737" s="252"/>
      <c r="AC737" s="252"/>
      <c r="AD737" s="252"/>
    </row>
    <row r="738">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c r="AA738" s="252"/>
      <c r="AB738" s="252"/>
      <c r="AC738" s="252"/>
      <c r="AD738" s="252"/>
    </row>
    <row r="739">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c r="AA739" s="252"/>
      <c r="AB739" s="252"/>
      <c r="AC739" s="252"/>
      <c r="AD739" s="252"/>
    </row>
    <row r="740">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c r="AA740" s="252"/>
      <c r="AB740" s="252"/>
      <c r="AC740" s="252"/>
      <c r="AD740" s="252"/>
    </row>
    <row r="74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c r="AA741" s="252"/>
      <c r="AB741" s="252"/>
      <c r="AC741" s="252"/>
      <c r="AD741" s="252"/>
    </row>
    <row r="74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c r="AA742" s="252"/>
      <c r="AB742" s="252"/>
      <c r="AC742" s="252"/>
      <c r="AD742" s="252"/>
    </row>
    <row r="743">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c r="AA743" s="252"/>
      <c r="AB743" s="252"/>
      <c r="AC743" s="252"/>
      <c r="AD743" s="252"/>
    </row>
    <row r="744">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c r="AA744" s="252"/>
      <c r="AB744" s="252"/>
      <c r="AC744" s="252"/>
      <c r="AD744" s="252"/>
    </row>
    <row r="745">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c r="AA745" s="252"/>
      <c r="AB745" s="252"/>
      <c r="AC745" s="252"/>
      <c r="AD745" s="252"/>
    </row>
    <row r="746">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c r="AA746" s="252"/>
      <c r="AB746" s="252"/>
      <c r="AC746" s="252"/>
      <c r="AD746" s="252"/>
    </row>
    <row r="747">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c r="AA747" s="252"/>
      <c r="AB747" s="252"/>
      <c r="AC747" s="252"/>
      <c r="AD747" s="252"/>
    </row>
    <row r="748">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c r="AA748" s="252"/>
      <c r="AB748" s="252"/>
      <c r="AC748" s="252"/>
      <c r="AD748" s="252"/>
    </row>
    <row r="749">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c r="AA749" s="252"/>
      <c r="AB749" s="252"/>
      <c r="AC749" s="252"/>
      <c r="AD749" s="252"/>
    </row>
    <row r="750">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c r="AA750" s="252"/>
      <c r="AB750" s="252"/>
      <c r="AC750" s="252"/>
      <c r="AD750" s="252"/>
    </row>
    <row r="75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c r="AA751" s="252"/>
      <c r="AB751" s="252"/>
      <c r="AC751" s="252"/>
      <c r="AD751" s="252"/>
    </row>
    <row r="75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c r="AA752" s="252"/>
      <c r="AB752" s="252"/>
      <c r="AC752" s="252"/>
      <c r="AD752" s="252"/>
    </row>
    <row r="753">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c r="AA753" s="252"/>
      <c r="AB753" s="252"/>
      <c r="AC753" s="252"/>
      <c r="AD753" s="252"/>
    </row>
    <row r="754">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c r="AA754" s="252"/>
      <c r="AB754" s="252"/>
      <c r="AC754" s="252"/>
      <c r="AD754" s="252"/>
    </row>
    <row r="755">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c r="AA755" s="252"/>
      <c r="AB755" s="252"/>
      <c r="AC755" s="252"/>
      <c r="AD755" s="252"/>
    </row>
    <row r="756">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c r="AA756" s="252"/>
      <c r="AB756" s="252"/>
      <c r="AC756" s="252"/>
      <c r="AD756" s="252"/>
    </row>
    <row r="757">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c r="AA757" s="252"/>
      <c r="AB757" s="252"/>
      <c r="AC757" s="252"/>
      <c r="AD757" s="252"/>
    </row>
    <row r="758">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c r="AA758" s="252"/>
      <c r="AB758" s="252"/>
      <c r="AC758" s="252"/>
      <c r="AD758" s="252"/>
    </row>
    <row r="759">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c r="AA759" s="252"/>
      <c r="AB759" s="252"/>
      <c r="AC759" s="252"/>
      <c r="AD759" s="252"/>
    </row>
    <row r="760">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c r="AA760" s="252"/>
      <c r="AB760" s="252"/>
      <c r="AC760" s="252"/>
      <c r="AD760" s="252"/>
    </row>
    <row r="76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c r="AA761" s="252"/>
      <c r="AB761" s="252"/>
      <c r="AC761" s="252"/>
      <c r="AD761" s="252"/>
    </row>
    <row r="76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c r="AA762" s="252"/>
      <c r="AB762" s="252"/>
      <c r="AC762" s="252"/>
      <c r="AD762" s="252"/>
    </row>
    <row r="763">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c r="AA763" s="252"/>
      <c r="AB763" s="252"/>
      <c r="AC763" s="252"/>
      <c r="AD763" s="252"/>
    </row>
    <row r="764">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c r="AA764" s="252"/>
      <c r="AB764" s="252"/>
      <c r="AC764" s="252"/>
      <c r="AD764" s="252"/>
    </row>
    <row r="765">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c r="AA765" s="252"/>
      <c r="AB765" s="252"/>
      <c r="AC765" s="252"/>
      <c r="AD765" s="252"/>
    </row>
    <row r="766">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c r="AA766" s="252"/>
      <c r="AB766" s="252"/>
      <c r="AC766" s="252"/>
      <c r="AD766" s="252"/>
    </row>
    <row r="767">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c r="AA767" s="252"/>
      <c r="AB767" s="252"/>
      <c r="AC767" s="252"/>
      <c r="AD767" s="252"/>
    </row>
    <row r="768">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c r="AA768" s="252"/>
      <c r="AB768" s="252"/>
      <c r="AC768" s="252"/>
      <c r="AD768" s="252"/>
    </row>
    <row r="769">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c r="AA769" s="252"/>
      <c r="AB769" s="252"/>
      <c r="AC769" s="252"/>
      <c r="AD769" s="252"/>
    </row>
    <row r="770">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c r="AA770" s="252"/>
      <c r="AB770" s="252"/>
      <c r="AC770" s="252"/>
      <c r="AD770" s="252"/>
    </row>
    <row r="77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c r="AA771" s="252"/>
      <c r="AB771" s="252"/>
      <c r="AC771" s="252"/>
      <c r="AD771" s="252"/>
    </row>
    <row r="77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c r="AA772" s="252"/>
      <c r="AB772" s="252"/>
      <c r="AC772" s="252"/>
      <c r="AD772" s="252"/>
    </row>
    <row r="773">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c r="AA773" s="252"/>
      <c r="AB773" s="252"/>
      <c r="AC773" s="252"/>
      <c r="AD773" s="252"/>
    </row>
    <row r="774">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c r="AA774" s="252"/>
      <c r="AB774" s="252"/>
      <c r="AC774" s="252"/>
      <c r="AD774" s="252"/>
    </row>
    <row r="775">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c r="AA775" s="252"/>
      <c r="AB775" s="252"/>
      <c r="AC775" s="252"/>
      <c r="AD775" s="252"/>
    </row>
    <row r="776">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c r="AA776" s="252"/>
      <c r="AB776" s="252"/>
      <c r="AC776" s="252"/>
      <c r="AD776" s="252"/>
    </row>
    <row r="777">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c r="AA777" s="252"/>
      <c r="AB777" s="252"/>
      <c r="AC777" s="252"/>
      <c r="AD777" s="252"/>
    </row>
    <row r="778">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c r="AA778" s="252"/>
      <c r="AB778" s="252"/>
      <c r="AC778" s="252"/>
      <c r="AD778" s="252"/>
    </row>
    <row r="779">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c r="AA779" s="252"/>
      <c r="AB779" s="252"/>
      <c r="AC779" s="252"/>
      <c r="AD779" s="252"/>
    </row>
    <row r="780">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c r="AA780" s="252"/>
      <c r="AB780" s="252"/>
      <c r="AC780" s="252"/>
      <c r="AD780" s="252"/>
    </row>
    <row r="78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c r="AA781" s="252"/>
      <c r="AB781" s="252"/>
      <c r="AC781" s="252"/>
      <c r="AD781" s="252"/>
    </row>
    <row r="78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c r="AA782" s="252"/>
      <c r="AB782" s="252"/>
      <c r="AC782" s="252"/>
      <c r="AD782" s="252"/>
    </row>
    <row r="783">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c r="AA783" s="252"/>
      <c r="AB783" s="252"/>
      <c r="AC783" s="252"/>
      <c r="AD783" s="252"/>
    </row>
    <row r="784">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c r="AA784" s="252"/>
      <c r="AB784" s="252"/>
      <c r="AC784" s="252"/>
      <c r="AD784" s="252"/>
    </row>
    <row r="785">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c r="AA785" s="252"/>
      <c r="AB785" s="252"/>
      <c r="AC785" s="252"/>
      <c r="AD785" s="252"/>
    </row>
    <row r="786">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c r="AA786" s="252"/>
      <c r="AB786" s="252"/>
      <c r="AC786" s="252"/>
      <c r="AD786" s="252"/>
    </row>
    <row r="787">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c r="AA787" s="252"/>
      <c r="AB787" s="252"/>
      <c r="AC787" s="252"/>
      <c r="AD787" s="252"/>
    </row>
    <row r="788">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c r="AA788" s="252"/>
      <c r="AB788" s="252"/>
      <c r="AC788" s="252"/>
      <c r="AD788" s="252"/>
    </row>
    <row r="789">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c r="AA789" s="252"/>
      <c r="AB789" s="252"/>
      <c r="AC789" s="252"/>
      <c r="AD789" s="252"/>
    </row>
    <row r="790">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c r="AA790" s="252"/>
      <c r="AB790" s="252"/>
      <c r="AC790" s="252"/>
      <c r="AD790" s="252"/>
    </row>
    <row r="79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c r="AA791" s="252"/>
      <c r="AB791" s="252"/>
      <c r="AC791" s="252"/>
      <c r="AD791" s="252"/>
    </row>
    <row r="79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c r="AA792" s="252"/>
      <c r="AB792" s="252"/>
      <c r="AC792" s="252"/>
      <c r="AD792" s="252"/>
    </row>
    <row r="793">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c r="AA793" s="252"/>
      <c r="AB793" s="252"/>
      <c r="AC793" s="252"/>
      <c r="AD793" s="252"/>
    </row>
    <row r="794">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c r="AA794" s="252"/>
      <c r="AB794" s="252"/>
      <c r="AC794" s="252"/>
      <c r="AD794" s="252"/>
    </row>
    <row r="795">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c r="AA795" s="252"/>
      <c r="AB795" s="252"/>
      <c r="AC795" s="252"/>
      <c r="AD795" s="252"/>
    </row>
    <row r="796">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c r="AA796" s="252"/>
      <c r="AB796" s="252"/>
      <c r="AC796" s="252"/>
      <c r="AD796" s="252"/>
    </row>
    <row r="797">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c r="AA797" s="252"/>
      <c r="AB797" s="252"/>
      <c r="AC797" s="252"/>
      <c r="AD797" s="252"/>
    </row>
    <row r="798">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c r="AA798" s="252"/>
      <c r="AB798" s="252"/>
      <c r="AC798" s="252"/>
      <c r="AD798" s="252"/>
    </row>
    <row r="799">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c r="AA799" s="252"/>
      <c r="AB799" s="252"/>
      <c r="AC799" s="252"/>
      <c r="AD799" s="252"/>
    </row>
    <row r="800">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c r="AA800" s="252"/>
      <c r="AB800" s="252"/>
      <c r="AC800" s="252"/>
      <c r="AD800" s="252"/>
    </row>
    <row r="80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c r="AA801" s="252"/>
      <c r="AB801" s="252"/>
      <c r="AC801" s="252"/>
      <c r="AD801" s="252"/>
    </row>
    <row r="80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c r="AA802" s="252"/>
      <c r="AB802" s="252"/>
      <c r="AC802" s="252"/>
      <c r="AD802" s="252"/>
    </row>
    <row r="803">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c r="AA803" s="252"/>
      <c r="AB803" s="252"/>
      <c r="AC803" s="252"/>
      <c r="AD803" s="252"/>
    </row>
    <row r="804">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c r="AA804" s="252"/>
      <c r="AB804" s="252"/>
      <c r="AC804" s="252"/>
      <c r="AD804" s="252"/>
    </row>
    <row r="805">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c r="AA805" s="252"/>
      <c r="AB805" s="252"/>
      <c r="AC805" s="252"/>
      <c r="AD805" s="252"/>
    </row>
    <row r="806">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c r="AA806" s="252"/>
      <c r="AB806" s="252"/>
      <c r="AC806" s="252"/>
      <c r="AD806" s="252"/>
    </row>
    <row r="807">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c r="AA807" s="252"/>
      <c r="AB807" s="252"/>
      <c r="AC807" s="252"/>
      <c r="AD807" s="252"/>
    </row>
    <row r="808">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c r="AA808" s="252"/>
      <c r="AB808" s="252"/>
      <c r="AC808" s="252"/>
      <c r="AD808" s="252"/>
    </row>
    <row r="809">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c r="AA809" s="252"/>
      <c r="AB809" s="252"/>
      <c r="AC809" s="252"/>
      <c r="AD809" s="252"/>
    </row>
    <row r="810">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c r="AA810" s="252"/>
      <c r="AB810" s="252"/>
      <c r="AC810" s="252"/>
      <c r="AD810" s="252"/>
    </row>
    <row r="81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c r="AA811" s="252"/>
      <c r="AB811" s="252"/>
      <c r="AC811" s="252"/>
      <c r="AD811" s="252"/>
    </row>
    <row r="8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c r="AA812" s="252"/>
      <c r="AB812" s="252"/>
      <c r="AC812" s="252"/>
      <c r="AD812" s="252"/>
    </row>
    <row r="813">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c r="AA813" s="252"/>
      <c r="AB813" s="252"/>
      <c r="AC813" s="252"/>
      <c r="AD813" s="252"/>
    </row>
    <row r="814">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c r="AA814" s="252"/>
      <c r="AB814" s="252"/>
      <c r="AC814" s="252"/>
      <c r="AD814" s="252"/>
    </row>
    <row r="815">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c r="AA815" s="252"/>
      <c r="AB815" s="252"/>
      <c r="AC815" s="252"/>
      <c r="AD815" s="252"/>
    </row>
    <row r="816">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c r="AA816" s="252"/>
      <c r="AB816" s="252"/>
      <c r="AC816" s="252"/>
      <c r="AD816" s="252"/>
    </row>
    <row r="817">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c r="AA817" s="252"/>
      <c r="AB817" s="252"/>
      <c r="AC817" s="252"/>
      <c r="AD817" s="252"/>
    </row>
    <row r="818">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c r="AA818" s="252"/>
      <c r="AB818" s="252"/>
      <c r="AC818" s="252"/>
      <c r="AD818" s="252"/>
    </row>
    <row r="819">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c r="AA819" s="252"/>
      <c r="AB819" s="252"/>
      <c r="AC819" s="252"/>
      <c r="AD819" s="252"/>
    </row>
    <row r="820">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c r="AA820" s="252"/>
      <c r="AB820" s="252"/>
      <c r="AC820" s="252"/>
      <c r="AD820" s="252"/>
    </row>
    <row r="82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c r="AA821" s="252"/>
      <c r="AB821" s="252"/>
      <c r="AC821" s="252"/>
      <c r="AD821" s="252"/>
    </row>
    <row r="82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c r="AA822" s="252"/>
      <c r="AB822" s="252"/>
      <c r="AC822" s="252"/>
      <c r="AD822" s="252"/>
    </row>
    <row r="823">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c r="AA823" s="252"/>
      <c r="AB823" s="252"/>
      <c r="AC823" s="252"/>
      <c r="AD823" s="252"/>
    </row>
    <row r="824">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c r="AA824" s="252"/>
      <c r="AB824" s="252"/>
      <c r="AC824" s="252"/>
      <c r="AD824" s="252"/>
    </row>
    <row r="825">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c r="AA825" s="252"/>
      <c r="AB825" s="252"/>
      <c r="AC825" s="252"/>
      <c r="AD825" s="252"/>
    </row>
    <row r="826">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c r="AA826" s="252"/>
      <c r="AB826" s="252"/>
      <c r="AC826" s="252"/>
      <c r="AD826" s="252"/>
    </row>
    <row r="827">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c r="AA827" s="252"/>
      <c r="AB827" s="252"/>
      <c r="AC827" s="252"/>
      <c r="AD827" s="252"/>
    </row>
    <row r="828">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c r="AA828" s="252"/>
      <c r="AB828" s="252"/>
      <c r="AC828" s="252"/>
      <c r="AD828" s="252"/>
    </row>
    <row r="829">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c r="AA829" s="252"/>
      <c r="AB829" s="252"/>
      <c r="AC829" s="252"/>
      <c r="AD829" s="252"/>
    </row>
    <row r="830">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c r="AA830" s="252"/>
      <c r="AB830" s="252"/>
      <c r="AC830" s="252"/>
      <c r="AD830" s="252"/>
    </row>
    <row r="83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c r="AA831" s="252"/>
      <c r="AB831" s="252"/>
      <c r="AC831" s="252"/>
      <c r="AD831" s="252"/>
    </row>
    <row r="83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c r="AA832" s="252"/>
      <c r="AB832" s="252"/>
      <c r="AC832" s="252"/>
      <c r="AD832" s="252"/>
    </row>
    <row r="833">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c r="AA833" s="252"/>
      <c r="AB833" s="252"/>
      <c r="AC833" s="252"/>
      <c r="AD833" s="252"/>
    </row>
    <row r="834">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c r="AA834" s="252"/>
      <c r="AB834" s="252"/>
      <c r="AC834" s="252"/>
      <c r="AD834" s="252"/>
    </row>
    <row r="835">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c r="AA835" s="252"/>
      <c r="AB835" s="252"/>
      <c r="AC835" s="252"/>
      <c r="AD835" s="252"/>
    </row>
    <row r="836">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c r="AA836" s="252"/>
      <c r="AB836" s="252"/>
      <c r="AC836" s="252"/>
      <c r="AD836" s="252"/>
    </row>
    <row r="837">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c r="AA837" s="252"/>
      <c r="AB837" s="252"/>
      <c r="AC837" s="252"/>
      <c r="AD837" s="252"/>
    </row>
    <row r="838">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c r="AA838" s="252"/>
      <c r="AB838" s="252"/>
      <c r="AC838" s="252"/>
      <c r="AD838" s="252"/>
    </row>
    <row r="839">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c r="AA839" s="252"/>
      <c r="AB839" s="252"/>
      <c r="AC839" s="252"/>
      <c r="AD839" s="252"/>
    </row>
    <row r="840">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c r="AA840" s="252"/>
      <c r="AB840" s="252"/>
      <c r="AC840" s="252"/>
      <c r="AD840" s="252"/>
    </row>
    <row r="84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c r="AA841" s="252"/>
      <c r="AB841" s="252"/>
      <c r="AC841" s="252"/>
      <c r="AD841" s="252"/>
    </row>
    <row r="84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c r="AA842" s="252"/>
      <c r="AB842" s="252"/>
      <c r="AC842" s="252"/>
      <c r="AD842" s="252"/>
    </row>
    <row r="843">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c r="AA843" s="252"/>
      <c r="AB843" s="252"/>
      <c r="AC843" s="252"/>
      <c r="AD843" s="252"/>
    </row>
    <row r="844">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c r="AA844" s="252"/>
      <c r="AB844" s="252"/>
      <c r="AC844" s="252"/>
      <c r="AD844" s="252"/>
    </row>
    <row r="845">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c r="AA845" s="252"/>
      <c r="AB845" s="252"/>
      <c r="AC845" s="252"/>
      <c r="AD845" s="252"/>
    </row>
    <row r="846">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c r="AA846" s="252"/>
      <c r="AB846" s="252"/>
      <c r="AC846" s="252"/>
      <c r="AD846" s="252"/>
    </row>
    <row r="847">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c r="AA847" s="252"/>
      <c r="AB847" s="252"/>
      <c r="AC847" s="252"/>
      <c r="AD847" s="252"/>
    </row>
    <row r="848">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c r="AA848" s="252"/>
      <c r="AB848" s="252"/>
      <c r="AC848" s="252"/>
      <c r="AD848" s="252"/>
    </row>
    <row r="849">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c r="AA849" s="252"/>
      <c r="AB849" s="252"/>
      <c r="AC849" s="252"/>
      <c r="AD849" s="252"/>
    </row>
    <row r="850">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c r="AA850" s="252"/>
      <c r="AB850" s="252"/>
      <c r="AC850" s="252"/>
      <c r="AD850" s="252"/>
    </row>
    <row r="85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c r="AA851" s="252"/>
      <c r="AB851" s="252"/>
      <c r="AC851" s="252"/>
      <c r="AD851" s="252"/>
    </row>
    <row r="85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c r="AA852" s="252"/>
      <c r="AB852" s="252"/>
      <c r="AC852" s="252"/>
      <c r="AD852" s="252"/>
    </row>
    <row r="853">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c r="AA853" s="252"/>
      <c r="AB853" s="252"/>
      <c r="AC853" s="252"/>
      <c r="AD853" s="252"/>
    </row>
    <row r="854">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c r="AA854" s="252"/>
      <c r="AB854" s="252"/>
      <c r="AC854" s="252"/>
      <c r="AD854" s="252"/>
    </row>
    <row r="855">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c r="AA855" s="252"/>
      <c r="AB855" s="252"/>
      <c r="AC855" s="252"/>
      <c r="AD855" s="252"/>
    </row>
    <row r="856">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c r="AA856" s="252"/>
      <c r="AB856" s="252"/>
      <c r="AC856" s="252"/>
      <c r="AD856" s="252"/>
    </row>
    <row r="857">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c r="AA857" s="252"/>
      <c r="AB857" s="252"/>
      <c r="AC857" s="252"/>
      <c r="AD857" s="252"/>
    </row>
    <row r="858">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c r="AA858" s="252"/>
      <c r="AB858" s="252"/>
      <c r="AC858" s="252"/>
      <c r="AD858" s="252"/>
    </row>
    <row r="859">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c r="AA859" s="252"/>
      <c r="AB859" s="252"/>
      <c r="AC859" s="252"/>
      <c r="AD859" s="252"/>
    </row>
    <row r="860">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c r="AA860" s="252"/>
      <c r="AB860" s="252"/>
      <c r="AC860" s="252"/>
      <c r="AD860" s="252"/>
    </row>
    <row r="86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c r="AA861" s="252"/>
      <c r="AB861" s="252"/>
      <c r="AC861" s="252"/>
      <c r="AD861" s="252"/>
    </row>
    <row r="86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c r="AA862" s="252"/>
      <c r="AB862" s="252"/>
      <c r="AC862" s="252"/>
      <c r="AD862" s="252"/>
    </row>
    <row r="863">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c r="AA863" s="252"/>
      <c r="AB863" s="252"/>
      <c r="AC863" s="252"/>
      <c r="AD863" s="252"/>
    </row>
    <row r="864">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c r="AA864" s="252"/>
      <c r="AB864" s="252"/>
      <c r="AC864" s="252"/>
      <c r="AD864" s="252"/>
    </row>
    <row r="865">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c r="AA865" s="252"/>
      <c r="AB865" s="252"/>
      <c r="AC865" s="252"/>
      <c r="AD865" s="252"/>
    </row>
    <row r="866">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c r="AA866" s="252"/>
      <c r="AB866" s="252"/>
      <c r="AC866" s="252"/>
      <c r="AD866" s="252"/>
    </row>
    <row r="867">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c r="AA867" s="252"/>
      <c r="AB867" s="252"/>
      <c r="AC867" s="252"/>
      <c r="AD867" s="252"/>
    </row>
    <row r="868">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c r="AA868" s="252"/>
      <c r="AB868" s="252"/>
      <c r="AC868" s="252"/>
      <c r="AD868" s="252"/>
    </row>
    <row r="869">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c r="AA869" s="252"/>
      <c r="AB869" s="252"/>
      <c r="AC869" s="252"/>
      <c r="AD869" s="252"/>
    </row>
    <row r="870">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c r="AA870" s="252"/>
      <c r="AB870" s="252"/>
      <c r="AC870" s="252"/>
      <c r="AD870" s="252"/>
    </row>
    <row r="87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c r="AA871" s="252"/>
      <c r="AB871" s="252"/>
      <c r="AC871" s="252"/>
      <c r="AD871" s="252"/>
    </row>
    <row r="87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c r="AA872" s="252"/>
      <c r="AB872" s="252"/>
      <c r="AC872" s="252"/>
      <c r="AD872" s="252"/>
    </row>
    <row r="873">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c r="AA873" s="252"/>
      <c r="AB873" s="252"/>
      <c r="AC873" s="252"/>
      <c r="AD873" s="252"/>
    </row>
    <row r="874">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c r="AA874" s="252"/>
      <c r="AB874" s="252"/>
      <c r="AC874" s="252"/>
      <c r="AD874" s="252"/>
    </row>
    <row r="875">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c r="AA875" s="252"/>
      <c r="AB875" s="252"/>
      <c r="AC875" s="252"/>
      <c r="AD875" s="252"/>
    </row>
    <row r="876">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c r="AA876" s="252"/>
      <c r="AB876" s="252"/>
      <c r="AC876" s="252"/>
      <c r="AD876" s="252"/>
    </row>
    <row r="877">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c r="AA877" s="252"/>
      <c r="AB877" s="252"/>
      <c r="AC877" s="252"/>
      <c r="AD877" s="252"/>
    </row>
    <row r="878">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c r="AA878" s="252"/>
      <c r="AB878" s="252"/>
      <c r="AC878" s="252"/>
      <c r="AD878" s="252"/>
    </row>
    <row r="879">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c r="AA879" s="252"/>
      <c r="AB879" s="252"/>
      <c r="AC879" s="252"/>
      <c r="AD879" s="252"/>
    </row>
    <row r="880">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c r="AA880" s="252"/>
      <c r="AB880" s="252"/>
      <c r="AC880" s="252"/>
      <c r="AD880" s="252"/>
    </row>
    <row r="88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c r="AA881" s="252"/>
      <c r="AB881" s="252"/>
      <c r="AC881" s="252"/>
      <c r="AD881" s="252"/>
    </row>
    <row r="88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c r="AA882" s="252"/>
      <c r="AB882" s="252"/>
      <c r="AC882" s="252"/>
      <c r="AD882" s="252"/>
    </row>
    <row r="883">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c r="AA883" s="252"/>
      <c r="AB883" s="252"/>
      <c r="AC883" s="252"/>
      <c r="AD883" s="252"/>
    </row>
    <row r="884">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c r="AA884" s="252"/>
      <c r="AB884" s="252"/>
      <c r="AC884" s="252"/>
      <c r="AD884" s="252"/>
    </row>
    <row r="885">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c r="AA885" s="252"/>
      <c r="AB885" s="252"/>
      <c r="AC885" s="252"/>
      <c r="AD885" s="252"/>
    </row>
    <row r="886">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c r="AA886" s="252"/>
      <c r="AB886" s="252"/>
      <c r="AC886" s="252"/>
      <c r="AD886" s="252"/>
    </row>
    <row r="887">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c r="AA887" s="252"/>
      <c r="AB887" s="252"/>
      <c r="AC887" s="252"/>
      <c r="AD887" s="252"/>
    </row>
    <row r="888">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c r="AA888" s="252"/>
      <c r="AB888" s="252"/>
      <c r="AC888" s="252"/>
      <c r="AD888" s="252"/>
    </row>
    <row r="889">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c r="AA889" s="252"/>
      <c r="AB889" s="252"/>
      <c r="AC889" s="252"/>
      <c r="AD889" s="252"/>
    </row>
    <row r="890">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c r="AA890" s="252"/>
      <c r="AB890" s="252"/>
      <c r="AC890" s="252"/>
      <c r="AD890" s="252"/>
    </row>
    <row r="89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c r="AA891" s="252"/>
      <c r="AB891" s="252"/>
      <c r="AC891" s="252"/>
      <c r="AD891" s="252"/>
    </row>
    <row r="89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c r="AA892" s="252"/>
      <c r="AB892" s="252"/>
      <c r="AC892" s="252"/>
      <c r="AD892" s="252"/>
    </row>
    <row r="893">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c r="AA893" s="252"/>
      <c r="AB893" s="252"/>
      <c r="AC893" s="252"/>
      <c r="AD893" s="252"/>
    </row>
    <row r="894">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c r="AA894" s="252"/>
      <c r="AB894" s="252"/>
      <c r="AC894" s="252"/>
      <c r="AD894" s="252"/>
    </row>
    <row r="895">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c r="AA895" s="252"/>
      <c r="AB895" s="252"/>
      <c r="AC895" s="252"/>
      <c r="AD895" s="252"/>
    </row>
    <row r="896">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c r="AA896" s="252"/>
      <c r="AB896" s="252"/>
      <c r="AC896" s="252"/>
      <c r="AD896" s="252"/>
    </row>
    <row r="897">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c r="AA897" s="252"/>
      <c r="AB897" s="252"/>
      <c r="AC897" s="252"/>
      <c r="AD897" s="252"/>
    </row>
    <row r="898">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c r="AA898" s="252"/>
      <c r="AB898" s="252"/>
      <c r="AC898" s="252"/>
      <c r="AD898" s="252"/>
    </row>
    <row r="899">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c r="AA899" s="252"/>
      <c r="AB899" s="252"/>
      <c r="AC899" s="252"/>
      <c r="AD899" s="252"/>
    </row>
    <row r="900">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c r="AA900" s="252"/>
      <c r="AB900" s="252"/>
      <c r="AC900" s="252"/>
      <c r="AD900" s="252"/>
    </row>
    <row r="90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c r="AA901" s="252"/>
      <c r="AB901" s="252"/>
      <c r="AC901" s="252"/>
      <c r="AD901" s="252"/>
    </row>
    <row r="90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c r="AA902" s="252"/>
      <c r="AB902" s="252"/>
      <c r="AC902" s="252"/>
      <c r="AD902" s="252"/>
    </row>
    <row r="903">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c r="AA903" s="252"/>
      <c r="AB903" s="252"/>
      <c r="AC903" s="252"/>
      <c r="AD903" s="252"/>
    </row>
    <row r="904">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c r="AA904" s="252"/>
      <c r="AB904" s="252"/>
      <c r="AC904" s="252"/>
      <c r="AD904" s="252"/>
    </row>
    <row r="905">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c r="AA905" s="252"/>
      <c r="AB905" s="252"/>
      <c r="AC905" s="252"/>
      <c r="AD905" s="252"/>
    </row>
    <row r="906">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c r="AA906" s="252"/>
      <c r="AB906" s="252"/>
      <c r="AC906" s="252"/>
      <c r="AD906" s="252"/>
    </row>
    <row r="907">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c r="AA907" s="252"/>
      <c r="AB907" s="252"/>
      <c r="AC907" s="252"/>
      <c r="AD907" s="252"/>
    </row>
    <row r="908">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c r="AA908" s="252"/>
      <c r="AB908" s="252"/>
      <c r="AC908" s="252"/>
      <c r="AD908" s="252"/>
    </row>
    <row r="909">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c r="AA909" s="252"/>
      <c r="AB909" s="252"/>
      <c r="AC909" s="252"/>
      <c r="AD909" s="252"/>
    </row>
    <row r="910">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c r="AA910" s="252"/>
      <c r="AB910" s="252"/>
      <c r="AC910" s="252"/>
      <c r="AD910" s="252"/>
    </row>
    <row r="91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c r="AA911" s="252"/>
      <c r="AB911" s="252"/>
      <c r="AC911" s="252"/>
      <c r="AD911" s="252"/>
    </row>
    <row r="9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c r="AA912" s="252"/>
      <c r="AB912" s="252"/>
      <c r="AC912" s="252"/>
      <c r="AD912" s="252"/>
    </row>
    <row r="913">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c r="AA913" s="252"/>
      <c r="AB913" s="252"/>
      <c r="AC913" s="252"/>
      <c r="AD913" s="252"/>
    </row>
    <row r="914">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c r="AA914" s="252"/>
      <c r="AB914" s="252"/>
      <c r="AC914" s="252"/>
      <c r="AD914" s="252"/>
    </row>
    <row r="915">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c r="AA915" s="252"/>
      <c r="AB915" s="252"/>
      <c r="AC915" s="252"/>
      <c r="AD915" s="252"/>
    </row>
    <row r="916">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c r="AA916" s="252"/>
      <c r="AB916" s="252"/>
      <c r="AC916" s="252"/>
      <c r="AD916" s="252"/>
    </row>
    <row r="917">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c r="AA917" s="252"/>
      <c r="AB917" s="252"/>
      <c r="AC917" s="252"/>
      <c r="AD917" s="252"/>
    </row>
    <row r="918">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c r="AA918" s="252"/>
      <c r="AB918" s="252"/>
      <c r="AC918" s="252"/>
      <c r="AD918" s="252"/>
    </row>
    <row r="919">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c r="AA919" s="252"/>
      <c r="AB919" s="252"/>
      <c r="AC919" s="252"/>
      <c r="AD919" s="252"/>
    </row>
    <row r="920">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c r="AA920" s="252"/>
      <c r="AB920" s="252"/>
      <c r="AC920" s="252"/>
      <c r="AD920" s="252"/>
    </row>
    <row r="92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c r="AA921" s="252"/>
      <c r="AB921" s="252"/>
      <c r="AC921" s="252"/>
      <c r="AD921" s="252"/>
    </row>
    <row r="92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c r="AA922" s="252"/>
      <c r="AB922" s="252"/>
      <c r="AC922" s="252"/>
      <c r="AD922" s="252"/>
    </row>
    <row r="923">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c r="AA923" s="252"/>
      <c r="AB923" s="252"/>
      <c r="AC923" s="252"/>
      <c r="AD923" s="252"/>
    </row>
    <row r="924">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c r="AA924" s="252"/>
      <c r="AB924" s="252"/>
      <c r="AC924" s="252"/>
      <c r="AD924" s="252"/>
    </row>
    <row r="925">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c r="AA925" s="252"/>
      <c r="AB925" s="252"/>
      <c r="AC925" s="252"/>
      <c r="AD925" s="252"/>
    </row>
    <row r="926">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c r="AA926" s="252"/>
      <c r="AB926" s="252"/>
      <c r="AC926" s="252"/>
      <c r="AD926" s="252"/>
    </row>
    <row r="927">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c r="AA927" s="252"/>
      <c r="AB927" s="252"/>
      <c r="AC927" s="252"/>
      <c r="AD927" s="252"/>
    </row>
    <row r="928">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c r="AA928" s="252"/>
      <c r="AB928" s="252"/>
      <c r="AC928" s="252"/>
      <c r="AD928" s="252"/>
    </row>
    <row r="929">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c r="AA929" s="252"/>
      <c r="AB929" s="252"/>
      <c r="AC929" s="252"/>
      <c r="AD929" s="252"/>
    </row>
    <row r="930">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c r="AA930" s="252"/>
      <c r="AB930" s="252"/>
      <c r="AC930" s="252"/>
      <c r="AD930" s="252"/>
    </row>
    <row r="93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c r="AA931" s="252"/>
      <c r="AB931" s="252"/>
      <c r="AC931" s="252"/>
      <c r="AD931" s="252"/>
    </row>
    <row r="93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c r="AA932" s="252"/>
      <c r="AB932" s="252"/>
      <c r="AC932" s="252"/>
      <c r="AD932" s="252"/>
    </row>
    <row r="933">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c r="AA933" s="252"/>
      <c r="AB933" s="252"/>
      <c r="AC933" s="252"/>
      <c r="AD933" s="252"/>
    </row>
    <row r="934">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c r="AA934" s="252"/>
      <c r="AB934" s="252"/>
      <c r="AC934" s="252"/>
      <c r="AD934" s="252"/>
    </row>
    <row r="935">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c r="AA935" s="252"/>
      <c r="AB935" s="252"/>
      <c r="AC935" s="252"/>
      <c r="AD935" s="252"/>
    </row>
    <row r="936">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c r="AA936" s="252"/>
      <c r="AB936" s="252"/>
      <c r="AC936" s="252"/>
      <c r="AD936" s="252"/>
    </row>
    <row r="937">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c r="AA937" s="252"/>
      <c r="AB937" s="252"/>
      <c r="AC937" s="252"/>
      <c r="AD937" s="252"/>
    </row>
    <row r="938">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c r="AA938" s="252"/>
      <c r="AB938" s="252"/>
      <c r="AC938" s="252"/>
      <c r="AD938" s="252"/>
    </row>
    <row r="939">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c r="AA939" s="252"/>
      <c r="AB939" s="252"/>
      <c r="AC939" s="252"/>
      <c r="AD939" s="252"/>
    </row>
    <row r="940">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c r="AA940" s="252"/>
      <c r="AB940" s="252"/>
      <c r="AC940" s="252"/>
      <c r="AD940" s="252"/>
    </row>
    <row r="94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c r="AA941" s="252"/>
      <c r="AB941" s="252"/>
      <c r="AC941" s="252"/>
      <c r="AD941" s="252"/>
    </row>
    <row r="94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c r="AA942" s="252"/>
      <c r="AB942" s="252"/>
      <c r="AC942" s="252"/>
      <c r="AD942" s="252"/>
    </row>
    <row r="943">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c r="AA943" s="252"/>
      <c r="AB943" s="252"/>
      <c r="AC943" s="252"/>
      <c r="AD943" s="252"/>
    </row>
    <row r="944">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c r="AA944" s="252"/>
      <c r="AB944" s="252"/>
      <c r="AC944" s="252"/>
      <c r="AD944" s="252"/>
    </row>
    <row r="945">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c r="AA945" s="252"/>
      <c r="AB945" s="252"/>
      <c r="AC945" s="252"/>
      <c r="AD945" s="252"/>
    </row>
    <row r="946">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c r="AA946" s="252"/>
      <c r="AB946" s="252"/>
      <c r="AC946" s="252"/>
      <c r="AD946" s="252"/>
    </row>
    <row r="947">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c r="AA947" s="252"/>
      <c r="AB947" s="252"/>
      <c r="AC947" s="252"/>
      <c r="AD947" s="252"/>
    </row>
    <row r="948">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c r="AA948" s="252"/>
      <c r="AB948" s="252"/>
      <c r="AC948" s="252"/>
      <c r="AD948" s="252"/>
    </row>
    <row r="949">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c r="AA949" s="252"/>
      <c r="AB949" s="252"/>
      <c r="AC949" s="252"/>
      <c r="AD949" s="252"/>
    </row>
    <row r="950">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c r="AA950" s="252"/>
      <c r="AB950" s="252"/>
      <c r="AC950" s="252"/>
      <c r="AD950" s="252"/>
    </row>
    <row r="95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c r="AA951" s="252"/>
      <c r="AB951" s="252"/>
      <c r="AC951" s="252"/>
      <c r="AD951" s="252"/>
    </row>
    <row r="952">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c r="AA952" s="252"/>
      <c r="AB952" s="252"/>
      <c r="AC952" s="252"/>
      <c r="AD952" s="252"/>
    </row>
    <row r="953">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c r="AA953" s="252"/>
      <c r="AB953" s="252"/>
      <c r="AC953" s="252"/>
      <c r="AD953" s="252"/>
    </row>
    <row r="954">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c r="AA954" s="252"/>
      <c r="AB954" s="252"/>
      <c r="AC954" s="252"/>
      <c r="AD954" s="252"/>
    </row>
    <row r="955">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c r="AA955" s="252"/>
      <c r="AB955" s="252"/>
      <c r="AC955" s="252"/>
      <c r="AD955" s="252"/>
    </row>
    <row r="956">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c r="AA956" s="252"/>
      <c r="AB956" s="252"/>
      <c r="AC956" s="252"/>
      <c r="AD956" s="252"/>
    </row>
    <row r="957">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c r="AA957" s="252"/>
      <c r="AB957" s="252"/>
      <c r="AC957" s="252"/>
      <c r="AD957" s="252"/>
    </row>
    <row r="958">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c r="AA958" s="252"/>
      <c r="AB958" s="252"/>
      <c r="AC958" s="252"/>
      <c r="AD958" s="252"/>
    </row>
    <row r="959">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c r="AA959" s="252"/>
      <c r="AB959" s="252"/>
      <c r="AC959" s="252"/>
      <c r="AD959" s="252"/>
    </row>
    <row r="960">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c r="AA960" s="252"/>
      <c r="AB960" s="252"/>
      <c r="AC960" s="252"/>
      <c r="AD960" s="252"/>
    </row>
    <row r="96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c r="AA961" s="252"/>
      <c r="AB961" s="252"/>
      <c r="AC961" s="252"/>
      <c r="AD961" s="252"/>
    </row>
    <row r="962">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c r="AA962" s="252"/>
      <c r="AB962" s="252"/>
      <c r="AC962" s="252"/>
      <c r="AD962" s="252"/>
    </row>
    <row r="963">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c r="AA963" s="252"/>
      <c r="AB963" s="252"/>
      <c r="AC963" s="252"/>
      <c r="AD963" s="252"/>
    </row>
    <row r="964">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c r="AA964" s="252"/>
      <c r="AB964" s="252"/>
      <c r="AC964" s="252"/>
      <c r="AD964" s="252"/>
    </row>
    <row r="965">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c r="AA965" s="252"/>
      <c r="AB965" s="252"/>
      <c r="AC965" s="252"/>
      <c r="AD965" s="252"/>
    </row>
    <row r="966">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c r="AA966" s="252"/>
      <c r="AB966" s="252"/>
      <c r="AC966" s="252"/>
      <c r="AD966" s="252"/>
    </row>
    <row r="967">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c r="AA967" s="252"/>
      <c r="AB967" s="252"/>
      <c r="AC967" s="252"/>
      <c r="AD967" s="252"/>
    </row>
    <row r="968">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c r="AA968" s="252"/>
      <c r="AB968" s="252"/>
      <c r="AC968" s="252"/>
      <c r="AD968" s="252"/>
    </row>
    <row r="969">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c r="AA969" s="252"/>
      <c r="AB969" s="252"/>
      <c r="AC969" s="252"/>
      <c r="AD969" s="252"/>
    </row>
    <row r="970">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c r="AA970" s="252"/>
      <c r="AB970" s="252"/>
      <c r="AC970" s="252"/>
      <c r="AD970" s="252"/>
    </row>
    <row r="97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c r="AA971" s="252"/>
      <c r="AB971" s="252"/>
      <c r="AC971" s="252"/>
      <c r="AD971" s="252"/>
    </row>
    <row r="972">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c r="AA972" s="252"/>
      <c r="AB972" s="252"/>
      <c r="AC972" s="252"/>
      <c r="AD972" s="252"/>
    </row>
    <row r="973">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c r="AA973" s="252"/>
      <c r="AB973" s="252"/>
      <c r="AC973" s="252"/>
      <c r="AD973" s="252"/>
    </row>
    <row r="974">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c r="AA974" s="252"/>
      <c r="AB974" s="252"/>
      <c r="AC974" s="252"/>
      <c r="AD974" s="252"/>
    </row>
    <row r="975">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c r="AA975" s="252"/>
      <c r="AB975" s="252"/>
      <c r="AC975" s="252"/>
      <c r="AD975" s="252"/>
    </row>
    <row r="976">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c r="AA976" s="252"/>
      <c r="AB976" s="252"/>
      <c r="AC976" s="252"/>
      <c r="AD976" s="252"/>
    </row>
    <row r="977">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c r="AA977" s="252"/>
      <c r="AB977" s="252"/>
      <c r="AC977" s="252"/>
      <c r="AD977" s="252"/>
    </row>
    <row r="978">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c r="AA978" s="252"/>
      <c r="AB978" s="252"/>
      <c r="AC978" s="252"/>
      <c r="AD978" s="252"/>
    </row>
    <row r="979">
      <c r="A979" s="252"/>
      <c r="B979" s="252"/>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c r="AA979" s="252"/>
      <c r="AB979" s="252"/>
      <c r="AC979" s="252"/>
      <c r="AD979" s="252"/>
    </row>
    <row r="980">
      <c r="A980" s="252"/>
      <c r="B980" s="252"/>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c r="AA980" s="252"/>
      <c r="AB980" s="252"/>
      <c r="AC980" s="252"/>
      <c r="AD980" s="252"/>
    </row>
    <row r="981">
      <c r="A981" s="252"/>
      <c r="B981" s="252"/>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c r="AA981" s="252"/>
      <c r="AB981" s="252"/>
      <c r="AC981" s="252"/>
      <c r="AD981" s="252"/>
    </row>
    <row r="982">
      <c r="A982" s="252"/>
      <c r="B982" s="252"/>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c r="AA982" s="252"/>
      <c r="AB982" s="252"/>
      <c r="AC982" s="252"/>
      <c r="AD982" s="252"/>
    </row>
    <row r="983">
      <c r="A983" s="252"/>
      <c r="B983" s="252"/>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c r="AA983" s="252"/>
      <c r="AB983" s="252"/>
      <c r="AC983" s="252"/>
      <c r="AD983" s="252"/>
    </row>
    <row r="984">
      <c r="A984" s="252"/>
      <c r="B984" s="252"/>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c r="AA984" s="252"/>
      <c r="AB984" s="252"/>
      <c r="AC984" s="252"/>
      <c r="AD984" s="252"/>
    </row>
    <row r="985">
      <c r="A985" s="252"/>
      <c r="B985" s="252"/>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c r="AA985" s="252"/>
      <c r="AB985" s="252"/>
      <c r="AC985" s="252"/>
      <c r="AD985" s="252"/>
    </row>
    <row r="986">
      <c r="A986" s="252"/>
      <c r="B986" s="252"/>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c r="AA986" s="252"/>
      <c r="AB986" s="252"/>
      <c r="AC986" s="252"/>
      <c r="AD986" s="252"/>
    </row>
    <row r="987">
      <c r="A987" s="252"/>
      <c r="B987" s="252"/>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c r="AA987" s="252"/>
      <c r="AB987" s="252"/>
      <c r="AC987" s="252"/>
      <c r="AD987" s="252"/>
    </row>
    <row r="988">
      <c r="A988" s="252"/>
      <c r="B988" s="252"/>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c r="AA988" s="252"/>
      <c r="AB988" s="252"/>
      <c r="AC988" s="252"/>
      <c r="AD988" s="252"/>
    </row>
    <row r="989">
      <c r="A989" s="252"/>
      <c r="B989" s="252"/>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c r="AA989" s="252"/>
      <c r="AB989" s="252"/>
      <c r="AC989" s="252"/>
      <c r="AD989" s="252"/>
    </row>
    <row r="990">
      <c r="A990" s="252"/>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c r="AD990" s="252"/>
    </row>
    <row r="991">
      <c r="A991" s="252"/>
      <c r="B991" s="252"/>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c r="AA991" s="252"/>
      <c r="AB991" s="252"/>
      <c r="AC991" s="252"/>
      <c r="AD991" s="252"/>
    </row>
    <row r="992">
      <c r="A992" s="252"/>
      <c r="B992" s="252"/>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c r="AA992" s="252"/>
      <c r="AB992" s="252"/>
      <c r="AC992" s="252"/>
      <c r="AD992" s="252"/>
    </row>
    <row r="993">
      <c r="A993" s="252"/>
      <c r="B993" s="252"/>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c r="AA993" s="252"/>
      <c r="AB993" s="252"/>
      <c r="AC993" s="252"/>
      <c r="AD993" s="252"/>
    </row>
    <row r="994">
      <c r="A994" s="252"/>
      <c r="B994" s="252"/>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c r="AA994" s="252"/>
      <c r="AB994" s="252"/>
      <c r="AC994" s="252"/>
      <c r="AD994" s="252"/>
    </row>
    <row r="995">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c r="AA995" s="252"/>
      <c r="AB995" s="252"/>
      <c r="AC995" s="252"/>
      <c r="AD995" s="252"/>
    </row>
    <row r="996">
      <c r="A996" s="252"/>
      <c r="B996" s="252"/>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c r="AA996" s="252"/>
      <c r="AB996" s="252"/>
      <c r="AC996" s="252"/>
      <c r="AD996" s="252"/>
    </row>
    <row r="997">
      <c r="A997" s="252"/>
      <c r="B997" s="252"/>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c r="AA997" s="252"/>
      <c r="AB997" s="252"/>
      <c r="AC997" s="252"/>
      <c r="AD997" s="252"/>
    </row>
    <row r="998">
      <c r="A998" s="252"/>
      <c r="B998" s="252"/>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c r="AA998" s="252"/>
      <c r="AB998" s="252"/>
      <c r="AC998" s="252"/>
      <c r="AD998" s="252"/>
    </row>
    <row r="999">
      <c r="A999" s="252"/>
      <c r="B999" s="252"/>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c r="AA999" s="252"/>
      <c r="AB999" s="252"/>
      <c r="AC999" s="252"/>
      <c r="AD999" s="252"/>
    </row>
    <row r="1000">
      <c r="A1000" s="252"/>
      <c r="B1000" s="252"/>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c r="AA1000" s="252"/>
      <c r="AB1000" s="252"/>
      <c r="AC1000" s="252"/>
      <c r="AD1000" s="2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148.0</v>
      </c>
      <c r="M21" s="22">
        <v>596.0</v>
      </c>
      <c r="N21" s="22">
        <v>629.0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706.0</v>
      </c>
      <c r="N22" s="22">
        <v>750.0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953.0</v>
      </c>
      <c r="N23" s="22">
        <v>1014.0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187.0</v>
      </c>
      <c r="M24" s="22">
        <v>1140.0</v>
      </c>
      <c r="N24" s="22">
        <v>1214.0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1262.0</v>
      </c>
      <c r="N25" s="22">
        <v>1350.0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1519.0</v>
      </c>
      <c r="N26" s="22">
        <v>1632.0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161.0</v>
      </c>
      <c r="M27" s="22">
        <v>1680.0</v>
      </c>
      <c r="N27" s="22">
        <v>1809.0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230.0</v>
      </c>
      <c r="M28" s="22">
        <v>1910.0</v>
      </c>
      <c r="N28" s="22">
        <v>2058.0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164.0</v>
      </c>
      <c r="M29" s="22">
        <v>2074.0</v>
      </c>
      <c r="N29" s="22">
        <v>2250.0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169.0</v>
      </c>
      <c r="M30" s="22">
        <v>2243.0</v>
      </c>
      <c r="N30" s="22">
        <v>2460.0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195.0</v>
      </c>
      <c r="M31" s="22">
        <v>2438.0</v>
      </c>
      <c r="N31" s="22">
        <v>2686.0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2678.0</v>
      </c>
      <c r="N32" s="22">
        <v>2990.0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2987.0</v>
      </c>
      <c r="N33" s="22">
        <v>3404.0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3168.0</v>
      </c>
      <c r="N34" s="22">
        <v>3663.0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3462.0</v>
      </c>
      <c r="N35" s="22">
        <v>4030.0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626.0</v>
      </c>
      <c r="M36" s="22">
        <v>4088.0</v>
      </c>
      <c r="N36" s="22">
        <v>4756.0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426.0</v>
      </c>
      <c r="M37" s="22">
        <v>4514.0</v>
      </c>
      <c r="N37" s="22">
        <v>5244.0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695.0</v>
      </c>
      <c r="M38" s="22">
        <v>5209.0</v>
      </c>
      <c r="N38" s="22">
        <v>6039.0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604.0</v>
      </c>
      <c r="M39" s="22">
        <v>5813.0</v>
      </c>
      <c r="N39" s="22">
        <v>6781.0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1037.0</v>
      </c>
      <c r="M40" s="22">
        <v>6850.0</v>
      </c>
      <c r="N40" s="22">
        <v>7999.0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1514.0</v>
      </c>
      <c r="M41" s="22">
        <v>8364.0</v>
      </c>
      <c r="N41" s="22">
        <v>9720.0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1457.0</v>
      </c>
      <c r="M42" s="22">
        <v>9821.0</v>
      </c>
      <c r="N42" s="22">
        <v>11438.0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1519.0</v>
      </c>
      <c r="M43" s="22">
        <v>11340.0</v>
      </c>
      <c r="N43" s="22">
        <v>13228.0</v>
      </c>
      <c r="O43" s="23">
        <v>19.0</v>
      </c>
      <c r="P43" s="23">
        <v>298.0</v>
      </c>
      <c r="Q43" s="23">
        <v>7.0</v>
      </c>
      <c r="R43" s="23">
        <v>81.0</v>
      </c>
      <c r="S43" s="23">
        <v>6.0</v>
      </c>
      <c r="T43" s="22">
        <v>20.0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1330.0</v>
      </c>
      <c r="M44" s="22">
        <v>12670.0</v>
      </c>
      <c r="N44" s="22">
        <v>14835.0</v>
      </c>
      <c r="O44" s="23">
        <v>32.0</v>
      </c>
      <c r="P44" s="23">
        <v>330.0</v>
      </c>
      <c r="Q44" s="23">
        <v>8.0</v>
      </c>
      <c r="R44" s="23">
        <v>89.0</v>
      </c>
      <c r="S44" s="23">
        <v>4.0</v>
      </c>
      <c r="T44" s="22">
        <v>24.0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2318.0</v>
      </c>
      <c r="M45" s="22">
        <v>14988.0</v>
      </c>
      <c r="N45" s="22">
        <v>17553.0</v>
      </c>
      <c r="O45" s="23">
        <v>29.0</v>
      </c>
      <c r="P45" s="23">
        <v>359.0</v>
      </c>
      <c r="Q45" s="23">
        <v>17.0</v>
      </c>
      <c r="R45" s="23">
        <v>106.0</v>
      </c>
      <c r="S45" s="23">
        <v>5.0</v>
      </c>
      <c r="T45" s="22">
        <v>29.0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1682.0</v>
      </c>
      <c r="M46" s="22">
        <v>16670.0</v>
      </c>
      <c r="N46" s="22">
        <v>19516.0</v>
      </c>
      <c r="O46" s="23">
        <v>29.0</v>
      </c>
      <c r="P46" s="23">
        <v>388.0</v>
      </c>
      <c r="Q46" s="23">
        <v>11.0</v>
      </c>
      <c r="R46" s="23">
        <v>117.0</v>
      </c>
      <c r="S46" s="23">
        <v>2.0</v>
      </c>
      <c r="T46" s="22">
        <v>31.0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1394.0</v>
      </c>
      <c r="M47" s="22">
        <v>18064.0</v>
      </c>
      <c r="N47" s="22">
        <v>21196.0</v>
      </c>
      <c r="O47" s="23">
        <v>35.0</v>
      </c>
      <c r="P47" s="23">
        <v>423.0</v>
      </c>
      <c r="Q47" s="23">
        <v>13.0</v>
      </c>
      <c r="R47" s="23">
        <v>130.0</v>
      </c>
      <c r="S47" s="23">
        <v>5.0</v>
      </c>
      <c r="T47" s="22">
        <v>36.0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826.0</v>
      </c>
      <c r="M48" s="22">
        <v>18890.0</v>
      </c>
      <c r="N48" s="22">
        <v>22209.0</v>
      </c>
      <c r="O48" s="23">
        <v>35.0</v>
      </c>
      <c r="P48" s="23">
        <v>458.0</v>
      </c>
      <c r="Q48" s="23">
        <v>13.0</v>
      </c>
      <c r="R48" s="23">
        <v>143.0</v>
      </c>
      <c r="S48" s="23">
        <v>3.0</v>
      </c>
      <c r="T48" s="22">
        <v>39.0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1492.0</v>
      </c>
      <c r="M49" s="22">
        <v>20382.0</v>
      </c>
      <c r="N49" s="22">
        <v>23963.0</v>
      </c>
      <c r="O49" s="23">
        <v>27.0</v>
      </c>
      <c r="P49" s="23">
        <v>485.0</v>
      </c>
      <c r="Q49" s="23">
        <v>18.0</v>
      </c>
      <c r="R49" s="23">
        <v>161.0</v>
      </c>
      <c r="S49" s="23">
        <v>5.0</v>
      </c>
      <c r="T49" s="22">
        <v>44.0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1509.0</v>
      </c>
      <c r="M50" s="22">
        <v>21891.0</v>
      </c>
      <c r="N50" s="22">
        <v>25778.0</v>
      </c>
      <c r="O50" s="23">
        <v>31.0</v>
      </c>
      <c r="P50" s="23">
        <v>516.0</v>
      </c>
      <c r="Q50" s="23">
        <v>20.0</v>
      </c>
      <c r="R50" s="23">
        <v>181.0</v>
      </c>
      <c r="S50" s="23">
        <v>3.0</v>
      </c>
      <c r="T50" s="22">
        <v>47.0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2026.0</v>
      </c>
      <c r="M51" s="22">
        <v>23917.0</v>
      </c>
      <c r="N51" s="22">
        <v>28191.0</v>
      </c>
      <c r="O51" s="23">
        <v>36.0</v>
      </c>
      <c r="P51" s="23">
        <v>552.0</v>
      </c>
      <c r="Q51" s="23">
        <v>25.0</v>
      </c>
      <c r="R51" s="23">
        <v>206.0</v>
      </c>
      <c r="S51" s="23">
        <v>6.0</v>
      </c>
      <c r="T51" s="22">
        <v>53.0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1411.0</v>
      </c>
      <c r="M52" s="22">
        <v>25328.0</v>
      </c>
      <c r="N52" s="22">
        <v>29892.0</v>
      </c>
      <c r="O52" s="23">
        <v>32.0</v>
      </c>
      <c r="P52" s="23">
        <v>584.0</v>
      </c>
      <c r="Q52" s="23">
        <v>20.0</v>
      </c>
      <c r="R52" s="23">
        <v>226.0</v>
      </c>
      <c r="S52" s="23">
        <v>7.0</v>
      </c>
      <c r="T52" s="22">
        <v>60.0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1296.0</v>
      </c>
      <c r="M53" s="22">
        <v>26624.0</v>
      </c>
      <c r="N53" s="22">
        <v>31472.0</v>
      </c>
      <c r="O53" s="23">
        <v>26.0</v>
      </c>
      <c r="P53" s="23">
        <v>610.0</v>
      </c>
      <c r="Q53" s="23">
        <v>18.0</v>
      </c>
      <c r="R53" s="23">
        <v>244.0</v>
      </c>
      <c r="S53" s="23">
        <v>4.0</v>
      </c>
      <c r="T53" s="22">
        <v>64.0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1701.0</v>
      </c>
      <c r="M54" s="22">
        <v>28325.0</v>
      </c>
      <c r="N54" s="22">
        <v>33510.0</v>
      </c>
      <c r="O54" s="23">
        <v>23.0</v>
      </c>
      <c r="P54" s="23">
        <v>633.0</v>
      </c>
      <c r="Q54" s="23">
        <v>26.0</v>
      </c>
      <c r="R54" s="23">
        <v>270.0</v>
      </c>
      <c r="S54" s="23">
        <v>1.0</v>
      </c>
      <c r="T54" s="22">
        <v>65.0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1546.0</v>
      </c>
      <c r="M55" s="22">
        <v>29871.0</v>
      </c>
      <c r="N55" s="22">
        <v>35432.0</v>
      </c>
      <c r="O55" s="23">
        <v>46.0</v>
      </c>
      <c r="P55" s="23">
        <v>679.0</v>
      </c>
      <c r="Q55" s="23">
        <v>29.0</v>
      </c>
      <c r="R55" s="23">
        <v>299.0</v>
      </c>
      <c r="S55" s="23">
        <v>2.0</v>
      </c>
      <c r="T55" s="22">
        <v>67.0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1668.0</v>
      </c>
      <c r="M56" s="22">
        <v>31539.0</v>
      </c>
      <c r="N56" s="22">
        <v>37483.0</v>
      </c>
      <c r="O56" s="23">
        <v>45.0</v>
      </c>
      <c r="P56" s="23">
        <v>724.0</v>
      </c>
      <c r="Q56" s="23">
        <v>32.0</v>
      </c>
      <c r="R56" s="23">
        <v>331.0</v>
      </c>
      <c r="S56" s="23">
        <v>5.0</v>
      </c>
      <c r="T56" s="22">
        <v>72.0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1872.0</v>
      </c>
      <c r="M57" s="22">
        <v>33411.0</v>
      </c>
      <c r="N57" s="22">
        <v>39734.0</v>
      </c>
      <c r="O57" s="23">
        <v>41.0</v>
      </c>
      <c r="P57" s="23">
        <v>765.0</v>
      </c>
      <c r="Q57" s="23">
        <v>32.0</v>
      </c>
      <c r="R57" s="23">
        <v>363.0</v>
      </c>
      <c r="S57" s="23">
        <v>5.0</v>
      </c>
      <c r="T57" s="22">
        <v>77.0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1823.0</v>
      </c>
      <c r="M58" s="22">
        <v>35234.0</v>
      </c>
      <c r="N58" s="22">
        <v>41969.0</v>
      </c>
      <c r="O58" s="23">
        <v>32.0</v>
      </c>
      <c r="P58" s="23">
        <v>797.0</v>
      </c>
      <c r="Q58" s="23">
        <v>28.0</v>
      </c>
      <c r="R58" s="23">
        <v>391.0</v>
      </c>
      <c r="S58" s="23">
        <v>5.0</v>
      </c>
      <c r="T58" s="22">
        <v>82.0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2564.0</v>
      </c>
      <c r="M59" s="22">
        <v>37798.0</v>
      </c>
      <c r="N59" s="22">
        <v>44940.0</v>
      </c>
      <c r="O59" s="23">
        <v>35.0</v>
      </c>
      <c r="P59" s="23">
        <v>832.0</v>
      </c>
      <c r="Q59" s="23">
        <v>26.0</v>
      </c>
      <c r="R59" s="23">
        <v>417.0</v>
      </c>
      <c r="S59" s="23">
        <v>4.0</v>
      </c>
      <c r="T59" s="22">
        <v>86.0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1727.0</v>
      </c>
      <c r="M60" s="22">
        <v>39525.0</v>
      </c>
      <c r="N60" s="22">
        <v>46966.0</v>
      </c>
      <c r="O60" s="23">
        <v>34.0</v>
      </c>
      <c r="P60" s="23">
        <v>866.0</v>
      </c>
      <c r="Q60" s="23">
        <v>17.0</v>
      </c>
      <c r="R60" s="23">
        <v>434.0</v>
      </c>
      <c r="S60" s="23">
        <v>5.0</v>
      </c>
      <c r="T60" s="22">
        <v>91.0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1837.0</v>
      </c>
      <c r="M61" s="22">
        <v>41362.0</v>
      </c>
      <c r="N61" s="22">
        <v>49077.0</v>
      </c>
      <c r="O61" s="23">
        <v>33.0</v>
      </c>
      <c r="P61" s="23">
        <v>899.0</v>
      </c>
      <c r="Q61" s="23">
        <v>15.0</v>
      </c>
      <c r="R61" s="23">
        <v>449.0</v>
      </c>
      <c r="S61" s="23">
        <v>3.0</v>
      </c>
      <c r="T61" s="22">
        <v>94.0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1133.0</v>
      </c>
      <c r="M62" s="22">
        <v>42495.0</v>
      </c>
      <c r="N62" s="22">
        <v>50416.0</v>
      </c>
      <c r="O62" s="23">
        <v>29.0</v>
      </c>
      <c r="P62" s="23">
        <v>928.0</v>
      </c>
      <c r="Q62" s="23">
        <v>21.0</v>
      </c>
      <c r="R62" s="23">
        <v>470.0</v>
      </c>
      <c r="S62" s="23">
        <v>4.0</v>
      </c>
      <c r="T62" s="22">
        <v>98.0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1678.0</v>
      </c>
      <c r="M63" s="22">
        <v>44173.0</v>
      </c>
      <c r="N63" s="22">
        <v>52426.0</v>
      </c>
      <c r="O63" s="23">
        <v>44.0</v>
      </c>
      <c r="P63" s="23">
        <v>972.0</v>
      </c>
      <c r="Q63" s="23">
        <v>24.0</v>
      </c>
      <c r="R63" s="23">
        <v>494.0</v>
      </c>
      <c r="S63" s="23">
        <v>3.0</v>
      </c>
      <c r="T63" s="22">
        <v>101.0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2332.0</v>
      </c>
      <c r="M64" s="22">
        <v>46505.0</v>
      </c>
      <c r="N64" s="22">
        <v>55128.0</v>
      </c>
      <c r="O64" s="23">
        <v>36.0</v>
      </c>
      <c r="P64" s="23">
        <v>1008.0</v>
      </c>
      <c r="Q64" s="23">
        <v>38.0</v>
      </c>
      <c r="R64" s="23">
        <v>532.0</v>
      </c>
      <c r="S64" s="23">
        <v>11.0</v>
      </c>
      <c r="T64" s="22">
        <v>112.0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8972.0</v>
      </c>
      <c r="L65" s="22">
        <v>1854.0</v>
      </c>
      <c r="M65" s="22">
        <v>48359.0</v>
      </c>
      <c r="N65" s="22">
        <v>57331.0</v>
      </c>
      <c r="O65" s="23">
        <v>33.0</v>
      </c>
      <c r="P65" s="23">
        <v>1041.0</v>
      </c>
      <c r="Q65" s="23">
        <v>38.0</v>
      </c>
      <c r="R65" s="23">
        <v>570.0</v>
      </c>
      <c r="S65" s="23">
        <v>6.0</v>
      </c>
      <c r="T65" s="22">
        <v>118.0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9295.0</v>
      </c>
      <c r="L66" s="22">
        <v>2110.0</v>
      </c>
      <c r="M66" s="22">
        <v>50469.0</v>
      </c>
      <c r="N66" s="22">
        <v>59764.0</v>
      </c>
      <c r="O66" s="23">
        <v>51.0</v>
      </c>
      <c r="P66" s="23">
        <v>1092.0</v>
      </c>
      <c r="Q66" s="23">
        <v>39.0</v>
      </c>
      <c r="R66" s="23">
        <v>609.0</v>
      </c>
      <c r="S66" s="23">
        <v>3.0</v>
      </c>
      <c r="T66" s="22">
        <v>121.0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1243.0</v>
      </c>
      <c r="M67" s="22">
        <v>51712.0</v>
      </c>
      <c r="N67" s="22">
        <v>61199.0</v>
      </c>
      <c r="O67" s="23">
        <v>36.0</v>
      </c>
      <c r="P67" s="23">
        <v>1128.0</v>
      </c>
      <c r="Q67" s="23">
        <v>38.0</v>
      </c>
      <c r="R67" s="23">
        <v>647.0</v>
      </c>
      <c r="S67" s="23">
        <v>5.0</v>
      </c>
      <c r="T67" s="22">
        <v>126.0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1530.0</v>
      </c>
      <c r="M68" s="22">
        <v>53242.0</v>
      </c>
      <c r="N68" s="22">
        <v>62912.0</v>
      </c>
      <c r="O68" s="23">
        <v>31.0</v>
      </c>
      <c r="P68" s="23">
        <v>1159.0</v>
      </c>
      <c r="Q68" s="23">
        <v>26.0</v>
      </c>
      <c r="R68" s="23">
        <v>673.0</v>
      </c>
      <c r="S68" s="23">
        <v>8.0</v>
      </c>
      <c r="T68" s="22">
        <v>134.0</v>
      </c>
      <c r="U68" s="22">
        <v>352.0</v>
      </c>
      <c r="V68" s="22">
        <v>356.0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1527.0</v>
      </c>
      <c r="M69" s="22">
        <v>54769.0</v>
      </c>
      <c r="N69" s="22">
        <v>64729.0</v>
      </c>
      <c r="O69" s="23">
        <v>30.0</v>
      </c>
      <c r="P69" s="23">
        <v>1189.0</v>
      </c>
      <c r="Q69" s="23">
        <v>31.0</v>
      </c>
      <c r="R69" s="23">
        <v>704.0</v>
      </c>
      <c r="S69" s="23">
        <v>6.0</v>
      </c>
      <c r="T69" s="22">
        <v>140.0</v>
      </c>
      <c r="U69" s="22">
        <v>345.0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10260.0</v>
      </c>
      <c r="L70" s="22">
        <v>1921.0</v>
      </c>
      <c r="M70" s="22">
        <v>56690.0</v>
      </c>
      <c r="N70" s="22">
        <v>66950.0</v>
      </c>
      <c r="O70" s="23">
        <v>29.0</v>
      </c>
      <c r="P70" s="23">
        <v>1218.0</v>
      </c>
      <c r="Q70" s="23">
        <v>32.0</v>
      </c>
      <c r="R70" s="23">
        <v>736.0</v>
      </c>
      <c r="S70" s="23">
        <v>6.0</v>
      </c>
      <c r="T70" s="22">
        <v>146.0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10600.0</v>
      </c>
      <c r="L71" s="22">
        <v>1885.0</v>
      </c>
      <c r="M71" s="22">
        <v>58575.0</v>
      </c>
      <c r="N71" s="22">
        <v>69175.0</v>
      </c>
      <c r="O71" s="23">
        <v>28.0</v>
      </c>
      <c r="P71" s="23">
        <v>1246.0</v>
      </c>
      <c r="Q71" s="23">
        <v>44.0</v>
      </c>
      <c r="R71" s="23">
        <v>780.0</v>
      </c>
      <c r="S71" s="23">
        <v>9.0</v>
      </c>
      <c r="T71" s="22">
        <v>155.0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10869.0</v>
      </c>
      <c r="L72" s="22">
        <v>1927.0</v>
      </c>
      <c r="M72" s="22">
        <v>60502.0</v>
      </c>
      <c r="N72" s="22">
        <v>71371.0</v>
      </c>
      <c r="O72" s="23">
        <v>36.0</v>
      </c>
      <c r="P72" s="23">
        <v>1282.0</v>
      </c>
      <c r="Q72" s="23">
        <v>43.0</v>
      </c>
      <c r="R72" s="23">
        <v>823.0</v>
      </c>
      <c r="S72" s="23">
        <v>5.0</v>
      </c>
      <c r="T72" s="22">
        <v>160.0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11098.0</v>
      </c>
      <c r="L73" s="22">
        <v>1706.0</v>
      </c>
      <c r="M73" s="22">
        <v>62208.0</v>
      </c>
      <c r="N73" s="22">
        <v>73306.0</v>
      </c>
      <c r="O73" s="23">
        <v>30.0</v>
      </c>
      <c r="P73" s="23">
        <v>1312.0</v>
      </c>
      <c r="Q73" s="23">
        <v>29.0</v>
      </c>
      <c r="R73" s="23">
        <v>852.0</v>
      </c>
      <c r="S73" s="23">
        <v>5.0</v>
      </c>
      <c r="T73" s="22">
        <v>165.0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2200.0</v>
      </c>
      <c r="M74" s="22">
        <v>64408.0</v>
      </c>
      <c r="N74" s="22">
        <v>75796.0</v>
      </c>
      <c r="O74" s="23">
        <v>22.0</v>
      </c>
      <c r="P74" s="23">
        <v>1334.0</v>
      </c>
      <c r="Q74" s="23">
        <v>21.0</v>
      </c>
      <c r="R74" s="23">
        <v>873.0</v>
      </c>
      <c r="S74" s="23">
        <v>4.0</v>
      </c>
      <c r="T74" s="22">
        <v>169.0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1486.0</v>
      </c>
      <c r="M75" s="22">
        <v>65894.0</v>
      </c>
      <c r="N75" s="22">
        <v>77471.0</v>
      </c>
      <c r="O75" s="23">
        <v>20.0</v>
      </c>
      <c r="P75" s="23">
        <v>1354.0</v>
      </c>
      <c r="Q75" s="23">
        <v>23.0</v>
      </c>
      <c r="R75" s="23">
        <v>896.0</v>
      </c>
      <c r="S75" s="23">
        <v>6.0</v>
      </c>
      <c r="T75" s="22">
        <v>175.0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1272.0</v>
      </c>
      <c r="M76" s="22">
        <v>67166.0</v>
      </c>
      <c r="N76" s="22">
        <v>78917.0</v>
      </c>
      <c r="O76" s="23">
        <v>31.0</v>
      </c>
      <c r="P76" s="23">
        <v>1385.0</v>
      </c>
      <c r="Q76" s="23">
        <v>16.0</v>
      </c>
      <c r="R76" s="23">
        <v>912.0</v>
      </c>
      <c r="S76" s="23">
        <v>6.0</v>
      </c>
      <c r="T76" s="22">
        <v>181.0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1631.0</v>
      </c>
      <c r="M77" s="22">
        <v>68797.0</v>
      </c>
      <c r="N77" s="22">
        <v>80772.0</v>
      </c>
      <c r="O77" s="23">
        <v>23.0</v>
      </c>
      <c r="P77" s="23">
        <v>1408.0</v>
      </c>
      <c r="Q77" s="23">
        <v>18.0</v>
      </c>
      <c r="R77" s="23">
        <v>930.0</v>
      </c>
      <c r="S77" s="23">
        <v>4.0</v>
      </c>
      <c r="T77" s="22">
        <v>185.0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1914.0</v>
      </c>
      <c r="M78" s="22">
        <v>70711.0</v>
      </c>
      <c r="N78" s="22">
        <v>82885.0</v>
      </c>
      <c r="O78" s="23">
        <v>23.0</v>
      </c>
      <c r="P78" s="23">
        <v>1431.0</v>
      </c>
      <c r="Q78" s="23">
        <v>25.0</v>
      </c>
      <c r="R78" s="23">
        <v>955.0</v>
      </c>
      <c r="S78" s="23">
        <v>1.0</v>
      </c>
      <c r="T78" s="22">
        <v>186.0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1952.0</v>
      </c>
      <c r="M79" s="22">
        <v>72663.0</v>
      </c>
      <c r="N79" s="22">
        <v>85069.0</v>
      </c>
      <c r="O79" s="23">
        <v>19.0</v>
      </c>
      <c r="P79" s="23">
        <v>1450.0</v>
      </c>
      <c r="Q79" s="23">
        <v>27.0</v>
      </c>
      <c r="R79" s="23">
        <v>982.0</v>
      </c>
      <c r="S79" s="23">
        <v>3.0</v>
      </c>
      <c r="T79" s="22">
        <v>189.0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1763.0</v>
      </c>
      <c r="M80" s="22">
        <v>74426.0</v>
      </c>
      <c r="N80" s="22">
        <v>87064.0</v>
      </c>
      <c r="O80" s="23">
        <v>24.0</v>
      </c>
      <c r="P80" s="23">
        <v>1474.0</v>
      </c>
      <c r="Q80" s="23">
        <v>41.0</v>
      </c>
      <c r="R80" s="23">
        <v>1023.0</v>
      </c>
      <c r="S80" s="23">
        <v>5.0</v>
      </c>
      <c r="T80" s="22">
        <v>194.0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1906.0</v>
      </c>
      <c r="M81" s="22">
        <v>76332.0</v>
      </c>
      <c r="N81" s="22">
        <v>89217.0</v>
      </c>
      <c r="O81" s="23">
        <v>25.0</v>
      </c>
      <c r="P81" s="23">
        <v>1499.0</v>
      </c>
      <c r="Q81" s="23">
        <v>15.0</v>
      </c>
      <c r="R81" s="23">
        <v>1038.0</v>
      </c>
      <c r="S81" s="23">
        <v>5.0</v>
      </c>
      <c r="T81" s="22">
        <v>199.0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1514.0</v>
      </c>
      <c r="M82" s="22">
        <v>77846.0</v>
      </c>
      <c r="N82" s="22">
        <v>90857.0</v>
      </c>
      <c r="O82" s="23">
        <v>17.0</v>
      </c>
      <c r="P82" s="23">
        <v>1516.0</v>
      </c>
      <c r="Q82" s="23">
        <v>9.0</v>
      </c>
      <c r="R82" s="23">
        <v>1047.0</v>
      </c>
      <c r="S82" s="23">
        <v>5.0</v>
      </c>
      <c r="T82" s="22">
        <v>204.0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1349.0</v>
      </c>
      <c r="M83" s="22">
        <v>79195.0</v>
      </c>
      <c r="N83" s="22">
        <v>92341.0</v>
      </c>
      <c r="O83" s="23">
        <v>19.0</v>
      </c>
      <c r="P83" s="23">
        <v>1535.0</v>
      </c>
      <c r="Q83" s="23">
        <v>16.0</v>
      </c>
      <c r="R83" s="23">
        <v>1063.0</v>
      </c>
      <c r="S83" s="23">
        <v>5.0</v>
      </c>
      <c r="T83" s="22">
        <v>209.0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1894.0</v>
      </c>
      <c r="M84" s="22">
        <v>81089.0</v>
      </c>
      <c r="N84" s="22">
        <v>94450.0</v>
      </c>
      <c r="O84" s="23">
        <v>23.0</v>
      </c>
      <c r="P84" s="23">
        <v>1558.0</v>
      </c>
      <c r="Q84" s="23">
        <v>33.0</v>
      </c>
      <c r="R84" s="23">
        <v>1096.0</v>
      </c>
      <c r="S84" s="23">
        <v>5.0</v>
      </c>
      <c r="T84" s="22">
        <v>214.0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1497.0</v>
      </c>
      <c r="M85" s="22">
        <v>82586.0</v>
      </c>
      <c r="N85" s="22">
        <v>96131.0</v>
      </c>
      <c r="O85" s="23">
        <v>19.0</v>
      </c>
      <c r="P85" s="23">
        <v>1577.0</v>
      </c>
      <c r="Q85" s="23">
        <v>23.0</v>
      </c>
      <c r="R85" s="23">
        <v>1119.0</v>
      </c>
      <c r="S85" s="23">
        <v>7.0</v>
      </c>
      <c r="T85" s="22">
        <v>221.0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1912.0</v>
      </c>
      <c r="M86" s="22">
        <v>84498.0</v>
      </c>
      <c r="N86" s="22">
        <v>98211.0</v>
      </c>
      <c r="O86" s="23">
        <v>25.0</v>
      </c>
      <c r="P86" s="23">
        <v>1602.0</v>
      </c>
      <c r="Q86" s="23">
        <v>15.0</v>
      </c>
      <c r="R86" s="23">
        <v>1134.0</v>
      </c>
      <c r="S86" s="23">
        <v>3.0</v>
      </c>
      <c r="T86" s="22">
        <v>224.0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1576.0</v>
      </c>
      <c r="M87" s="22">
        <v>86074.0</v>
      </c>
      <c r="N87" s="22">
        <v>99993.0</v>
      </c>
      <c r="O87" s="23">
        <v>20.0</v>
      </c>
      <c r="P87" s="23">
        <v>1622.0</v>
      </c>
      <c r="Q87" s="23">
        <v>28.0</v>
      </c>
      <c r="R87" s="23">
        <v>1162.0</v>
      </c>
      <c r="S87" s="23">
        <v>5.0</v>
      </c>
      <c r="T87" s="22">
        <v>229.0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1248.0</v>
      </c>
      <c r="M88" s="22">
        <v>87322.0</v>
      </c>
      <c r="N88" s="22">
        <v>101350.0</v>
      </c>
      <c r="O88" s="23">
        <v>19.0</v>
      </c>
      <c r="P88" s="23">
        <v>1641.0</v>
      </c>
      <c r="Q88" s="23">
        <v>11.0</v>
      </c>
      <c r="R88" s="23">
        <v>1173.0</v>
      </c>
      <c r="S88" s="23">
        <v>3.0</v>
      </c>
      <c r="T88" s="22">
        <v>232.0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764.0</v>
      </c>
      <c r="M89" s="22">
        <v>88086.0</v>
      </c>
      <c r="N89" s="22">
        <v>102197.0</v>
      </c>
      <c r="O89" s="23">
        <v>13.0</v>
      </c>
      <c r="P89" s="23">
        <v>1654.0</v>
      </c>
      <c r="Q89" s="23">
        <v>14.0</v>
      </c>
      <c r="R89" s="23">
        <v>1187.0</v>
      </c>
      <c r="S89" s="23">
        <v>2.0</v>
      </c>
      <c r="T89" s="22">
        <v>234.0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746.0</v>
      </c>
      <c r="M90" s="22">
        <v>88832.0</v>
      </c>
      <c r="N90" s="22">
        <v>103019.0</v>
      </c>
      <c r="O90" s="23">
        <v>14.0</v>
      </c>
      <c r="P90" s="23">
        <v>1668.0</v>
      </c>
      <c r="Q90" s="23">
        <v>14.0</v>
      </c>
      <c r="R90" s="23">
        <v>1201.0</v>
      </c>
      <c r="S90" s="23">
        <v>0.0</v>
      </c>
      <c r="T90" s="22">
        <v>234.0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1734.0</v>
      </c>
      <c r="M91" s="22">
        <v>90566.0</v>
      </c>
      <c r="N91" s="22">
        <v>104911.0</v>
      </c>
      <c r="O91" s="23">
        <v>24.0</v>
      </c>
      <c r="P91" s="23">
        <v>1692.0</v>
      </c>
      <c r="Q91" s="23">
        <v>21.0</v>
      </c>
      <c r="R91" s="23">
        <v>1222.0</v>
      </c>
      <c r="S91" s="23">
        <v>5.0</v>
      </c>
      <c r="T91" s="22">
        <v>239.0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1119.0</v>
      </c>
      <c r="M92" s="22">
        <v>91685.0</v>
      </c>
      <c r="N92" s="22">
        <v>106162.0</v>
      </c>
      <c r="O92" s="23">
        <v>20.0</v>
      </c>
      <c r="P92" s="23">
        <v>1712.0</v>
      </c>
      <c r="Q92" s="23">
        <v>18.0</v>
      </c>
      <c r="R92" s="23">
        <v>1240.0</v>
      </c>
      <c r="S92" s="23">
        <v>3.0</v>
      </c>
      <c r="T92" s="22">
        <v>242.0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1105.0</v>
      </c>
      <c r="M93" s="22">
        <v>92790.0</v>
      </c>
      <c r="N93" s="22">
        <v>107397.0</v>
      </c>
      <c r="O93" s="23">
        <v>17.0</v>
      </c>
      <c r="P93" s="23">
        <v>1729.0</v>
      </c>
      <c r="Q93" s="23">
        <v>29.0</v>
      </c>
      <c r="R93" s="23">
        <v>1269.0</v>
      </c>
      <c r="S93" s="23">
        <v>4.0</v>
      </c>
      <c r="T93" s="22">
        <v>246.0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1549.0</v>
      </c>
      <c r="M94" s="22">
        <v>94339.0</v>
      </c>
      <c r="N94" s="22">
        <v>109120.0</v>
      </c>
      <c r="O94" s="23">
        <v>19.0</v>
      </c>
      <c r="P94" s="23">
        <v>1748.0</v>
      </c>
      <c r="Q94" s="23">
        <v>26.0</v>
      </c>
      <c r="R94" s="23">
        <v>1295.0</v>
      </c>
      <c r="S94" s="23">
        <v>7.0</v>
      </c>
      <c r="T94" s="22">
        <v>253.0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1782.0</v>
      </c>
      <c r="M95" s="22">
        <v>96121.0</v>
      </c>
      <c r="N95" s="22">
        <v>111011.0</v>
      </c>
      <c r="O95" s="23">
        <v>16.0</v>
      </c>
      <c r="P95" s="23">
        <v>1764.0</v>
      </c>
      <c r="Q95" s="23">
        <v>19.0</v>
      </c>
      <c r="R95" s="23">
        <v>1314.0</v>
      </c>
      <c r="S95" s="23">
        <v>4.0</v>
      </c>
      <c r="T95" s="22">
        <v>257.0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840.0</v>
      </c>
      <c r="M96" s="22">
        <v>96961.0</v>
      </c>
      <c r="N96" s="22">
        <v>111929.0</v>
      </c>
      <c r="O96" s="23">
        <v>11.0</v>
      </c>
      <c r="P96" s="23">
        <v>1775.0</v>
      </c>
      <c r="Q96" s="23">
        <v>11.0</v>
      </c>
      <c r="R96" s="23">
        <v>1325.0</v>
      </c>
      <c r="S96" s="23">
        <v>1.0</v>
      </c>
      <c r="T96" s="22">
        <v>258.0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1362.0</v>
      </c>
      <c r="M97" s="22">
        <v>98323.0</v>
      </c>
      <c r="N97" s="22">
        <v>113384.0</v>
      </c>
      <c r="O97" s="26">
        <v>8.0</v>
      </c>
      <c r="P97" s="26">
        <v>1783.0</v>
      </c>
      <c r="Q97" s="26">
        <v>14.0</v>
      </c>
      <c r="R97" s="26">
        <v>1339.0</v>
      </c>
      <c r="S97" s="26">
        <v>1.0</v>
      </c>
      <c r="T97" s="26">
        <v>259.0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1413.0</v>
      </c>
      <c r="M98" s="22">
        <v>99736.0</v>
      </c>
      <c r="N98" s="22">
        <v>114895.0</v>
      </c>
      <c r="O98" s="26">
        <v>8.0</v>
      </c>
      <c r="P98" s="26">
        <v>1791.0</v>
      </c>
      <c r="Q98" s="26">
        <v>10.0</v>
      </c>
      <c r="R98" s="26">
        <v>1349.0</v>
      </c>
      <c r="S98" s="26">
        <v>3.0</v>
      </c>
      <c r="T98" s="26">
        <v>262.0</v>
      </c>
      <c r="U98" s="26">
        <v>180.0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1637.0</v>
      </c>
      <c r="M99" s="22">
        <v>101373.0</v>
      </c>
      <c r="N99" s="22">
        <v>116631.0</v>
      </c>
      <c r="O99" s="26">
        <v>14.0</v>
      </c>
      <c r="P99" s="26">
        <v>1805.0</v>
      </c>
      <c r="Q99" s="26">
        <v>18.0</v>
      </c>
      <c r="R99" s="26">
        <v>1367.0</v>
      </c>
      <c r="S99" s="26">
        <v>6.0</v>
      </c>
      <c r="T99" s="26">
        <v>268.0</v>
      </c>
      <c r="U99" s="26">
        <v>170.0</v>
      </c>
      <c r="V99" s="26">
        <v>178.0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2002.0</v>
      </c>
      <c r="M100" s="22">
        <v>103375.0</v>
      </c>
      <c r="N100" s="22">
        <v>118740.0</v>
      </c>
      <c r="O100" s="26">
        <v>7.0</v>
      </c>
      <c r="P100" s="26">
        <v>1812.0</v>
      </c>
      <c r="Q100" s="26">
        <v>26.0</v>
      </c>
      <c r="R100" s="26">
        <v>1393.0</v>
      </c>
      <c r="S100" s="26">
        <v>4.0</v>
      </c>
      <c r="T100" s="26">
        <v>272.0</v>
      </c>
      <c r="U100" s="26">
        <v>147.0</v>
      </c>
      <c r="V100" s="26">
        <v>166.0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1536.0</v>
      </c>
      <c r="M101" s="22">
        <v>104911.0</v>
      </c>
      <c r="N101" s="22">
        <v>120375.0</v>
      </c>
      <c r="O101" s="26">
        <v>15.0</v>
      </c>
      <c r="P101" s="26">
        <v>1827.0</v>
      </c>
      <c r="Q101" s="26">
        <v>13.0</v>
      </c>
      <c r="R101" s="26">
        <v>1406.0</v>
      </c>
      <c r="S101" s="26">
        <v>6.0</v>
      </c>
      <c r="T101" s="26">
        <v>278.0</v>
      </c>
      <c r="U101" s="26">
        <v>143.0</v>
      </c>
      <c r="V101" s="26">
        <v>153.0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1105.0</v>
      </c>
      <c r="M102" s="22">
        <v>106016.0</v>
      </c>
      <c r="N102" s="22">
        <v>121547.0</v>
      </c>
      <c r="O102" s="26">
        <v>10.0</v>
      </c>
      <c r="P102" s="26">
        <v>1837.0</v>
      </c>
      <c r="Q102" s="26">
        <v>7.0</v>
      </c>
      <c r="R102" s="26">
        <v>1413.0</v>
      </c>
      <c r="S102" s="26">
        <v>2.0</v>
      </c>
      <c r="T102" s="26">
        <v>280.0</v>
      </c>
      <c r="U102" s="26">
        <v>144.0</v>
      </c>
      <c r="V102" s="26">
        <v>145.0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776.0</v>
      </c>
      <c r="M103" s="22">
        <v>106792.0</v>
      </c>
      <c r="N103" s="22">
        <v>122374.0</v>
      </c>
      <c r="O103" s="26">
        <v>11.0</v>
      </c>
      <c r="P103" s="26">
        <v>1848.0</v>
      </c>
      <c r="Q103" s="26">
        <v>7.0</v>
      </c>
      <c r="R103" s="26">
        <v>1420.0</v>
      </c>
      <c r="S103" s="26">
        <v>1.0</v>
      </c>
      <c r="T103" s="26">
        <v>281.0</v>
      </c>
      <c r="U103" s="26">
        <v>147.0</v>
      </c>
      <c r="V103" s="26">
        <v>145.0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15627.0</v>
      </c>
      <c r="L104" s="28">
        <v>943.0</v>
      </c>
      <c r="M104" s="28">
        <v>107735.0</v>
      </c>
      <c r="N104" s="28">
        <v>123362.0</v>
      </c>
      <c r="O104" s="28">
        <v>15.0</v>
      </c>
      <c r="P104" s="30">
        <v>1863.0</v>
      </c>
      <c r="Q104" s="30">
        <v>13.0</v>
      </c>
      <c r="R104" s="30">
        <v>1433.0</v>
      </c>
      <c r="S104" s="30">
        <v>2.0</v>
      </c>
      <c r="T104" s="30">
        <v>283.0</v>
      </c>
      <c r="U104" s="30">
        <v>147.0</v>
      </c>
      <c r="V104" s="30">
        <v>146.0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15691.0</v>
      </c>
      <c r="L105" s="28">
        <v>1238.0</v>
      </c>
      <c r="M105" s="28">
        <v>108973.0</v>
      </c>
      <c r="N105" s="28">
        <v>124664.0</v>
      </c>
      <c r="O105" s="28">
        <v>10.0</v>
      </c>
      <c r="P105" s="30">
        <v>1873.0</v>
      </c>
      <c r="Q105" s="30">
        <v>19.0</v>
      </c>
      <c r="R105" s="30">
        <v>1452.0</v>
      </c>
      <c r="S105" s="30">
        <v>0.0</v>
      </c>
      <c r="T105" s="30">
        <v>283.0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15791.0</v>
      </c>
      <c r="L106" s="28">
        <v>1447.0</v>
      </c>
      <c r="M106" s="28">
        <v>110420.0</v>
      </c>
      <c r="N106" s="28">
        <v>126211.0</v>
      </c>
      <c r="O106" s="28">
        <v>13.0</v>
      </c>
      <c r="P106" s="30">
        <v>1886.0</v>
      </c>
      <c r="Q106" s="30">
        <v>12.0</v>
      </c>
      <c r="R106" s="30">
        <v>1464.0</v>
      </c>
      <c r="S106" s="30">
        <v>2.0</v>
      </c>
      <c r="T106" s="30">
        <v>285.0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15879.0</v>
      </c>
      <c r="L107" s="28">
        <v>1510.0</v>
      </c>
      <c r="M107" s="28">
        <v>111930.0</v>
      </c>
      <c r="N107" s="28">
        <v>127809.0</v>
      </c>
      <c r="O107" s="28">
        <v>7.0</v>
      </c>
      <c r="P107" s="30">
        <v>1893.0</v>
      </c>
      <c r="Q107" s="30">
        <v>15.0</v>
      </c>
      <c r="R107" s="30">
        <v>1479.0</v>
      </c>
      <c r="S107" s="30">
        <v>1.0</v>
      </c>
      <c r="T107" s="30">
        <v>286.0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15957.0</v>
      </c>
      <c r="L108" s="28">
        <v>2153.0</v>
      </c>
      <c r="M108" s="28">
        <v>114083.0</v>
      </c>
      <c r="N108" s="28">
        <v>130040.0</v>
      </c>
      <c r="O108" s="28">
        <v>9.0</v>
      </c>
      <c r="P108" s="30">
        <v>1902.0</v>
      </c>
      <c r="Q108" s="30">
        <v>16.0</v>
      </c>
      <c r="R108" s="30">
        <v>1495.0</v>
      </c>
      <c r="S108" s="30">
        <v>1.0</v>
      </c>
      <c r="T108" s="30">
        <v>287.0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16006.0</v>
      </c>
      <c r="L109" s="28">
        <v>1357.0</v>
      </c>
      <c r="M109" s="28">
        <v>115440.0</v>
      </c>
      <c r="N109" s="28">
        <v>131446.0</v>
      </c>
      <c r="O109" s="28">
        <v>6.0</v>
      </c>
      <c r="P109" s="30">
        <v>1908.0</v>
      </c>
      <c r="Q109" s="30">
        <v>5.0</v>
      </c>
      <c r="R109" s="30">
        <v>1500.0</v>
      </c>
      <c r="S109" s="30">
        <v>0.0</v>
      </c>
      <c r="T109" s="30">
        <v>287.0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16039.0</v>
      </c>
      <c r="L110" s="28">
        <v>957.0</v>
      </c>
      <c r="M110" s="28">
        <v>116397.0</v>
      </c>
      <c r="N110" s="28">
        <v>132436.0</v>
      </c>
      <c r="O110" s="28">
        <v>7.0</v>
      </c>
      <c r="P110" s="30">
        <v>1915.0</v>
      </c>
      <c r="Q110" s="30">
        <v>8.0</v>
      </c>
      <c r="R110" s="30">
        <v>1508.0</v>
      </c>
      <c r="S110" s="30">
        <v>1.0</v>
      </c>
      <c r="T110" s="30">
        <v>288.0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16114.0</v>
      </c>
      <c r="L111" s="28">
        <v>1762.0</v>
      </c>
      <c r="M111" s="28">
        <v>118159.0</v>
      </c>
      <c r="N111" s="28">
        <v>134273.0</v>
      </c>
      <c r="O111" s="28">
        <v>14.0</v>
      </c>
      <c r="P111" s="30">
        <v>1929.0</v>
      </c>
      <c r="Q111" s="30">
        <v>19.0</v>
      </c>
      <c r="R111" s="30">
        <v>1527.0</v>
      </c>
      <c r="S111" s="30">
        <v>0.0</v>
      </c>
      <c r="T111" s="30">
        <v>288.0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16164.0</v>
      </c>
      <c r="L112" s="28">
        <v>1516.0</v>
      </c>
      <c r="M112" s="28">
        <v>119675.0</v>
      </c>
      <c r="N112" s="28">
        <v>135839.0</v>
      </c>
      <c r="O112" s="28">
        <v>11.0</v>
      </c>
      <c r="P112" s="30">
        <v>1940.0</v>
      </c>
      <c r="Q112" s="30">
        <v>9.0</v>
      </c>
      <c r="R112" s="30">
        <v>1536.0</v>
      </c>
      <c r="S112" s="30">
        <v>1.0</v>
      </c>
      <c r="T112" s="30">
        <v>289.0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16214.0</v>
      </c>
      <c r="L113" s="28">
        <v>1295.0</v>
      </c>
      <c r="M113" s="28">
        <v>120970.0</v>
      </c>
      <c r="N113" s="28">
        <v>137184.0</v>
      </c>
      <c r="O113" s="28">
        <v>15.0</v>
      </c>
      <c r="P113" s="30">
        <v>1955.0</v>
      </c>
      <c r="Q113" s="30">
        <v>21.0</v>
      </c>
      <c r="R113" s="30">
        <v>1557.0</v>
      </c>
      <c r="S113" s="30">
        <v>4.0</v>
      </c>
      <c r="T113" s="30">
        <v>293.0</v>
      </c>
      <c r="U113" s="30">
        <v>105.0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16284.0</v>
      </c>
      <c r="L114" s="28">
        <v>1304.0</v>
      </c>
      <c r="M114" s="28">
        <v>122274.0</v>
      </c>
      <c r="N114" s="28">
        <v>138558.0</v>
      </c>
      <c r="O114" s="28">
        <v>9.0</v>
      </c>
      <c r="P114" s="30">
        <v>1964.0</v>
      </c>
      <c r="Q114" s="30">
        <v>15.0</v>
      </c>
      <c r="R114" s="30">
        <v>1572.0</v>
      </c>
      <c r="S114" s="30">
        <v>1.0</v>
      </c>
      <c r="T114" s="30">
        <v>294.0</v>
      </c>
      <c r="U114" s="30">
        <v>98.0</v>
      </c>
      <c r="V114" s="30">
        <v>106.0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16343.0</v>
      </c>
      <c r="L115" s="28">
        <v>1343.0</v>
      </c>
      <c r="M115" s="28">
        <v>123617.0</v>
      </c>
      <c r="N115" s="28">
        <v>139960.0</v>
      </c>
      <c r="O115" s="28">
        <v>12.0</v>
      </c>
      <c r="P115" s="30">
        <v>1976.0</v>
      </c>
      <c r="Q115" s="30">
        <v>12.0</v>
      </c>
      <c r="R115" s="30">
        <v>1584.0</v>
      </c>
      <c r="S115" s="30">
        <v>1.0</v>
      </c>
      <c r="T115" s="30">
        <v>295.0</v>
      </c>
      <c r="U115" s="30">
        <v>97.0</v>
      </c>
      <c r="V115" s="30">
        <v>100.0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16379.0</v>
      </c>
      <c r="L116" s="28">
        <v>806.0</v>
      </c>
      <c r="M116" s="28">
        <v>124423.0</v>
      </c>
      <c r="N116" s="28">
        <v>140802.0</v>
      </c>
      <c r="O116" s="28">
        <v>9.0</v>
      </c>
      <c r="P116" s="30">
        <v>1985.0</v>
      </c>
      <c r="Q116" s="30">
        <v>12.0</v>
      </c>
      <c r="R116" s="30">
        <v>1596.0</v>
      </c>
      <c r="S116" s="30">
        <v>0.0</v>
      </c>
      <c r="T116" s="30">
        <v>295.0</v>
      </c>
      <c r="U116" s="30">
        <v>94.0</v>
      </c>
      <c r="V116" s="30">
        <v>96.0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16409.0</v>
      </c>
      <c r="L117" s="28">
        <v>684.0</v>
      </c>
      <c r="M117" s="28">
        <v>125107.0</v>
      </c>
      <c r="N117" s="28">
        <v>141516.0</v>
      </c>
      <c r="O117" s="28">
        <v>8.0</v>
      </c>
      <c r="P117" s="30">
        <v>1993.0</v>
      </c>
      <c r="Q117" s="30">
        <v>5.0</v>
      </c>
      <c r="R117" s="30">
        <v>1601.0</v>
      </c>
      <c r="S117" s="30">
        <v>0.0</v>
      </c>
      <c r="T117" s="30">
        <v>295.0</v>
      </c>
      <c r="U117" s="30">
        <v>97.0</v>
      </c>
      <c r="V117" s="30">
        <v>96.0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16474.0</v>
      </c>
      <c r="L118" s="28">
        <v>1685.0</v>
      </c>
      <c r="M118" s="28">
        <v>126792.0</v>
      </c>
      <c r="N118" s="28">
        <v>143266.0</v>
      </c>
      <c r="O118" s="28">
        <v>12.0</v>
      </c>
      <c r="P118" s="30">
        <v>2005.0</v>
      </c>
      <c r="Q118" s="30">
        <v>17.0</v>
      </c>
      <c r="R118" s="30">
        <v>1618.0</v>
      </c>
      <c r="S118" s="30">
        <v>0.0</v>
      </c>
      <c r="T118" s="30">
        <v>295.0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16555.0</v>
      </c>
      <c r="L119" s="28">
        <v>1761.0</v>
      </c>
      <c r="M119" s="28">
        <v>128553.0</v>
      </c>
      <c r="N119" s="28">
        <v>145108.0</v>
      </c>
      <c r="O119" s="28">
        <v>3.0</v>
      </c>
      <c r="P119" s="30">
        <v>2008.0</v>
      </c>
      <c r="Q119" s="30">
        <v>13.0</v>
      </c>
      <c r="R119" s="30">
        <v>1631.0</v>
      </c>
      <c r="S119" s="30">
        <v>3.0</v>
      </c>
      <c r="T119" s="30">
        <v>298.0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16599.0</v>
      </c>
      <c r="L120" s="28">
        <v>1665.0</v>
      </c>
      <c r="M120" s="28">
        <v>130218.0</v>
      </c>
      <c r="N120" s="28">
        <v>146817.0</v>
      </c>
      <c r="O120" s="28">
        <v>9.0</v>
      </c>
      <c r="P120" s="30">
        <v>2017.0</v>
      </c>
      <c r="Q120" s="30">
        <v>11.0</v>
      </c>
      <c r="R120" s="30">
        <v>1642.0</v>
      </c>
      <c r="S120" s="30">
        <v>1.0</v>
      </c>
      <c r="T120" s="30">
        <v>299.0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16649.0</v>
      </c>
      <c r="L121" s="28">
        <v>1483.0</v>
      </c>
      <c r="M121" s="28">
        <v>131701.0</v>
      </c>
      <c r="N121" s="28">
        <v>148350.0</v>
      </c>
      <c r="O121" s="28">
        <v>6.0</v>
      </c>
      <c r="P121" s="30">
        <v>2023.0</v>
      </c>
      <c r="Q121" s="30">
        <v>14.0</v>
      </c>
      <c r="R121" s="30">
        <v>1656.0</v>
      </c>
      <c r="S121" s="30">
        <v>1.0</v>
      </c>
      <c r="T121" s="30">
        <v>300.0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16709.0</v>
      </c>
      <c r="L122" s="28">
        <v>1311.0</v>
      </c>
      <c r="M122" s="28">
        <v>133012.0</v>
      </c>
      <c r="N122" s="28">
        <v>149721.0</v>
      </c>
      <c r="O122" s="28">
        <v>2.0</v>
      </c>
      <c r="P122" s="30">
        <v>2025.0</v>
      </c>
      <c r="Q122" s="30">
        <v>10.0</v>
      </c>
      <c r="R122" s="30">
        <v>1666.0</v>
      </c>
      <c r="S122" s="30">
        <v>0.0</v>
      </c>
      <c r="T122" s="30">
        <v>300.0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16746.0</v>
      </c>
      <c r="L123" s="28">
        <v>1197.0</v>
      </c>
      <c r="M123" s="28">
        <v>134209.0</v>
      </c>
      <c r="N123" s="28">
        <v>150955.0</v>
      </c>
      <c r="O123" s="28">
        <v>5.0</v>
      </c>
      <c r="P123" s="30">
        <v>2030.0</v>
      </c>
      <c r="Q123" s="30">
        <v>3.0</v>
      </c>
      <c r="R123" s="30">
        <v>1669.0</v>
      </c>
      <c r="S123" s="30">
        <v>1.0</v>
      </c>
      <c r="T123" s="30">
        <v>301.0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16763.0</v>
      </c>
      <c r="L124" s="28">
        <v>588.0</v>
      </c>
      <c r="M124" s="28">
        <v>134797.0</v>
      </c>
      <c r="N124" s="28">
        <v>151560.0</v>
      </c>
      <c r="O124" s="28">
        <v>4.0</v>
      </c>
      <c r="P124" s="30">
        <v>2034.0</v>
      </c>
      <c r="Q124" s="30">
        <v>4.0</v>
      </c>
      <c r="R124" s="30">
        <v>1673.0</v>
      </c>
      <c r="S124" s="30">
        <v>4.0</v>
      </c>
      <c r="T124" s="30">
        <v>305.0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16802.0</v>
      </c>
      <c r="L125" s="28">
        <v>1336.0</v>
      </c>
      <c r="M125" s="28">
        <v>136133.0</v>
      </c>
      <c r="N125" s="28">
        <v>152935.0</v>
      </c>
      <c r="O125" s="28">
        <v>4.0</v>
      </c>
      <c r="P125" s="30">
        <v>2038.0</v>
      </c>
      <c r="Q125" s="30">
        <v>5.0</v>
      </c>
      <c r="R125" s="30">
        <v>1678.0</v>
      </c>
      <c r="S125" s="30">
        <v>0.0</v>
      </c>
      <c r="T125" s="30">
        <v>305.0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16835.0</v>
      </c>
      <c r="L126" s="28">
        <v>987.0</v>
      </c>
      <c r="M126" s="28">
        <v>137120.0</v>
      </c>
      <c r="N126" s="28">
        <v>153955.0</v>
      </c>
      <c r="O126" s="28">
        <v>1.0</v>
      </c>
      <c r="P126" s="30">
        <v>2039.0</v>
      </c>
      <c r="Q126" s="30">
        <v>5.0</v>
      </c>
      <c r="R126" s="30">
        <v>1683.0</v>
      </c>
      <c r="S126" s="30">
        <v>1.0</v>
      </c>
      <c r="T126" s="30">
        <v>306.0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16914.0</v>
      </c>
      <c r="L127" s="28">
        <v>1905.0</v>
      </c>
      <c r="M127" s="28">
        <v>139025.0</v>
      </c>
      <c r="N127" s="28">
        <v>155939.0</v>
      </c>
      <c r="O127" s="28">
        <v>8.0</v>
      </c>
      <c r="P127" s="30">
        <v>2047.0</v>
      </c>
      <c r="Q127" s="30">
        <v>10.0</v>
      </c>
      <c r="R127" s="30">
        <v>1693.0</v>
      </c>
      <c r="S127" s="30">
        <v>0.0</v>
      </c>
      <c r="T127" s="30">
        <v>306.0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16973.0</v>
      </c>
      <c r="L128" s="28">
        <v>1071.0</v>
      </c>
      <c r="M128" s="28">
        <v>140096.0</v>
      </c>
      <c r="N128" s="28">
        <v>157069.0</v>
      </c>
      <c r="O128" s="28">
        <v>5.0</v>
      </c>
      <c r="P128" s="30">
        <v>2052.0</v>
      </c>
      <c r="Q128" s="30">
        <v>5.0</v>
      </c>
      <c r="R128" s="30">
        <v>1698.0</v>
      </c>
      <c r="S128" s="30">
        <v>1.0</v>
      </c>
      <c r="T128" s="30">
        <v>307.0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16998.0</v>
      </c>
      <c r="L129" s="28">
        <v>775.0</v>
      </c>
      <c r="M129" s="28">
        <v>140871.0</v>
      </c>
      <c r="N129" s="28">
        <v>157869.0</v>
      </c>
      <c r="O129" s="28">
        <v>9.0</v>
      </c>
      <c r="P129" s="30">
        <v>2061.0</v>
      </c>
      <c r="Q129" s="30">
        <v>6.0</v>
      </c>
      <c r="R129" s="30">
        <v>1704.0</v>
      </c>
      <c r="S129" s="30">
        <v>0.0</v>
      </c>
      <c r="T129" s="30">
        <v>307.0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17031.0</v>
      </c>
      <c r="L130" s="28">
        <v>990.0</v>
      </c>
      <c r="M130" s="28">
        <v>141861.0</v>
      </c>
      <c r="N130" s="28">
        <v>158892.0</v>
      </c>
      <c r="O130" s="28">
        <v>2.0</v>
      </c>
      <c r="P130" s="30">
        <v>2063.0</v>
      </c>
      <c r="Q130" s="30">
        <v>4.0</v>
      </c>
      <c r="R130" s="30">
        <v>1708.0</v>
      </c>
      <c r="S130" s="30">
        <v>1.0</v>
      </c>
      <c r="T130" s="30">
        <v>308.0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17057.0</v>
      </c>
      <c r="L131" s="28">
        <v>1420.0</v>
      </c>
      <c r="M131" s="28">
        <v>143281.0</v>
      </c>
      <c r="N131" s="28">
        <v>160338.0</v>
      </c>
      <c r="O131" s="28">
        <v>1.0</v>
      </c>
      <c r="P131" s="30">
        <v>2064.0</v>
      </c>
      <c r="Q131" s="30">
        <v>2.0</v>
      </c>
      <c r="R131" s="30">
        <v>1710.0</v>
      </c>
      <c r="S131" s="30">
        <v>1.0</v>
      </c>
      <c r="T131" s="30">
        <v>309.0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17114.0</v>
      </c>
      <c r="L132" s="28">
        <v>1534.0</v>
      </c>
      <c r="M132" s="28">
        <v>144815.0</v>
      </c>
      <c r="N132" s="28">
        <v>161929.0</v>
      </c>
      <c r="O132" s="28">
        <v>6.0</v>
      </c>
      <c r="P132" s="30">
        <v>2070.0</v>
      </c>
      <c r="Q132" s="30">
        <v>6.0</v>
      </c>
      <c r="R132" s="30">
        <v>1716.0</v>
      </c>
      <c r="S132" s="30">
        <v>0.0</v>
      </c>
      <c r="T132" s="30">
        <v>309.0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17161.0</v>
      </c>
      <c r="L133" s="28">
        <v>1525.0</v>
      </c>
      <c r="M133" s="28">
        <v>146340.0</v>
      </c>
      <c r="N133" s="28">
        <v>163501.0</v>
      </c>
      <c r="O133" s="28">
        <v>5.0</v>
      </c>
      <c r="P133" s="30">
        <v>2075.0</v>
      </c>
      <c r="Q133" s="30">
        <v>7.0</v>
      </c>
      <c r="R133" s="30">
        <v>1723.0</v>
      </c>
      <c r="S133" s="30">
        <v>0.0</v>
      </c>
      <c r="T133" s="30">
        <v>309.0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17225.0</v>
      </c>
      <c r="L134" s="28">
        <v>1401.0</v>
      </c>
      <c r="M134" s="28">
        <v>147741.0</v>
      </c>
      <c r="N134" s="28">
        <v>164966.0</v>
      </c>
      <c r="O134" s="28">
        <v>4.0</v>
      </c>
      <c r="P134" s="30">
        <v>2079.0</v>
      </c>
      <c r="Q134" s="30">
        <v>2.0</v>
      </c>
      <c r="R134" s="30">
        <v>1725.0</v>
      </c>
      <c r="S134" s="30">
        <v>0.0</v>
      </c>
      <c r="T134" s="30">
        <v>309.0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17275.0</v>
      </c>
      <c r="L135" s="28">
        <v>1602.0</v>
      </c>
      <c r="M135" s="28">
        <v>149343.0</v>
      </c>
      <c r="N135" s="28">
        <v>166618.0</v>
      </c>
      <c r="O135" s="28">
        <v>9.0</v>
      </c>
      <c r="P135" s="30">
        <v>2088.0</v>
      </c>
      <c r="Q135" s="30">
        <v>3.0</v>
      </c>
      <c r="R135" s="30">
        <v>1728.0</v>
      </c>
      <c r="S135" s="30">
        <v>0.0</v>
      </c>
      <c r="T135" s="30">
        <v>309.0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17355.0</v>
      </c>
      <c r="L136" s="28">
        <v>2053.0</v>
      </c>
      <c r="M136" s="28">
        <v>151396.0</v>
      </c>
      <c r="N136" s="28">
        <v>168751.0</v>
      </c>
      <c r="O136" s="28">
        <v>6.0</v>
      </c>
      <c r="P136" s="30">
        <v>2094.0</v>
      </c>
      <c r="Q136" s="30">
        <v>3.0</v>
      </c>
      <c r="R136" s="30">
        <v>1731.0</v>
      </c>
      <c r="S136" s="30">
        <v>2.0</v>
      </c>
      <c r="T136" s="30">
        <v>311.0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17391.0</v>
      </c>
      <c r="L137" s="28">
        <v>1306.0</v>
      </c>
      <c r="M137" s="28">
        <v>152702.0</v>
      </c>
      <c r="N137" s="28">
        <v>170093.0</v>
      </c>
      <c r="O137" s="28">
        <v>6.0</v>
      </c>
      <c r="P137" s="30">
        <v>2100.0</v>
      </c>
      <c r="Q137" s="30">
        <v>3.0</v>
      </c>
      <c r="R137" s="30">
        <v>1734.0</v>
      </c>
      <c r="S137" s="30">
        <v>1.0</v>
      </c>
      <c r="T137" s="30">
        <v>312.0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17425.0</v>
      </c>
      <c r="L138" s="28">
        <v>932.0</v>
      </c>
      <c r="M138" s="28">
        <v>153634.0</v>
      </c>
      <c r="N138" s="28">
        <v>171059.0</v>
      </c>
      <c r="O138" s="28">
        <v>1.0</v>
      </c>
      <c r="P138" s="30">
        <v>2101.0</v>
      </c>
      <c r="Q138" s="30">
        <v>3.0</v>
      </c>
      <c r="R138" s="30">
        <v>1737.0</v>
      </c>
      <c r="S138" s="30">
        <v>1.0</v>
      </c>
      <c r="T138" s="30">
        <v>313.0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17486.0</v>
      </c>
      <c r="L139" s="28">
        <v>1489.0</v>
      </c>
      <c r="M139" s="28">
        <v>155123.0</v>
      </c>
      <c r="N139" s="28">
        <v>172609.0</v>
      </c>
      <c r="O139" s="28">
        <v>8.0</v>
      </c>
      <c r="P139" s="30">
        <v>2109.0</v>
      </c>
      <c r="Q139" s="30">
        <v>10.0</v>
      </c>
      <c r="R139" s="30">
        <v>1747.0</v>
      </c>
      <c r="S139" s="30">
        <v>0.0</v>
      </c>
      <c r="T139" s="30">
        <v>313.0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17530.0</v>
      </c>
      <c r="L140" s="28">
        <v>1365.0</v>
      </c>
      <c r="M140" s="28">
        <v>156488.0</v>
      </c>
      <c r="N140" s="28">
        <v>174018.0</v>
      </c>
      <c r="O140" s="28">
        <v>7.0</v>
      </c>
      <c r="P140" s="30">
        <v>2116.0</v>
      </c>
      <c r="Q140" s="30">
        <v>4.0</v>
      </c>
      <c r="R140" s="30">
        <v>1751.0</v>
      </c>
      <c r="S140" s="30">
        <v>0.0</v>
      </c>
      <c r="T140" s="30">
        <v>313.0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17630.0</v>
      </c>
      <c r="L141" s="28">
        <v>1734.0</v>
      </c>
      <c r="M141" s="28">
        <v>158222.0</v>
      </c>
      <c r="N141" s="28">
        <v>175852.0</v>
      </c>
      <c r="O141" s="28">
        <v>5.0</v>
      </c>
      <c r="P141" s="30">
        <v>2121.0</v>
      </c>
      <c r="Q141" s="30">
        <v>7.0</v>
      </c>
      <c r="R141" s="30">
        <v>1758.0</v>
      </c>
      <c r="S141" s="30">
        <v>0.0</v>
      </c>
      <c r="T141" s="30">
        <v>313.0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17706.0</v>
      </c>
      <c r="L142" s="28">
        <v>1600.0</v>
      </c>
      <c r="M142" s="28">
        <v>159822.0</v>
      </c>
      <c r="N142" s="28">
        <v>177528.0</v>
      </c>
      <c r="O142" s="28">
        <v>6.0</v>
      </c>
      <c r="P142" s="30">
        <v>2127.0</v>
      </c>
      <c r="Q142" s="30">
        <v>9.0</v>
      </c>
      <c r="R142" s="30">
        <v>1767.0</v>
      </c>
      <c r="S142" s="30">
        <v>0.0</v>
      </c>
      <c r="T142" s="30">
        <v>313.0</v>
      </c>
      <c r="U142" s="30">
        <v>47.0</v>
      </c>
      <c r="V142" s="30">
        <v>50.0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17785.0</v>
      </c>
      <c r="L143" s="28">
        <v>1832.0</v>
      </c>
      <c r="M143" s="28">
        <v>161654.0</v>
      </c>
      <c r="N143" s="28">
        <v>179439.0</v>
      </c>
      <c r="O143" s="28">
        <v>14.0</v>
      </c>
      <c r="P143" s="30">
        <v>2141.0</v>
      </c>
      <c r="Q143" s="30">
        <v>3.0</v>
      </c>
      <c r="R143" s="30">
        <v>1770.0</v>
      </c>
      <c r="S143" s="30">
        <v>1.0</v>
      </c>
      <c r="T143" s="30">
        <v>314.0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17855.0</v>
      </c>
      <c r="L144" s="28">
        <v>1382.0</v>
      </c>
      <c r="M144" s="28">
        <v>163036.0</v>
      </c>
      <c r="N144" s="28">
        <v>180891.0</v>
      </c>
      <c r="O144" s="28">
        <v>5.0</v>
      </c>
      <c r="P144" s="30">
        <v>2146.0</v>
      </c>
      <c r="Q144" s="30">
        <v>9.0</v>
      </c>
      <c r="R144" s="30">
        <v>1779.0</v>
      </c>
      <c r="S144" s="30">
        <v>1.0</v>
      </c>
      <c r="T144" s="30">
        <v>315.0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17912.0</v>
      </c>
      <c r="L145" s="28">
        <v>1137.0</v>
      </c>
      <c r="M145" s="28">
        <v>164173.0</v>
      </c>
      <c r="N145" s="28">
        <v>182085.0</v>
      </c>
      <c r="O145" s="28">
        <v>7.0</v>
      </c>
      <c r="P145" s="30">
        <v>2153.0</v>
      </c>
      <c r="Q145" s="30">
        <v>3.0</v>
      </c>
      <c r="R145" s="30">
        <v>1782.0</v>
      </c>
      <c r="S145" s="30">
        <v>0.0</v>
      </c>
      <c r="T145" s="30">
        <v>315.0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17980.0</v>
      </c>
      <c r="L146" s="28">
        <v>1442.0</v>
      </c>
      <c r="M146" s="28">
        <v>165615.0</v>
      </c>
      <c r="N146" s="28">
        <v>183595.0</v>
      </c>
      <c r="O146" s="28">
        <v>9.0</v>
      </c>
      <c r="P146" s="30">
        <v>2162.0</v>
      </c>
      <c r="Q146" s="30">
        <v>7.0</v>
      </c>
      <c r="R146" s="30">
        <v>1789.0</v>
      </c>
      <c r="S146" s="30">
        <v>0.0</v>
      </c>
      <c r="T146" s="30">
        <v>315.0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18088.0</v>
      </c>
      <c r="L147" s="28">
        <v>1899.0</v>
      </c>
      <c r="M147" s="28">
        <v>167514.0</v>
      </c>
      <c r="N147" s="28">
        <v>185602.0</v>
      </c>
      <c r="O147" s="28">
        <v>9.0</v>
      </c>
      <c r="P147" s="30">
        <v>2171.0</v>
      </c>
      <c r="Q147" s="30">
        <v>11.0</v>
      </c>
      <c r="R147" s="30">
        <v>1800.0</v>
      </c>
      <c r="S147" s="30">
        <v>0.0</v>
      </c>
      <c r="T147" s="30">
        <v>315.0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18174.0</v>
      </c>
      <c r="L148" s="28">
        <v>1664.0</v>
      </c>
      <c r="M148" s="28">
        <v>169178.0</v>
      </c>
      <c r="N148" s="28">
        <v>187352.0</v>
      </c>
      <c r="O148" s="28">
        <v>7.0</v>
      </c>
      <c r="P148" s="30">
        <v>2178.0</v>
      </c>
      <c r="Q148" s="30">
        <v>8.0</v>
      </c>
      <c r="R148" s="30">
        <v>1808.0</v>
      </c>
      <c r="S148" s="30">
        <v>1.0</v>
      </c>
      <c r="T148" s="30">
        <v>316.0</v>
      </c>
      <c r="U148" s="30">
        <v>54.0</v>
      </c>
      <c r="V148" s="30">
        <v>56.0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18289.0</v>
      </c>
      <c r="L149" s="28">
        <v>1954.0</v>
      </c>
      <c r="M149" s="28">
        <v>171132.0</v>
      </c>
      <c r="N149" s="28">
        <v>189421.0</v>
      </c>
      <c r="O149" s="28">
        <v>8.0</v>
      </c>
      <c r="P149" s="30">
        <v>2186.0</v>
      </c>
      <c r="Q149" s="30">
        <v>6.0</v>
      </c>
      <c r="R149" s="30">
        <v>1814.0</v>
      </c>
      <c r="S149" s="30">
        <v>0.0</v>
      </c>
      <c r="T149" s="30">
        <v>316.0</v>
      </c>
      <c r="U149" s="30">
        <v>56.0</v>
      </c>
      <c r="V149" s="30">
        <v>55.0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18408.0</v>
      </c>
      <c r="L150" s="28">
        <v>2294.0</v>
      </c>
      <c r="M150" s="28">
        <v>173426.0</v>
      </c>
      <c r="N150" s="28">
        <v>191834.0</v>
      </c>
      <c r="O150" s="28">
        <v>15.0</v>
      </c>
      <c r="P150" s="30">
        <v>2201.0</v>
      </c>
      <c r="Q150" s="30">
        <v>12.0</v>
      </c>
      <c r="R150" s="30">
        <v>1826.0</v>
      </c>
      <c r="S150" s="30">
        <v>0.0</v>
      </c>
      <c r="T150" s="30">
        <v>316.0</v>
      </c>
      <c r="U150" s="30">
        <v>59.0</v>
      </c>
      <c r="V150" s="30">
        <v>56.0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18516.0</v>
      </c>
      <c r="L151" s="28">
        <v>2075.0</v>
      </c>
      <c r="M151" s="28">
        <v>175501.0</v>
      </c>
      <c r="N151" s="28">
        <v>194017.0</v>
      </c>
      <c r="O151" s="28">
        <v>7.0</v>
      </c>
      <c r="P151" s="30">
        <v>2208.0</v>
      </c>
      <c r="Q151" s="30">
        <v>7.0</v>
      </c>
      <c r="R151" s="30">
        <v>1833.0</v>
      </c>
      <c r="S151" s="30">
        <v>0.0</v>
      </c>
      <c r="T151" s="30">
        <v>316.0</v>
      </c>
      <c r="U151" s="30">
        <v>59.0</v>
      </c>
      <c r="V151" s="30">
        <v>58.0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18570.0</v>
      </c>
      <c r="L152" s="28">
        <v>1324.0</v>
      </c>
      <c r="M152" s="28">
        <v>176825.0</v>
      </c>
      <c r="N152" s="28">
        <v>195395.0</v>
      </c>
      <c r="O152" s="28">
        <v>8.0</v>
      </c>
      <c r="P152" s="30">
        <v>2216.0</v>
      </c>
      <c r="Q152" s="30">
        <v>9.0</v>
      </c>
      <c r="R152" s="30">
        <v>1842.0</v>
      </c>
      <c r="S152" s="30">
        <v>0.0</v>
      </c>
      <c r="T152" s="30">
        <v>316.0</v>
      </c>
      <c r="U152" s="30">
        <v>58.0</v>
      </c>
      <c r="V152" s="30">
        <v>59.0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18708.0</v>
      </c>
      <c r="L153" s="28">
        <v>2326.0</v>
      </c>
      <c r="M153" s="28">
        <v>179151.0</v>
      </c>
      <c r="N153" s="28">
        <v>197859.0</v>
      </c>
      <c r="O153" s="28">
        <v>12.0</v>
      </c>
      <c r="P153" s="30">
        <v>2228.0</v>
      </c>
      <c r="Q153" s="30">
        <v>7.0</v>
      </c>
      <c r="R153" s="30">
        <v>1849.0</v>
      </c>
      <c r="S153" s="30">
        <v>0.0</v>
      </c>
      <c r="T153" s="30">
        <v>316.0</v>
      </c>
      <c r="U153" s="30">
        <v>63.0</v>
      </c>
      <c r="V153" s="30">
        <v>60.0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18803.0</v>
      </c>
      <c r="L154" s="28">
        <v>1621.0</v>
      </c>
      <c r="M154" s="28">
        <v>180772.0</v>
      </c>
      <c r="N154" s="28">
        <v>199575.0</v>
      </c>
      <c r="O154" s="28">
        <v>5.0</v>
      </c>
      <c r="P154" s="30">
        <v>2233.0</v>
      </c>
      <c r="Q154" s="30">
        <v>5.0</v>
      </c>
      <c r="R154" s="30">
        <v>1854.0</v>
      </c>
      <c r="S154" s="30">
        <v>0.0</v>
      </c>
      <c r="T154" s="30">
        <v>316.0</v>
      </c>
      <c r="U154" s="30">
        <v>63.0</v>
      </c>
      <c r="V154" s="30">
        <v>61.0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18957.0</v>
      </c>
      <c r="L155" s="28">
        <v>2285.0</v>
      </c>
      <c r="M155" s="28">
        <v>183057.0</v>
      </c>
      <c r="N155" s="28">
        <v>202014.0</v>
      </c>
      <c r="O155" s="28">
        <v>9.0</v>
      </c>
      <c r="P155" s="30">
        <v>2242.0</v>
      </c>
      <c r="Q155" s="30">
        <v>10.0</v>
      </c>
      <c r="R155" s="30">
        <v>1864.0</v>
      </c>
      <c r="S155" s="30">
        <v>0.0</v>
      </c>
      <c r="T155" s="30">
        <v>316.0</v>
      </c>
      <c r="U155" s="30">
        <v>62.0</v>
      </c>
      <c r="V155" s="30">
        <v>63.0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19054.0</v>
      </c>
      <c r="L156" s="28">
        <v>1631.0</v>
      </c>
      <c r="M156" s="28">
        <v>184688.0</v>
      </c>
      <c r="N156" s="28">
        <v>203742.0</v>
      </c>
      <c r="O156" s="28">
        <v>6.0</v>
      </c>
      <c r="P156" s="30">
        <v>2248.0</v>
      </c>
      <c r="Q156" s="30">
        <v>2.0</v>
      </c>
      <c r="R156" s="30">
        <v>1866.0</v>
      </c>
      <c r="S156" s="30">
        <v>1.0</v>
      </c>
      <c r="T156" s="30">
        <v>317.0</v>
      </c>
      <c r="U156" s="30">
        <v>65.0</v>
      </c>
      <c r="V156" s="30">
        <v>63.0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19143.0</v>
      </c>
      <c r="L157" s="28">
        <v>1818.0</v>
      </c>
      <c r="M157" s="28">
        <v>186506.0</v>
      </c>
      <c r="N157" s="28">
        <v>205649.0</v>
      </c>
      <c r="O157" s="28">
        <v>7.0</v>
      </c>
      <c r="P157" s="30">
        <v>2255.0</v>
      </c>
      <c r="Q157" s="30">
        <v>9.0</v>
      </c>
      <c r="R157" s="30">
        <v>1875.0</v>
      </c>
      <c r="S157" s="30">
        <v>0.0</v>
      </c>
      <c r="T157" s="30">
        <v>317.0</v>
      </c>
      <c r="U157" s="30">
        <v>63.0</v>
      </c>
      <c r="V157" s="30">
        <v>63.0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19232.0</v>
      </c>
      <c r="L158" s="28">
        <v>1546.0</v>
      </c>
      <c r="M158" s="28">
        <v>188052.0</v>
      </c>
      <c r="N158" s="28">
        <v>207284.0</v>
      </c>
      <c r="O158" s="28">
        <v>7.0</v>
      </c>
      <c r="P158" s="30">
        <v>2262.0</v>
      </c>
      <c r="Q158" s="30">
        <v>2.0</v>
      </c>
      <c r="R158" s="30">
        <v>1877.0</v>
      </c>
      <c r="S158" s="30">
        <v>0.0</v>
      </c>
      <c r="T158" s="30">
        <v>317.0</v>
      </c>
      <c r="U158" s="30">
        <v>68.0</v>
      </c>
      <c r="V158" s="30">
        <v>65.0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19294.0</v>
      </c>
      <c r="L159" s="28">
        <v>1257.0</v>
      </c>
      <c r="M159" s="28">
        <v>189309.0</v>
      </c>
      <c r="N159" s="28">
        <v>208603.0</v>
      </c>
      <c r="O159" s="28">
        <v>12.0</v>
      </c>
      <c r="P159" s="30">
        <v>2274.0</v>
      </c>
      <c r="Q159" s="30">
        <v>12.0</v>
      </c>
      <c r="R159" s="30">
        <v>1889.0</v>
      </c>
      <c r="S159" s="30">
        <v>2.0</v>
      </c>
      <c r="T159" s="30">
        <v>319.0</v>
      </c>
      <c r="U159" s="30">
        <v>66.0</v>
      </c>
      <c r="V159" s="30">
        <v>66.0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19444.0</v>
      </c>
      <c r="L160" s="28">
        <v>2183.0</v>
      </c>
      <c r="M160" s="28">
        <v>191492.0</v>
      </c>
      <c r="N160" s="28">
        <v>210936.0</v>
      </c>
      <c r="O160" s="28">
        <v>11.0</v>
      </c>
      <c r="P160" s="30">
        <v>2285.0</v>
      </c>
      <c r="Q160" s="30">
        <v>10.0</v>
      </c>
      <c r="R160" s="30">
        <v>1899.0</v>
      </c>
      <c r="S160" s="30">
        <v>0.0</v>
      </c>
      <c r="T160" s="30">
        <v>319.0</v>
      </c>
      <c r="U160" s="30">
        <v>67.0</v>
      </c>
      <c r="V160" s="30">
        <v>67.0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19543.0</v>
      </c>
      <c r="L161" s="28">
        <v>1750.0</v>
      </c>
      <c r="M161" s="28">
        <v>193242.0</v>
      </c>
      <c r="N161" s="28">
        <v>212785.0</v>
      </c>
      <c r="O161" s="28">
        <v>8.0</v>
      </c>
      <c r="P161" s="30">
        <v>2293.0</v>
      </c>
      <c r="Q161" s="30">
        <v>5.0</v>
      </c>
      <c r="R161" s="30">
        <v>1904.0</v>
      </c>
      <c r="S161" s="30">
        <v>1.0</v>
      </c>
      <c r="T161" s="30">
        <v>320.0</v>
      </c>
      <c r="U161" s="30">
        <v>69.0</v>
      </c>
      <c r="V161" s="30">
        <v>67.0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19662.0</v>
      </c>
      <c r="L162" s="28">
        <v>2442.0</v>
      </c>
      <c r="M162" s="28">
        <v>195684.0</v>
      </c>
      <c r="N162" s="28">
        <v>215346.0</v>
      </c>
      <c r="O162" s="28">
        <v>11.0</v>
      </c>
      <c r="P162" s="30">
        <v>2304.0</v>
      </c>
      <c r="Q162" s="30">
        <v>9.0</v>
      </c>
      <c r="R162" s="30">
        <v>1913.0</v>
      </c>
      <c r="S162" s="30">
        <v>1.0</v>
      </c>
      <c r="T162" s="30">
        <v>321.0</v>
      </c>
      <c r="U162" s="30">
        <v>70.0</v>
      </c>
      <c r="V162" s="30">
        <v>69.0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19782.0</v>
      </c>
      <c r="L163" s="28">
        <v>2376.0</v>
      </c>
      <c r="M163" s="28">
        <v>198060.0</v>
      </c>
      <c r="N163" s="28">
        <v>217842.0</v>
      </c>
      <c r="O163" s="28">
        <v>7.0</v>
      </c>
      <c r="P163" s="30">
        <v>2311.0</v>
      </c>
      <c r="Q163" s="30">
        <v>9.0</v>
      </c>
      <c r="R163" s="30">
        <v>1922.0</v>
      </c>
      <c r="S163" s="30">
        <v>0.0</v>
      </c>
      <c r="T163" s="30">
        <v>321.0</v>
      </c>
      <c r="U163" s="30">
        <v>68.0</v>
      </c>
      <c r="V163" s="30">
        <v>69.0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19869.0</v>
      </c>
      <c r="L164" s="28">
        <v>2117.0</v>
      </c>
      <c r="M164" s="28">
        <v>200177.0</v>
      </c>
      <c r="N164" s="28">
        <v>220046.0</v>
      </c>
      <c r="O164" s="28">
        <v>12.0</v>
      </c>
      <c r="P164" s="30">
        <v>2323.0</v>
      </c>
      <c r="Q164" s="30">
        <v>9.0</v>
      </c>
      <c r="R164" s="30">
        <v>1931.0</v>
      </c>
      <c r="S164" s="30">
        <v>1.0</v>
      </c>
      <c r="T164" s="30">
        <v>322.0</v>
      </c>
      <c r="U164" s="30">
        <v>70.0</v>
      </c>
      <c r="V164" s="30">
        <v>69.0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19960.0</v>
      </c>
      <c r="L165" s="28">
        <v>1768.0</v>
      </c>
      <c r="M165" s="28">
        <v>201945.0</v>
      </c>
      <c r="N165" s="28">
        <v>221905.0</v>
      </c>
      <c r="O165" s="28">
        <v>19.0</v>
      </c>
      <c r="P165" s="30">
        <v>2342.0</v>
      </c>
      <c r="Q165" s="30">
        <v>6.0</v>
      </c>
      <c r="R165" s="30">
        <v>1937.0</v>
      </c>
      <c r="S165" s="30">
        <v>1.0</v>
      </c>
      <c r="T165" s="30">
        <v>323.0</v>
      </c>
      <c r="U165" s="30">
        <v>82.0</v>
      </c>
      <c r="V165" s="30">
        <v>73.0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19995.0</v>
      </c>
      <c r="L166" s="28">
        <v>1060.0</v>
      </c>
      <c r="M166" s="28">
        <v>203005.0</v>
      </c>
      <c r="N166" s="28">
        <v>223000.0</v>
      </c>
      <c r="O166" s="28">
        <v>6.0</v>
      </c>
      <c r="P166" s="30">
        <v>2348.0</v>
      </c>
      <c r="Q166" s="30">
        <v>8.0</v>
      </c>
      <c r="R166" s="30">
        <v>1945.0</v>
      </c>
      <c r="S166" s="30">
        <v>0.0</v>
      </c>
      <c r="T166" s="30">
        <v>323.0</v>
      </c>
      <c r="U166" s="30">
        <v>80.0</v>
      </c>
      <c r="V166" s="30">
        <v>77.0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20108.0</v>
      </c>
      <c r="L167" s="28">
        <v>2004.0</v>
      </c>
      <c r="M167" s="28">
        <v>205009.0</v>
      </c>
      <c r="N167" s="28">
        <v>225117.0</v>
      </c>
      <c r="O167" s="28">
        <v>8.0</v>
      </c>
      <c r="P167" s="30">
        <v>2356.0</v>
      </c>
      <c r="Q167" s="30">
        <v>9.0</v>
      </c>
      <c r="R167" s="30">
        <v>1954.0</v>
      </c>
      <c r="S167" s="30">
        <v>0.0</v>
      </c>
      <c r="T167" s="30">
        <v>323.0</v>
      </c>
      <c r="U167" s="30">
        <v>79.0</v>
      </c>
      <c r="V167" s="30">
        <v>80.0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20200.0</v>
      </c>
      <c r="L168" s="28">
        <v>2249.0</v>
      </c>
      <c r="M168" s="28">
        <v>207258.0</v>
      </c>
      <c r="N168" s="28">
        <v>227458.0</v>
      </c>
      <c r="O168" s="28">
        <v>5.0</v>
      </c>
      <c r="P168" s="30">
        <v>2361.0</v>
      </c>
      <c r="Q168" s="30">
        <v>13.0</v>
      </c>
      <c r="R168" s="30">
        <v>1967.0</v>
      </c>
      <c r="S168" s="30">
        <v>0.0</v>
      </c>
      <c r="T168" s="30">
        <v>323.0</v>
      </c>
      <c r="U168" s="30">
        <v>71.0</v>
      </c>
      <c r="V168" s="30">
        <v>77.0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20301.0</v>
      </c>
      <c r="L169" s="28">
        <v>2599.0</v>
      </c>
      <c r="M169" s="28">
        <v>209857.0</v>
      </c>
      <c r="N169" s="28">
        <v>230158.0</v>
      </c>
      <c r="O169" s="28">
        <v>8.0</v>
      </c>
      <c r="P169" s="30">
        <v>2369.0</v>
      </c>
      <c r="Q169" s="30">
        <v>11.0</v>
      </c>
      <c r="R169" s="30">
        <v>1978.0</v>
      </c>
      <c r="S169" s="30">
        <v>0.0</v>
      </c>
      <c r="T169" s="30">
        <v>323.0</v>
      </c>
      <c r="U169" s="30">
        <v>68.0</v>
      </c>
      <c r="V169" s="30">
        <v>73.0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20396.0</v>
      </c>
      <c r="L170" s="28">
        <v>1888.0</v>
      </c>
      <c r="M170" s="28">
        <v>211745.0</v>
      </c>
      <c r="N170" s="28">
        <v>232141.0</v>
      </c>
      <c r="O170" s="28">
        <v>13.0</v>
      </c>
      <c r="P170" s="30">
        <v>2382.0</v>
      </c>
      <c r="Q170" s="30">
        <v>12.0</v>
      </c>
      <c r="R170" s="30">
        <v>1990.0</v>
      </c>
      <c r="S170" s="30">
        <v>0.0</v>
      </c>
      <c r="T170" s="30">
        <v>323.0</v>
      </c>
      <c r="U170" s="30">
        <v>69.0</v>
      </c>
      <c r="V170" s="30">
        <v>69.0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20494.0</v>
      </c>
      <c r="L171" s="28">
        <v>1959.0</v>
      </c>
      <c r="M171" s="28">
        <v>213704.0</v>
      </c>
      <c r="N171" s="28">
        <v>234198.0</v>
      </c>
      <c r="O171" s="28">
        <v>13.0</v>
      </c>
      <c r="P171" s="30">
        <v>2395.0</v>
      </c>
      <c r="Q171" s="30">
        <v>11.0</v>
      </c>
      <c r="R171" s="30">
        <v>2001.0</v>
      </c>
      <c r="S171" s="30">
        <v>0.0</v>
      </c>
      <c r="T171" s="30">
        <v>323.0</v>
      </c>
      <c r="U171" s="30">
        <v>71.0</v>
      </c>
      <c r="V171" s="30">
        <v>69.0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20582.0</v>
      </c>
      <c r="L172" s="28">
        <v>1671.0</v>
      </c>
      <c r="M172" s="28">
        <v>215375.0</v>
      </c>
      <c r="N172" s="28">
        <v>235957.0</v>
      </c>
      <c r="O172" s="28">
        <v>9.0</v>
      </c>
      <c r="P172" s="30">
        <v>2404.0</v>
      </c>
      <c r="Q172" s="30">
        <v>11.0</v>
      </c>
      <c r="R172" s="30">
        <v>2012.0</v>
      </c>
      <c r="S172" s="30">
        <v>1.0</v>
      </c>
      <c r="T172" s="30">
        <v>324.0</v>
      </c>
      <c r="U172" s="30">
        <v>68.0</v>
      </c>
      <c r="V172" s="30">
        <v>69.0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20652.0</v>
      </c>
      <c r="L173" s="28">
        <v>950.0</v>
      </c>
      <c r="M173" s="28">
        <v>216325.0</v>
      </c>
      <c r="N173" s="28">
        <v>236977.0</v>
      </c>
      <c r="O173" s="28">
        <v>6.0</v>
      </c>
      <c r="P173" s="30">
        <v>2410.0</v>
      </c>
      <c r="Q173" s="30">
        <v>5.0</v>
      </c>
      <c r="R173" s="30">
        <v>2017.0</v>
      </c>
      <c r="S173" s="30">
        <v>4.0</v>
      </c>
      <c r="T173" s="30">
        <v>328.0</v>
      </c>
      <c r="U173" s="30">
        <v>65.0</v>
      </c>
      <c r="V173" s="30">
        <v>68.0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20739.0</v>
      </c>
      <c r="L174" s="28">
        <v>2365.0</v>
      </c>
      <c r="M174" s="28">
        <v>218690.0</v>
      </c>
      <c r="N174" s="28">
        <v>239429.0</v>
      </c>
      <c r="O174" s="28">
        <v>8.0</v>
      </c>
      <c r="P174" s="30">
        <v>2418.0</v>
      </c>
      <c r="Q174" s="30">
        <v>6.0</v>
      </c>
      <c r="R174" s="30">
        <v>2023.0</v>
      </c>
      <c r="S174" s="30">
        <v>0.0</v>
      </c>
      <c r="T174" s="30">
        <v>328.0</v>
      </c>
      <c r="U174" s="30">
        <v>67.0</v>
      </c>
      <c r="V174" s="30">
        <v>67.0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20833.0</v>
      </c>
      <c r="L175" s="28">
        <v>2728.0</v>
      </c>
      <c r="M175" s="28">
        <v>221418.0</v>
      </c>
      <c r="N175" s="28">
        <v>242251.0</v>
      </c>
      <c r="O175" s="28">
        <v>11.0</v>
      </c>
      <c r="P175" s="30">
        <v>2429.0</v>
      </c>
      <c r="Q175" s="30">
        <v>8.0</v>
      </c>
      <c r="R175" s="30">
        <v>2031.0</v>
      </c>
      <c r="S175" s="30">
        <v>1.0</v>
      </c>
      <c r="T175" s="30">
        <v>329.0</v>
      </c>
      <c r="U175" s="30">
        <v>69.0</v>
      </c>
      <c r="V175" s="30">
        <v>67.0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20923.0</v>
      </c>
      <c r="L176" s="28">
        <v>2614.0</v>
      </c>
      <c r="M176" s="28">
        <v>224032.0</v>
      </c>
      <c r="N176" s="28">
        <v>244955.0</v>
      </c>
      <c r="O176" s="28">
        <v>8.0</v>
      </c>
      <c r="P176" s="30">
        <v>2437.0</v>
      </c>
      <c r="Q176" s="30">
        <v>9.0</v>
      </c>
      <c r="R176" s="30">
        <v>2040.0</v>
      </c>
      <c r="S176" s="30">
        <v>1.0</v>
      </c>
      <c r="T176" s="30">
        <v>330.0</v>
      </c>
      <c r="U176" s="30">
        <v>67.0</v>
      </c>
      <c r="V176" s="30">
        <v>68.0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21062.0</v>
      </c>
      <c r="L177" s="28">
        <v>3482.0</v>
      </c>
      <c r="M177" s="28">
        <v>227514.0</v>
      </c>
      <c r="N177" s="28">
        <v>248576.0</v>
      </c>
      <c r="O177" s="28">
        <v>12.0</v>
      </c>
      <c r="P177" s="30">
        <v>2449.0</v>
      </c>
      <c r="Q177" s="30">
        <v>6.0</v>
      </c>
      <c r="R177" s="30">
        <v>2046.0</v>
      </c>
      <c r="S177" s="30">
        <v>2.0</v>
      </c>
      <c r="T177" s="30">
        <v>332.0</v>
      </c>
      <c r="U177" s="30">
        <v>71.0</v>
      </c>
      <c r="V177" s="30">
        <v>69.0</v>
      </c>
      <c r="W177" s="30">
        <v>10.0</v>
      </c>
      <c r="X177" s="30">
        <v>5.0</v>
      </c>
      <c r="Y177" s="30">
        <v>3.0</v>
      </c>
      <c r="Z177" s="28">
        <v>1060.0</v>
      </c>
    </row>
    <row r="178" ht="14.25" customHeight="1">
      <c r="A178" s="27">
        <v>44064.0</v>
      </c>
      <c r="B178" s="28">
        <v>151.0</v>
      </c>
      <c r="C178" s="28">
        <v>146.0</v>
      </c>
      <c r="D178" s="28">
        <v>30509.0</v>
      </c>
      <c r="E178" s="28">
        <v>6577.0</v>
      </c>
      <c r="F178" s="29">
        <v>443918.0</v>
      </c>
      <c r="G178" s="29">
        <v>6728.0</v>
      </c>
      <c r="H178" s="29">
        <v>474427.0</v>
      </c>
      <c r="I178" s="28">
        <v>125.0</v>
      </c>
      <c r="J178" s="28">
        <v>118.0</v>
      </c>
      <c r="K178" s="28">
        <v>21187.0</v>
      </c>
      <c r="L178" s="28">
        <v>2917.0</v>
      </c>
      <c r="M178" s="28">
        <v>230431.0</v>
      </c>
      <c r="N178" s="28">
        <v>251618.0</v>
      </c>
      <c r="O178" s="28">
        <v>8.0</v>
      </c>
      <c r="P178" s="30">
        <v>2457.0</v>
      </c>
      <c r="Q178" s="30">
        <v>5.0</v>
      </c>
      <c r="R178" s="30">
        <v>2051.0</v>
      </c>
      <c r="S178" s="30">
        <v>1.0</v>
      </c>
      <c r="T178" s="30">
        <v>333.0</v>
      </c>
      <c r="U178" s="30">
        <v>73.0</v>
      </c>
      <c r="V178" s="30">
        <v>70.0</v>
      </c>
      <c r="W178" s="30">
        <v>9.0</v>
      </c>
      <c r="X178" s="30">
        <v>4.0</v>
      </c>
      <c r="Y178" s="30">
        <v>2.0</v>
      </c>
      <c r="Z178" s="28">
        <v>1062.0</v>
      </c>
    </row>
    <row r="179" ht="14.25" customHeight="1">
      <c r="A179" s="27">
        <v>44065.0</v>
      </c>
      <c r="B179" s="28">
        <v>96.0</v>
      </c>
      <c r="C179" s="28">
        <v>140.0</v>
      </c>
      <c r="D179" s="28">
        <v>30605.0</v>
      </c>
      <c r="E179" s="28">
        <v>5550.0</v>
      </c>
      <c r="F179" s="29">
        <v>449468.0</v>
      </c>
      <c r="G179" s="29">
        <v>5646.0</v>
      </c>
      <c r="H179" s="29">
        <v>480073.0</v>
      </c>
      <c r="I179" s="28">
        <v>84.0</v>
      </c>
      <c r="J179" s="28">
        <v>116.0</v>
      </c>
      <c r="K179" s="28">
        <v>21271.0</v>
      </c>
      <c r="L179" s="28">
        <v>2574.0</v>
      </c>
      <c r="M179" s="28">
        <v>233005.0</v>
      </c>
      <c r="N179" s="28">
        <v>254276.0</v>
      </c>
      <c r="O179" s="28">
        <v>11.0</v>
      </c>
      <c r="P179" s="30">
        <v>2468.0</v>
      </c>
      <c r="Q179" s="30">
        <v>12.0</v>
      </c>
      <c r="R179" s="30">
        <v>2063.0</v>
      </c>
      <c r="S179" s="30">
        <v>0.0</v>
      </c>
      <c r="T179" s="30">
        <v>333.0</v>
      </c>
      <c r="U179" s="30">
        <v>72.0</v>
      </c>
      <c r="V179" s="30">
        <v>72.0</v>
      </c>
      <c r="W179" s="30">
        <v>11.0</v>
      </c>
      <c r="X179" s="30">
        <v>4.0</v>
      </c>
      <c r="Y179" s="30">
        <v>1.0</v>
      </c>
      <c r="Z179" s="28">
        <v>1063.0</v>
      </c>
    </row>
    <row r="180" ht="14.25" customHeight="1">
      <c r="A180" s="27">
        <v>44066.0</v>
      </c>
      <c r="B180" s="28">
        <v>71.0</v>
      </c>
      <c r="C180" s="28">
        <v>106.0</v>
      </c>
      <c r="D180" s="28">
        <v>30676.0</v>
      </c>
      <c r="E180" s="28">
        <v>4375.0</v>
      </c>
      <c r="F180" s="29">
        <v>453843.0</v>
      </c>
      <c r="G180" s="29">
        <v>4446.0</v>
      </c>
      <c r="H180" s="29">
        <v>484519.0</v>
      </c>
      <c r="I180" s="28">
        <v>56.0</v>
      </c>
      <c r="J180" s="28">
        <v>88.0</v>
      </c>
      <c r="K180" s="28">
        <v>21327.0</v>
      </c>
      <c r="L180" s="28">
        <v>2457.0</v>
      </c>
      <c r="M180" s="28">
        <v>235462.0</v>
      </c>
      <c r="N180" s="28">
        <v>256789.0</v>
      </c>
      <c r="O180" s="28">
        <v>11.0</v>
      </c>
      <c r="P180" s="30">
        <v>2479.0</v>
      </c>
      <c r="Q180" s="30">
        <v>6.0</v>
      </c>
      <c r="R180" s="30">
        <v>2069.0</v>
      </c>
      <c r="S180" s="30">
        <v>0.0</v>
      </c>
      <c r="T180" s="30">
        <v>333.0</v>
      </c>
      <c r="U180" s="30">
        <v>77.0</v>
      </c>
      <c r="V180" s="30">
        <v>74.0</v>
      </c>
      <c r="W180" s="30">
        <v>12.0</v>
      </c>
      <c r="X180" s="30">
        <v>2.0</v>
      </c>
      <c r="Y180" s="30">
        <v>1.0</v>
      </c>
      <c r="Z180" s="28">
        <v>1064.0</v>
      </c>
    </row>
    <row r="181" ht="14.25" customHeight="1">
      <c r="A181" s="27">
        <v>44067.0</v>
      </c>
      <c r="B181" s="28">
        <v>105.0</v>
      </c>
      <c r="C181" s="28">
        <v>91.0</v>
      </c>
      <c r="D181" s="28">
        <v>30781.0</v>
      </c>
      <c r="E181" s="28">
        <v>5784.0</v>
      </c>
      <c r="F181" s="29">
        <v>459627.0</v>
      </c>
      <c r="G181" s="29">
        <v>5889.0</v>
      </c>
      <c r="H181" s="29">
        <v>490408.0</v>
      </c>
      <c r="I181" s="28">
        <v>77.0</v>
      </c>
      <c r="J181" s="28">
        <v>72.0</v>
      </c>
      <c r="K181" s="28">
        <v>21404.0</v>
      </c>
      <c r="L181" s="28">
        <v>3128.0</v>
      </c>
      <c r="M181" s="28">
        <v>238590.0</v>
      </c>
      <c r="N181" s="28">
        <v>259994.0</v>
      </c>
      <c r="O181" s="28">
        <v>7.0</v>
      </c>
      <c r="P181" s="30">
        <v>2486.0</v>
      </c>
      <c r="Q181" s="30">
        <v>10.0</v>
      </c>
      <c r="R181" s="30">
        <v>2079.0</v>
      </c>
      <c r="S181" s="30">
        <v>1.0</v>
      </c>
      <c r="T181" s="30">
        <v>334.0</v>
      </c>
      <c r="U181" s="30">
        <v>73.0</v>
      </c>
      <c r="V181" s="30">
        <v>74.0</v>
      </c>
      <c r="W181" s="30">
        <v>14.0</v>
      </c>
      <c r="X181" s="30">
        <v>4.0</v>
      </c>
      <c r="Y181" s="30">
        <v>1.0</v>
      </c>
      <c r="Z181" s="28">
        <v>1065.0</v>
      </c>
    </row>
    <row r="182" ht="14.25" customHeight="1">
      <c r="A182" s="27">
        <v>44068.0</v>
      </c>
      <c r="B182" s="28">
        <v>108.0</v>
      </c>
      <c r="C182" s="28">
        <v>95.0</v>
      </c>
      <c r="D182" s="28">
        <v>30889.0</v>
      </c>
      <c r="E182" s="28">
        <v>4764.0</v>
      </c>
      <c r="F182" s="29">
        <v>464391.0</v>
      </c>
      <c r="G182" s="29">
        <v>4872.0</v>
      </c>
      <c r="H182" s="29">
        <v>495280.0</v>
      </c>
      <c r="I182" s="28">
        <v>92.0</v>
      </c>
      <c r="J182" s="28">
        <v>75.0</v>
      </c>
      <c r="K182" s="28">
        <v>21496.0</v>
      </c>
      <c r="L182" s="28">
        <v>2273.0</v>
      </c>
      <c r="M182" s="28">
        <v>240863.0</v>
      </c>
      <c r="N182" s="28">
        <v>262359.0</v>
      </c>
      <c r="O182" s="28">
        <v>10.0</v>
      </c>
      <c r="P182" s="30">
        <v>2496.0</v>
      </c>
      <c r="Q182" s="30">
        <v>4.0</v>
      </c>
      <c r="R182" s="30">
        <v>2083.0</v>
      </c>
      <c r="S182" s="30">
        <v>1.0</v>
      </c>
      <c r="T182" s="30">
        <v>335.0</v>
      </c>
      <c r="U182" s="30">
        <v>78.0</v>
      </c>
      <c r="V182" s="30">
        <v>76.0</v>
      </c>
      <c r="W182" s="30">
        <v>12.0</v>
      </c>
      <c r="X182" s="30">
        <v>4.0</v>
      </c>
      <c r="Y182" s="30">
        <v>1.0</v>
      </c>
      <c r="Z182" s="28">
        <v>1066.0</v>
      </c>
    </row>
    <row r="183" ht="14.25" customHeight="1">
      <c r="A183" s="27">
        <v>44069.0</v>
      </c>
      <c r="B183" s="28">
        <v>170.0</v>
      </c>
      <c r="C183" s="28">
        <v>128.0</v>
      </c>
      <c r="D183" s="28">
        <v>31059.0</v>
      </c>
      <c r="E183" s="28">
        <v>9482.0</v>
      </c>
      <c r="F183" s="29">
        <v>473873.0</v>
      </c>
      <c r="G183" s="29">
        <v>9652.0</v>
      </c>
      <c r="H183" s="29">
        <v>504932.0</v>
      </c>
      <c r="I183" s="28">
        <v>127.0</v>
      </c>
      <c r="J183" s="28">
        <v>99.0</v>
      </c>
      <c r="K183" s="28">
        <v>21623.0</v>
      </c>
      <c r="L183" s="28">
        <v>3064.0</v>
      </c>
      <c r="M183" s="28">
        <v>243927.0</v>
      </c>
      <c r="N183" s="28">
        <v>265550.0</v>
      </c>
      <c r="O183" s="28">
        <v>4.0</v>
      </c>
      <c r="P183" s="30">
        <v>2500.0</v>
      </c>
      <c r="Q183" s="30">
        <v>8.0</v>
      </c>
      <c r="R183" s="30">
        <v>2091.0</v>
      </c>
      <c r="S183" s="30">
        <v>0.0</v>
      </c>
      <c r="T183" s="30">
        <v>335.0</v>
      </c>
      <c r="U183" s="30">
        <v>74.0</v>
      </c>
      <c r="V183" s="30">
        <v>75.0</v>
      </c>
      <c r="W183" s="30">
        <v>10.0</v>
      </c>
      <c r="X183" s="30">
        <v>5.0</v>
      </c>
      <c r="Y183" s="30">
        <v>1.0</v>
      </c>
      <c r="Z183" s="28">
        <v>1067.0</v>
      </c>
    </row>
    <row r="184" ht="14.25" customHeight="1">
      <c r="A184" s="27">
        <v>44070.0</v>
      </c>
      <c r="B184" s="28">
        <v>92.0</v>
      </c>
      <c r="C184" s="28">
        <v>123.0</v>
      </c>
      <c r="D184" s="28">
        <v>31151.0</v>
      </c>
      <c r="E184" s="28">
        <v>8565.0</v>
      </c>
      <c r="F184" s="29">
        <v>482438.0</v>
      </c>
      <c r="G184" s="29">
        <v>8657.0</v>
      </c>
      <c r="H184" s="29">
        <v>513589.0</v>
      </c>
      <c r="I184" s="28">
        <v>70.0</v>
      </c>
      <c r="J184" s="28">
        <v>96.0</v>
      </c>
      <c r="K184" s="28">
        <v>21693.0</v>
      </c>
      <c r="L184" s="28">
        <v>3129.0</v>
      </c>
      <c r="M184" s="28">
        <v>247056.0</v>
      </c>
      <c r="N184" s="28">
        <v>268749.0</v>
      </c>
      <c r="O184" s="28">
        <v>6.0</v>
      </c>
      <c r="P184" s="30">
        <v>2506.0</v>
      </c>
      <c r="Q184" s="30">
        <v>13.0</v>
      </c>
      <c r="R184" s="30">
        <v>2104.0</v>
      </c>
      <c r="S184" s="30">
        <v>1.0</v>
      </c>
      <c r="T184" s="30">
        <v>336.0</v>
      </c>
      <c r="U184" s="30">
        <v>66.0</v>
      </c>
      <c r="V184" s="30">
        <v>73.0</v>
      </c>
      <c r="W184" s="30">
        <v>7.0</v>
      </c>
      <c r="X184" s="30">
        <v>5.0</v>
      </c>
      <c r="Y184" s="30">
        <v>2.0</v>
      </c>
      <c r="Z184" s="28">
        <v>1069.0</v>
      </c>
    </row>
    <row r="185" ht="14.25" customHeight="1">
      <c r="A185" s="27">
        <v>44071.0</v>
      </c>
      <c r="B185" s="28">
        <v>113.0</v>
      </c>
      <c r="C185" s="28">
        <v>125.0</v>
      </c>
      <c r="D185" s="28">
        <v>31264.0</v>
      </c>
      <c r="E185" s="28">
        <v>7994.0</v>
      </c>
      <c r="F185" s="29">
        <v>490432.0</v>
      </c>
      <c r="G185" s="29">
        <v>8107.0</v>
      </c>
      <c r="H185" s="29">
        <v>521696.0</v>
      </c>
      <c r="I185" s="28">
        <v>87.0</v>
      </c>
      <c r="J185" s="28">
        <v>95.0</v>
      </c>
      <c r="K185" s="28">
        <v>21780.0</v>
      </c>
      <c r="L185" s="28">
        <v>2411.0</v>
      </c>
      <c r="M185" s="28">
        <v>249467.0</v>
      </c>
      <c r="N185" s="28">
        <v>271247.0</v>
      </c>
      <c r="O185" s="28">
        <v>14.0</v>
      </c>
      <c r="P185" s="30">
        <v>2520.0</v>
      </c>
      <c r="Q185" s="30">
        <v>4.0</v>
      </c>
      <c r="R185" s="30">
        <v>2108.0</v>
      </c>
      <c r="S185" s="30">
        <v>0.0</v>
      </c>
      <c r="T185" s="30">
        <v>336.0</v>
      </c>
      <c r="U185" s="30">
        <v>76.0</v>
      </c>
      <c r="V185" s="30">
        <v>72.0</v>
      </c>
      <c r="W185" s="30">
        <v>10.0</v>
      </c>
      <c r="X185" s="30">
        <v>7.0</v>
      </c>
      <c r="Y185" s="30">
        <v>2.0</v>
      </c>
      <c r="Z185" s="28">
        <v>1071.0</v>
      </c>
    </row>
    <row r="186" ht="14.25" customHeight="1">
      <c r="A186" s="27">
        <v>44072.0</v>
      </c>
      <c r="B186" s="28">
        <v>65.0</v>
      </c>
      <c r="C186" s="28">
        <v>90.0</v>
      </c>
      <c r="D186" s="28">
        <v>31329.0</v>
      </c>
      <c r="E186" s="28">
        <v>5374.0</v>
      </c>
      <c r="F186" s="29">
        <v>495806.0</v>
      </c>
      <c r="G186" s="29">
        <v>5439.0</v>
      </c>
      <c r="H186" s="29">
        <v>527135.0</v>
      </c>
      <c r="I186" s="28">
        <v>51.0</v>
      </c>
      <c r="J186" s="28">
        <v>69.0</v>
      </c>
      <c r="K186" s="28">
        <v>21831.0</v>
      </c>
      <c r="L186" s="28">
        <v>1902.0</v>
      </c>
      <c r="M186" s="28">
        <v>251369.0</v>
      </c>
      <c r="N186" s="28">
        <v>273200.0</v>
      </c>
      <c r="O186" s="28">
        <v>6.0</v>
      </c>
      <c r="P186" s="30">
        <v>2526.0</v>
      </c>
      <c r="Q186" s="30">
        <v>8.0</v>
      </c>
      <c r="R186" s="30">
        <v>2116.0</v>
      </c>
      <c r="S186" s="30">
        <v>1.0</v>
      </c>
      <c r="T186" s="30">
        <v>337.0</v>
      </c>
      <c r="U186" s="30">
        <v>73.0</v>
      </c>
      <c r="V186" s="30">
        <v>72.0</v>
      </c>
      <c r="W186" s="30">
        <v>11.0</v>
      </c>
      <c r="X186" s="30">
        <v>6.0</v>
      </c>
      <c r="Y186" s="30">
        <v>2.0</v>
      </c>
      <c r="Z186" s="28">
        <v>1073.0</v>
      </c>
    </row>
    <row r="187" ht="14.25" customHeight="1">
      <c r="A187" s="27">
        <v>44073.0</v>
      </c>
      <c r="B187" s="28">
        <v>66.0</v>
      </c>
      <c r="C187" s="28">
        <v>81.0</v>
      </c>
      <c r="D187" s="28">
        <v>31395.0</v>
      </c>
      <c r="E187" s="28">
        <v>4323.0</v>
      </c>
      <c r="F187" s="29">
        <v>500129.0</v>
      </c>
      <c r="G187" s="29">
        <v>4389.0</v>
      </c>
      <c r="H187" s="29">
        <v>531524.0</v>
      </c>
      <c r="I187" s="28">
        <v>48.0</v>
      </c>
      <c r="J187" s="28">
        <v>62.0</v>
      </c>
      <c r="K187" s="28">
        <v>21879.0</v>
      </c>
      <c r="L187" s="28">
        <v>1978.0</v>
      </c>
      <c r="M187" s="28">
        <v>253347.0</v>
      </c>
      <c r="N187" s="28">
        <v>275226.0</v>
      </c>
      <c r="O187" s="28">
        <v>7.0</v>
      </c>
      <c r="P187" s="30">
        <v>2533.0</v>
      </c>
      <c r="Q187" s="30">
        <v>4.0</v>
      </c>
      <c r="R187" s="30">
        <v>2120.0</v>
      </c>
      <c r="S187" s="30">
        <v>0.0</v>
      </c>
      <c r="T187" s="30">
        <v>337.0</v>
      </c>
      <c r="U187" s="30">
        <v>76.0</v>
      </c>
      <c r="V187" s="30">
        <v>75.0</v>
      </c>
      <c r="W187" s="30">
        <v>9.0</v>
      </c>
      <c r="X187" s="30">
        <v>5.0</v>
      </c>
      <c r="Y187" s="30">
        <v>2.0</v>
      </c>
      <c r="Z187" s="28">
        <v>1075.0</v>
      </c>
    </row>
    <row r="188" ht="14.25" customHeight="1">
      <c r="A188" s="27">
        <v>44074.0</v>
      </c>
      <c r="B188" s="28">
        <v>105.0</v>
      </c>
      <c r="C188" s="28">
        <v>79.0</v>
      </c>
      <c r="D188" s="28">
        <v>31500.0</v>
      </c>
      <c r="E188" s="28">
        <v>4863.0</v>
      </c>
      <c r="F188" s="29">
        <v>504992.0</v>
      </c>
      <c r="G188" s="29">
        <v>4968.0</v>
      </c>
      <c r="H188" s="29">
        <v>536492.0</v>
      </c>
      <c r="I188" s="28">
        <v>81.0</v>
      </c>
      <c r="J188" s="28">
        <v>60.0</v>
      </c>
      <c r="K188" s="28">
        <v>21960.0</v>
      </c>
      <c r="L188" s="28">
        <v>2170.0</v>
      </c>
      <c r="M188" s="28">
        <v>255517.0</v>
      </c>
      <c r="N188" s="28">
        <v>277477.0</v>
      </c>
      <c r="O188" s="28">
        <v>12.0</v>
      </c>
      <c r="P188" s="30">
        <v>2545.0</v>
      </c>
      <c r="Q188" s="30">
        <v>16.0</v>
      </c>
      <c r="R188" s="30">
        <v>2136.0</v>
      </c>
      <c r="S188" s="30">
        <v>0.0</v>
      </c>
      <c r="T188" s="30">
        <v>337.0</v>
      </c>
      <c r="U188" s="30">
        <v>72.0</v>
      </c>
      <c r="V188" s="30">
        <v>74.0</v>
      </c>
      <c r="W188" s="30">
        <v>8.0</v>
      </c>
      <c r="X188" s="30">
        <v>4.0</v>
      </c>
      <c r="Y188" s="30">
        <v>1.0</v>
      </c>
      <c r="Z188" s="28">
        <v>1076.0</v>
      </c>
    </row>
    <row r="189" ht="14.25" customHeight="1">
      <c r="A189" s="27">
        <v>44075.0</v>
      </c>
      <c r="B189" s="28">
        <v>98.0</v>
      </c>
      <c r="C189" s="28">
        <v>90.0</v>
      </c>
      <c r="D189" s="28">
        <v>31598.0</v>
      </c>
      <c r="E189" s="28">
        <v>7109.0</v>
      </c>
      <c r="F189" s="29">
        <v>512101.0</v>
      </c>
      <c r="G189" s="29">
        <v>7207.0</v>
      </c>
      <c r="H189" s="29">
        <v>543699.0</v>
      </c>
      <c r="I189" s="28">
        <v>66.0</v>
      </c>
      <c r="J189" s="28">
        <v>65.0</v>
      </c>
      <c r="K189" s="28">
        <v>22026.0</v>
      </c>
      <c r="L189" s="28">
        <v>2361.0</v>
      </c>
      <c r="M189" s="28">
        <v>257878.0</v>
      </c>
      <c r="N189" s="28">
        <v>279904.0</v>
      </c>
      <c r="O189" s="28">
        <v>6.0</v>
      </c>
      <c r="P189" s="30">
        <v>2551.0</v>
      </c>
      <c r="Q189" s="30">
        <v>9.0</v>
      </c>
      <c r="R189" s="30">
        <v>2145.0</v>
      </c>
      <c r="S189" s="30">
        <v>1.0</v>
      </c>
      <c r="T189" s="30">
        <v>338.0</v>
      </c>
      <c r="U189" s="30">
        <v>68.0</v>
      </c>
      <c r="V189" s="30">
        <v>72.0</v>
      </c>
      <c r="W189" s="30">
        <v>7.0</v>
      </c>
      <c r="X189" s="30">
        <v>4.0</v>
      </c>
      <c r="Y189" s="30">
        <v>2.0</v>
      </c>
      <c r="Z189" s="28">
        <v>1078.0</v>
      </c>
    </row>
    <row r="190" ht="14.25" customHeight="1">
      <c r="A190" s="27">
        <v>44076.0</v>
      </c>
      <c r="B190" s="28">
        <v>125.0</v>
      </c>
      <c r="C190" s="28">
        <v>109.0</v>
      </c>
      <c r="D190" s="28">
        <v>31723.0</v>
      </c>
      <c r="E190" s="28">
        <v>10529.0</v>
      </c>
      <c r="F190" s="29">
        <v>522630.0</v>
      </c>
      <c r="G190" s="29">
        <v>10654.0</v>
      </c>
      <c r="H190" s="29">
        <v>554353.0</v>
      </c>
      <c r="I190" s="28">
        <v>104.0</v>
      </c>
      <c r="J190" s="28">
        <v>84.0</v>
      </c>
      <c r="K190" s="28">
        <v>22130.0</v>
      </c>
      <c r="L190" s="28">
        <v>3025.0</v>
      </c>
      <c r="M190" s="28">
        <v>260903.0</v>
      </c>
      <c r="N190" s="28">
        <v>283033.0</v>
      </c>
      <c r="O190" s="28">
        <v>9.0</v>
      </c>
      <c r="P190" s="30">
        <v>2560.0</v>
      </c>
      <c r="Q190" s="30">
        <v>10.0</v>
      </c>
      <c r="R190" s="30">
        <v>2155.0</v>
      </c>
      <c r="S190" s="30">
        <v>1.0</v>
      </c>
      <c r="T190" s="30">
        <v>339.0</v>
      </c>
      <c r="U190" s="30">
        <v>66.0</v>
      </c>
      <c r="V190" s="30">
        <v>69.0</v>
      </c>
      <c r="W190" s="30">
        <v>8.0</v>
      </c>
      <c r="X190" s="30">
        <v>4.0</v>
      </c>
      <c r="Y190" s="30">
        <v>2.0</v>
      </c>
      <c r="Z190" s="28">
        <v>1080.0</v>
      </c>
    </row>
    <row r="191" ht="14.25" customHeight="1">
      <c r="A191" s="27">
        <v>44077.0</v>
      </c>
      <c r="B191" s="28">
        <v>90.0</v>
      </c>
      <c r="C191" s="28">
        <v>104.0</v>
      </c>
      <c r="D191" s="28">
        <v>31813.0</v>
      </c>
      <c r="E191" s="28">
        <v>11079.0</v>
      </c>
      <c r="F191" s="29">
        <v>533709.0</v>
      </c>
      <c r="G191" s="29">
        <v>11169.0</v>
      </c>
      <c r="H191" s="29">
        <v>565522.0</v>
      </c>
      <c r="I191" s="28">
        <v>73.0</v>
      </c>
      <c r="J191" s="28">
        <v>81.0</v>
      </c>
      <c r="K191" s="28">
        <v>22203.0</v>
      </c>
      <c r="L191" s="28">
        <v>2563.0</v>
      </c>
      <c r="M191" s="28">
        <v>263466.0</v>
      </c>
      <c r="N191" s="28">
        <v>285669.0</v>
      </c>
      <c r="O191" s="28">
        <v>8.0</v>
      </c>
      <c r="P191" s="30">
        <v>2568.0</v>
      </c>
      <c r="Q191" s="30">
        <v>8.0</v>
      </c>
      <c r="R191" s="30">
        <v>2163.0</v>
      </c>
      <c r="S191" s="30">
        <v>0.0</v>
      </c>
      <c r="T191" s="30">
        <v>339.0</v>
      </c>
      <c r="U191" s="30">
        <v>66.0</v>
      </c>
      <c r="V191" s="30">
        <v>67.0</v>
      </c>
      <c r="W191" s="30">
        <v>9.0</v>
      </c>
      <c r="X191" s="30">
        <v>4.0</v>
      </c>
      <c r="Y191" s="30">
        <v>3.0</v>
      </c>
      <c r="Z191" s="28">
        <v>1083.0</v>
      </c>
    </row>
    <row r="192" ht="14.25" customHeight="1">
      <c r="A192" s="27">
        <v>44078.0</v>
      </c>
      <c r="B192" s="28">
        <v>103.0</v>
      </c>
      <c r="C192" s="28">
        <v>106.0</v>
      </c>
      <c r="D192" s="28">
        <v>31916.0</v>
      </c>
      <c r="E192" s="28">
        <v>8963.0</v>
      </c>
      <c r="F192" s="29">
        <v>542672.0</v>
      </c>
      <c r="G192" s="29">
        <v>9066.0</v>
      </c>
      <c r="H192" s="29">
        <v>574588.0</v>
      </c>
      <c r="I192" s="28">
        <v>83.0</v>
      </c>
      <c r="J192" s="28">
        <v>87.0</v>
      </c>
      <c r="K192" s="28">
        <v>22286.0</v>
      </c>
      <c r="L192" s="28">
        <v>2359.0</v>
      </c>
      <c r="M192" s="28">
        <v>265825.0</v>
      </c>
      <c r="N192" s="28">
        <v>288111.0</v>
      </c>
      <c r="O192" s="28">
        <v>11.0</v>
      </c>
      <c r="P192" s="30">
        <v>2579.0</v>
      </c>
      <c r="Q192" s="30">
        <v>4.0</v>
      </c>
      <c r="R192" s="30">
        <v>2167.0</v>
      </c>
      <c r="S192" s="30">
        <v>0.0</v>
      </c>
      <c r="T192" s="30">
        <v>339.0</v>
      </c>
      <c r="U192" s="30">
        <v>73.0</v>
      </c>
      <c r="V192" s="30">
        <v>68.0</v>
      </c>
      <c r="W192" s="30">
        <v>9.0</v>
      </c>
      <c r="X192" s="30">
        <v>4.0</v>
      </c>
      <c r="Y192" s="30">
        <v>1.0</v>
      </c>
      <c r="Z192" s="28">
        <v>1084.0</v>
      </c>
    </row>
    <row r="193" ht="14.25" customHeight="1">
      <c r="A193" s="27">
        <v>44079.0</v>
      </c>
      <c r="B193" s="28">
        <v>52.0</v>
      </c>
      <c r="C193" s="28">
        <v>82.0</v>
      </c>
      <c r="D193" s="28">
        <v>31968.0</v>
      </c>
      <c r="E193" s="28">
        <v>6309.0</v>
      </c>
      <c r="F193" s="29">
        <v>548981.0</v>
      </c>
      <c r="G193" s="29">
        <v>6361.0</v>
      </c>
      <c r="H193" s="29">
        <v>580949.0</v>
      </c>
      <c r="I193" s="28">
        <v>42.0</v>
      </c>
      <c r="J193" s="28">
        <v>66.0</v>
      </c>
      <c r="K193" s="28">
        <v>22328.0</v>
      </c>
      <c r="L193" s="28">
        <v>1591.0</v>
      </c>
      <c r="M193" s="28">
        <v>267416.0</v>
      </c>
      <c r="N193" s="28">
        <v>289744.0</v>
      </c>
      <c r="O193" s="28">
        <v>6.0</v>
      </c>
      <c r="P193" s="30">
        <v>2585.0</v>
      </c>
      <c r="Q193" s="30">
        <v>9.0</v>
      </c>
      <c r="R193" s="30">
        <v>2176.0</v>
      </c>
      <c r="S193" s="30">
        <v>0.0</v>
      </c>
      <c r="T193" s="30">
        <v>339.0</v>
      </c>
      <c r="U193" s="30">
        <v>70.0</v>
      </c>
      <c r="V193" s="30">
        <v>70.0</v>
      </c>
      <c r="W193" s="30">
        <v>8.0</v>
      </c>
      <c r="X193" s="30">
        <v>3.0</v>
      </c>
      <c r="Y193" s="30">
        <v>1.0</v>
      </c>
      <c r="Z193" s="28">
        <v>1085.0</v>
      </c>
    </row>
    <row r="194" ht="14.25" customHeight="1">
      <c r="A194" s="27">
        <v>44080.0</v>
      </c>
      <c r="B194" s="28">
        <v>88.0</v>
      </c>
      <c r="C194" s="28">
        <v>81.0</v>
      </c>
      <c r="D194" s="28">
        <v>32056.0</v>
      </c>
      <c r="E194" s="28">
        <v>4325.0</v>
      </c>
      <c r="F194" s="29">
        <v>553306.0</v>
      </c>
      <c r="G194" s="29">
        <v>4413.0</v>
      </c>
      <c r="H194" s="29">
        <v>585362.0</v>
      </c>
      <c r="I194" s="28">
        <v>65.0</v>
      </c>
      <c r="J194" s="28">
        <v>63.0</v>
      </c>
      <c r="K194" s="28">
        <v>22393.0</v>
      </c>
      <c r="L194" s="28">
        <v>1938.0</v>
      </c>
      <c r="M194" s="28">
        <v>269354.0</v>
      </c>
      <c r="N194" s="28">
        <v>291747.0</v>
      </c>
      <c r="O194" s="28">
        <v>4.0</v>
      </c>
      <c r="P194" s="30">
        <v>2589.0</v>
      </c>
      <c r="Q194" s="30">
        <v>8.0</v>
      </c>
      <c r="R194" s="30">
        <v>2184.0</v>
      </c>
      <c r="S194" s="30">
        <v>1.0</v>
      </c>
      <c r="T194" s="30">
        <v>340.0</v>
      </c>
      <c r="U194" s="30">
        <v>65.0</v>
      </c>
      <c r="V194" s="30">
        <v>69.0</v>
      </c>
      <c r="W194" s="30">
        <v>6.0</v>
      </c>
      <c r="X194" s="30">
        <v>3.0</v>
      </c>
      <c r="Y194" s="30">
        <v>1.0</v>
      </c>
      <c r="Z194" s="28">
        <v>1086.0</v>
      </c>
    </row>
    <row r="195" ht="14.25" customHeight="1">
      <c r="A195" s="27">
        <v>44081.0</v>
      </c>
      <c r="B195" s="28">
        <v>35.0</v>
      </c>
      <c r="C195" s="28">
        <v>58.0</v>
      </c>
      <c r="D195" s="28">
        <v>32091.0</v>
      </c>
      <c r="E195" s="28">
        <v>3002.0</v>
      </c>
      <c r="F195" s="29">
        <v>556308.0</v>
      </c>
      <c r="G195" s="29">
        <v>3037.0</v>
      </c>
      <c r="H195" s="29">
        <v>588399.0</v>
      </c>
      <c r="I195" s="28">
        <v>26.0</v>
      </c>
      <c r="J195" s="28">
        <v>44.0</v>
      </c>
      <c r="K195" s="28">
        <v>22419.0</v>
      </c>
      <c r="L195" s="28">
        <v>640.0</v>
      </c>
      <c r="M195" s="28">
        <v>269994.0</v>
      </c>
      <c r="N195" s="28">
        <v>292413.0</v>
      </c>
      <c r="O195" s="28">
        <v>11.0</v>
      </c>
      <c r="P195" s="30">
        <v>2600.0</v>
      </c>
      <c r="Q195" s="30">
        <v>3.0</v>
      </c>
      <c r="R195" s="30">
        <v>2187.0</v>
      </c>
      <c r="S195" s="30">
        <v>0.0</v>
      </c>
      <c r="T195" s="30">
        <v>340.0</v>
      </c>
      <c r="U195" s="30">
        <v>73.0</v>
      </c>
      <c r="V195" s="30">
        <v>69.0</v>
      </c>
      <c r="W195" s="30">
        <v>5.0</v>
      </c>
      <c r="X195" s="30">
        <v>3.0</v>
      </c>
      <c r="Y195" s="30">
        <v>1.0</v>
      </c>
      <c r="Z195" s="28">
        <v>1087.0</v>
      </c>
    </row>
    <row r="196" ht="14.25" customHeight="1">
      <c r="A196" s="27">
        <v>44082.0</v>
      </c>
      <c r="B196" s="28">
        <v>74.0</v>
      </c>
      <c r="C196" s="28">
        <v>66.0</v>
      </c>
      <c r="D196" s="28">
        <v>32165.0</v>
      </c>
      <c r="E196" s="28">
        <v>6381.0</v>
      </c>
      <c r="F196" s="29">
        <v>562689.0</v>
      </c>
      <c r="G196" s="29">
        <v>6455.0</v>
      </c>
      <c r="H196" s="29">
        <v>594854.0</v>
      </c>
      <c r="I196" s="28">
        <v>66.0</v>
      </c>
      <c r="J196" s="28">
        <v>52.0</v>
      </c>
      <c r="K196" s="28">
        <v>22485.0</v>
      </c>
      <c r="L196" s="28">
        <v>1580.0</v>
      </c>
      <c r="M196" s="28">
        <v>271574.0</v>
      </c>
      <c r="N196" s="28">
        <v>294059.0</v>
      </c>
      <c r="O196" s="28">
        <v>6.0</v>
      </c>
      <c r="P196" s="30">
        <v>2606.0</v>
      </c>
      <c r="Q196" s="30">
        <v>12.0</v>
      </c>
      <c r="R196" s="30">
        <v>2199.0</v>
      </c>
      <c r="S196" s="30">
        <v>1.0</v>
      </c>
      <c r="T196" s="30">
        <v>341.0</v>
      </c>
      <c r="U196" s="30">
        <v>66.0</v>
      </c>
      <c r="V196" s="30">
        <v>68.0</v>
      </c>
      <c r="W196" s="30">
        <v>6.0</v>
      </c>
      <c r="X196" s="30">
        <v>3.0</v>
      </c>
      <c r="Y196" s="30">
        <v>2.0</v>
      </c>
      <c r="Z196" s="28">
        <v>1089.0</v>
      </c>
    </row>
    <row r="197" ht="14.25" customHeight="1">
      <c r="A197" s="27">
        <v>44083.0</v>
      </c>
      <c r="B197" s="28">
        <v>118.0</v>
      </c>
      <c r="C197" s="28">
        <v>76.0</v>
      </c>
      <c r="D197" s="28">
        <v>32283.0</v>
      </c>
      <c r="E197" s="28">
        <v>8650.0</v>
      </c>
      <c r="F197" s="29">
        <v>571339.0</v>
      </c>
      <c r="G197" s="29">
        <v>8768.0</v>
      </c>
      <c r="H197" s="29">
        <v>603622.0</v>
      </c>
      <c r="I197" s="28">
        <v>102.0</v>
      </c>
      <c r="J197" s="28">
        <v>65.0</v>
      </c>
      <c r="K197" s="28">
        <v>22587.0</v>
      </c>
      <c r="L197" s="28">
        <v>2131.0</v>
      </c>
      <c r="M197" s="28">
        <v>273705.0</v>
      </c>
      <c r="N197" s="28">
        <v>296292.0</v>
      </c>
      <c r="O197" s="28">
        <v>10.0</v>
      </c>
      <c r="P197" s="30">
        <v>2616.0</v>
      </c>
      <c r="Q197" s="30">
        <v>5.0</v>
      </c>
      <c r="R197" s="30">
        <v>2204.0</v>
      </c>
      <c r="S197" s="30">
        <v>1.0</v>
      </c>
      <c r="T197" s="30">
        <v>342.0</v>
      </c>
      <c r="U197" s="30">
        <v>70.0</v>
      </c>
      <c r="V197" s="30">
        <v>70.0</v>
      </c>
      <c r="W197" s="30">
        <v>9.0</v>
      </c>
      <c r="X197" s="30">
        <v>3.0</v>
      </c>
      <c r="Y197" s="30">
        <v>1.0</v>
      </c>
      <c r="Z197" s="28">
        <v>1090.0</v>
      </c>
    </row>
    <row r="198" ht="14.25" customHeight="1">
      <c r="A198" s="27">
        <v>44084.0</v>
      </c>
      <c r="B198" s="28">
        <v>164.0</v>
      </c>
      <c r="C198" s="28">
        <v>119.0</v>
      </c>
      <c r="D198" s="28">
        <v>32447.0</v>
      </c>
      <c r="E198" s="28">
        <v>11334.0</v>
      </c>
      <c r="F198" s="29">
        <v>582673.0</v>
      </c>
      <c r="G198" s="29">
        <v>11498.0</v>
      </c>
      <c r="H198" s="29">
        <v>615120.0</v>
      </c>
      <c r="I198" s="28">
        <v>111.0</v>
      </c>
      <c r="J198" s="28">
        <v>93.0</v>
      </c>
      <c r="K198" s="28">
        <v>22698.0</v>
      </c>
      <c r="L198" s="28">
        <v>2258.0</v>
      </c>
      <c r="M198" s="28">
        <v>275963.0</v>
      </c>
      <c r="N198" s="28">
        <v>298661.0</v>
      </c>
      <c r="O198" s="28">
        <v>9.0</v>
      </c>
      <c r="P198" s="30">
        <v>2625.0</v>
      </c>
      <c r="Q198" s="30">
        <v>8.0</v>
      </c>
      <c r="R198" s="30">
        <v>2212.0</v>
      </c>
      <c r="S198" s="30">
        <v>0.0</v>
      </c>
      <c r="T198" s="30">
        <v>342.0</v>
      </c>
      <c r="U198" s="30">
        <v>71.0</v>
      </c>
      <c r="V198" s="30">
        <v>69.0</v>
      </c>
      <c r="W198" s="30">
        <v>10.0</v>
      </c>
      <c r="X198" s="30">
        <v>3.0</v>
      </c>
      <c r="Y198" s="30">
        <v>1.0</v>
      </c>
      <c r="Z198" s="28">
        <v>1091.0</v>
      </c>
    </row>
    <row r="199" ht="14.25" customHeight="1">
      <c r="A199" s="27">
        <v>44085.0</v>
      </c>
      <c r="B199" s="28">
        <v>120.0</v>
      </c>
      <c r="C199" s="28">
        <v>134.0</v>
      </c>
      <c r="D199" s="28">
        <v>32567.0</v>
      </c>
      <c r="E199" s="28">
        <v>9454.0</v>
      </c>
      <c r="F199" s="29">
        <v>592127.0</v>
      </c>
      <c r="G199" s="29">
        <v>9574.0</v>
      </c>
      <c r="H199" s="29">
        <v>624694.0</v>
      </c>
      <c r="I199" s="28">
        <v>97.0</v>
      </c>
      <c r="J199" s="28">
        <v>103.0</v>
      </c>
      <c r="K199" s="28">
        <v>22795.0</v>
      </c>
      <c r="L199" s="28">
        <v>1956.0</v>
      </c>
      <c r="M199" s="28">
        <v>277919.0</v>
      </c>
      <c r="N199" s="28">
        <v>300714.0</v>
      </c>
      <c r="O199" s="28">
        <v>11.0</v>
      </c>
      <c r="P199" s="30">
        <v>2636.0</v>
      </c>
      <c r="Q199" s="30">
        <v>11.0</v>
      </c>
      <c r="R199" s="30">
        <v>2223.0</v>
      </c>
      <c r="S199" s="30">
        <v>0.0</v>
      </c>
      <c r="T199" s="30">
        <v>342.0</v>
      </c>
      <c r="U199" s="30">
        <v>71.0</v>
      </c>
      <c r="V199" s="30">
        <v>71.0</v>
      </c>
      <c r="W199" s="30">
        <v>10.0</v>
      </c>
      <c r="X199" s="30">
        <v>5.0</v>
      </c>
      <c r="Y199" s="30">
        <v>0.0</v>
      </c>
      <c r="Z199" s="28">
        <v>1091.0</v>
      </c>
    </row>
    <row r="200" ht="14.25" customHeight="1">
      <c r="A200" s="27">
        <v>44086.0</v>
      </c>
      <c r="B200" s="28">
        <v>110.0</v>
      </c>
      <c r="C200" s="28">
        <v>131.0</v>
      </c>
      <c r="D200" s="28">
        <v>32677.0</v>
      </c>
      <c r="E200" s="28">
        <v>6173.0</v>
      </c>
      <c r="F200" s="29">
        <v>598300.0</v>
      </c>
      <c r="G200" s="29">
        <v>6283.0</v>
      </c>
      <c r="H200" s="29">
        <v>630977.0</v>
      </c>
      <c r="I200" s="28">
        <v>97.0</v>
      </c>
      <c r="J200" s="28">
        <v>102.0</v>
      </c>
      <c r="K200" s="28">
        <v>22892.0</v>
      </c>
      <c r="L200" s="28">
        <v>1511.0</v>
      </c>
      <c r="M200" s="28">
        <v>279430.0</v>
      </c>
      <c r="N200" s="28">
        <v>302322.0</v>
      </c>
      <c r="O200" s="28">
        <v>8.0</v>
      </c>
      <c r="P200" s="30">
        <v>2644.0</v>
      </c>
      <c r="Q200" s="30">
        <v>5.0</v>
      </c>
      <c r="R200" s="30">
        <v>2228.0</v>
      </c>
      <c r="S200" s="30">
        <v>2.0</v>
      </c>
      <c r="T200" s="30">
        <v>344.0</v>
      </c>
      <c r="U200" s="30">
        <v>72.0</v>
      </c>
      <c r="V200" s="30">
        <v>71.0</v>
      </c>
      <c r="W200" s="30">
        <v>9.0</v>
      </c>
      <c r="X200" s="30">
        <v>5.0</v>
      </c>
      <c r="Y200" s="30">
        <v>3.0</v>
      </c>
      <c r="Z200" s="28">
        <v>1094.0</v>
      </c>
    </row>
    <row r="201" ht="14.25" customHeight="1">
      <c r="A201" s="27">
        <v>44087.0</v>
      </c>
      <c r="B201" s="28">
        <v>58.0</v>
      </c>
      <c r="C201" s="28">
        <v>96.0</v>
      </c>
      <c r="D201" s="28">
        <v>32735.0</v>
      </c>
      <c r="E201" s="28">
        <v>2716.0</v>
      </c>
      <c r="F201" s="29">
        <v>601016.0</v>
      </c>
      <c r="G201" s="29">
        <v>2774.0</v>
      </c>
      <c r="H201" s="29">
        <v>633751.0</v>
      </c>
      <c r="I201" s="28">
        <v>54.0</v>
      </c>
      <c r="J201" s="28">
        <v>83.0</v>
      </c>
      <c r="K201" s="28">
        <v>22946.0</v>
      </c>
      <c r="L201" s="28">
        <v>858.0</v>
      </c>
      <c r="M201" s="28">
        <v>280288.0</v>
      </c>
      <c r="N201" s="28">
        <v>303234.0</v>
      </c>
      <c r="O201" s="28">
        <v>4.0</v>
      </c>
      <c r="P201" s="30">
        <v>2648.0</v>
      </c>
      <c r="Q201" s="30">
        <v>3.0</v>
      </c>
      <c r="R201" s="30">
        <v>2231.0</v>
      </c>
      <c r="S201" s="30">
        <v>0.0</v>
      </c>
      <c r="T201" s="30">
        <v>344.0</v>
      </c>
      <c r="U201" s="30">
        <v>73.0</v>
      </c>
      <c r="V201" s="30">
        <v>72.0</v>
      </c>
      <c r="W201" s="30">
        <v>10.0</v>
      </c>
      <c r="X201" s="30">
        <v>5.0</v>
      </c>
      <c r="Y201" s="30">
        <v>0.0</v>
      </c>
      <c r="Z201" s="28">
        <v>1094.0</v>
      </c>
    </row>
    <row r="202" ht="14.25" customHeight="1">
      <c r="A202" s="27">
        <v>44088.0</v>
      </c>
      <c r="B202" s="28">
        <v>104.0</v>
      </c>
      <c r="C202" s="28">
        <v>91.0</v>
      </c>
      <c r="D202" s="28">
        <v>32839.0</v>
      </c>
      <c r="E202" s="28">
        <v>6446.0</v>
      </c>
      <c r="F202" s="29">
        <v>607462.0</v>
      </c>
      <c r="G202" s="29">
        <v>6550.0</v>
      </c>
      <c r="H202" s="29">
        <v>640301.0</v>
      </c>
      <c r="I202" s="28">
        <v>95.0</v>
      </c>
      <c r="J202" s="28">
        <v>82.0</v>
      </c>
      <c r="K202" s="28">
        <v>23041.0</v>
      </c>
      <c r="L202" s="28">
        <v>1721.0</v>
      </c>
      <c r="M202" s="28">
        <v>282009.0</v>
      </c>
      <c r="N202" s="28">
        <v>305050.0</v>
      </c>
      <c r="O202" s="28">
        <v>6.0</v>
      </c>
      <c r="P202" s="30">
        <v>2654.0</v>
      </c>
      <c r="Q202" s="30">
        <v>3.0</v>
      </c>
      <c r="R202" s="30">
        <v>2234.0</v>
      </c>
      <c r="S202" s="30">
        <v>2.0</v>
      </c>
      <c r="T202" s="30">
        <v>346.0</v>
      </c>
      <c r="U202" s="30">
        <v>74.0</v>
      </c>
      <c r="V202" s="30">
        <v>73.0</v>
      </c>
      <c r="W202" s="30">
        <v>10.0</v>
      </c>
      <c r="X202" s="30">
        <v>5.0</v>
      </c>
      <c r="Y202" s="30">
        <v>2.0</v>
      </c>
      <c r="Z202" s="28">
        <v>1096.0</v>
      </c>
    </row>
    <row r="203" ht="14.25" customHeight="1">
      <c r="A203" s="27">
        <v>44089.0</v>
      </c>
      <c r="B203" s="28">
        <v>122.0</v>
      </c>
      <c r="C203" s="28">
        <v>95.0</v>
      </c>
      <c r="D203" s="28">
        <v>32961.0</v>
      </c>
      <c r="E203" s="28">
        <v>8466.0</v>
      </c>
      <c r="F203" s="29">
        <v>615928.0</v>
      </c>
      <c r="G203" s="29">
        <v>8588.0</v>
      </c>
      <c r="H203" s="29">
        <v>648889.0</v>
      </c>
      <c r="I203" s="28">
        <v>124.0</v>
      </c>
      <c r="J203" s="28">
        <v>91.0</v>
      </c>
      <c r="K203" s="28">
        <v>23165.0</v>
      </c>
      <c r="L203" s="28">
        <v>2182.0</v>
      </c>
      <c r="M203" s="28">
        <v>284191.0</v>
      </c>
      <c r="N203" s="28">
        <v>307356.0</v>
      </c>
      <c r="O203" s="28">
        <v>7.0</v>
      </c>
      <c r="P203" s="30">
        <v>2661.0</v>
      </c>
      <c r="Q203" s="30">
        <v>2.0</v>
      </c>
      <c r="R203" s="30">
        <v>2236.0</v>
      </c>
      <c r="S203" s="30">
        <v>1.0</v>
      </c>
      <c r="T203" s="30">
        <v>347.0</v>
      </c>
      <c r="U203" s="30">
        <v>78.0</v>
      </c>
      <c r="V203" s="30">
        <v>75.0</v>
      </c>
      <c r="W203" s="30">
        <v>10.0</v>
      </c>
      <c r="X203" s="30">
        <v>5.0</v>
      </c>
      <c r="Y203" s="30">
        <v>2.0</v>
      </c>
      <c r="Z203" s="28">
        <v>1098.0</v>
      </c>
    </row>
    <row r="204" ht="14.25" customHeight="1">
      <c r="A204" s="27">
        <v>44090.0</v>
      </c>
      <c r="B204" s="28">
        <v>137.0</v>
      </c>
      <c r="C204" s="28">
        <v>121.0</v>
      </c>
      <c r="D204" s="28">
        <v>33098.0</v>
      </c>
      <c r="E204" s="28">
        <v>9715.0</v>
      </c>
      <c r="F204" s="29">
        <v>625643.0</v>
      </c>
      <c r="G204" s="29">
        <v>9852.0</v>
      </c>
      <c r="H204" s="29">
        <v>658741.0</v>
      </c>
      <c r="I204" s="28">
        <v>118.0</v>
      </c>
      <c r="J204" s="28">
        <v>112.0</v>
      </c>
      <c r="K204" s="28">
        <v>23283.0</v>
      </c>
      <c r="L204" s="28">
        <v>1963.0</v>
      </c>
      <c r="M204" s="28">
        <v>286154.0</v>
      </c>
      <c r="N204" s="28">
        <v>309437.0</v>
      </c>
      <c r="O204" s="28">
        <v>7.0</v>
      </c>
      <c r="P204" s="30">
        <v>2668.0</v>
      </c>
      <c r="Q204" s="30">
        <v>7.0</v>
      </c>
      <c r="R204" s="30">
        <v>2243.0</v>
      </c>
      <c r="S204" s="30">
        <v>2.0</v>
      </c>
      <c r="T204" s="30">
        <v>349.0</v>
      </c>
      <c r="U204" s="30">
        <v>76.0</v>
      </c>
      <c r="V204" s="30">
        <v>76.0</v>
      </c>
      <c r="W204" s="30">
        <v>9.0</v>
      </c>
      <c r="X204" s="30">
        <v>6.0</v>
      </c>
      <c r="Y204" s="30">
        <v>5.0</v>
      </c>
      <c r="Z204" s="28">
        <v>1103.0</v>
      </c>
    </row>
    <row r="205" ht="14.25" customHeight="1">
      <c r="A205" s="27">
        <v>44091.0</v>
      </c>
      <c r="B205" s="28">
        <v>125.0</v>
      </c>
      <c r="C205" s="28">
        <v>128.0</v>
      </c>
      <c r="D205" s="28">
        <v>33223.0</v>
      </c>
      <c r="E205" s="28">
        <v>9239.0</v>
      </c>
      <c r="F205" s="29">
        <v>634882.0</v>
      </c>
      <c r="G205" s="29">
        <v>9364.0</v>
      </c>
      <c r="H205" s="29">
        <v>668105.0</v>
      </c>
      <c r="I205" s="28">
        <v>154.0</v>
      </c>
      <c r="J205" s="28">
        <v>132.0</v>
      </c>
      <c r="K205" s="28">
        <v>23437.0</v>
      </c>
      <c r="L205" s="28">
        <v>1935.0</v>
      </c>
      <c r="M205" s="28">
        <v>288089.0</v>
      </c>
      <c r="N205" s="28">
        <v>311526.0</v>
      </c>
      <c r="O205" s="28">
        <v>7.0</v>
      </c>
      <c r="P205" s="30">
        <v>2675.0</v>
      </c>
      <c r="Q205" s="30">
        <v>15.0</v>
      </c>
      <c r="R205" s="30">
        <v>2258.0</v>
      </c>
      <c r="S205" s="30">
        <v>0.0</v>
      </c>
      <c r="T205" s="30">
        <v>349.0</v>
      </c>
      <c r="U205" s="30">
        <v>68.0</v>
      </c>
      <c r="V205" s="30">
        <v>74.0</v>
      </c>
      <c r="W205" s="30">
        <v>8.0</v>
      </c>
      <c r="X205" s="30">
        <v>4.0</v>
      </c>
      <c r="Y205" s="30">
        <v>0.0</v>
      </c>
      <c r="Z205" s="28">
        <v>1103.0</v>
      </c>
    </row>
    <row r="206" ht="14.25" customHeight="1">
      <c r="A206" s="27">
        <v>44092.0</v>
      </c>
      <c r="B206" s="28">
        <v>132.0</v>
      </c>
      <c r="C206" s="28">
        <v>131.0</v>
      </c>
      <c r="D206" s="28">
        <v>33355.0</v>
      </c>
      <c r="E206" s="28">
        <v>10045.0</v>
      </c>
      <c r="F206" s="29">
        <v>644927.0</v>
      </c>
      <c r="G206" s="29">
        <v>10177.0</v>
      </c>
      <c r="H206" s="29">
        <v>678282.0</v>
      </c>
      <c r="I206" s="28">
        <v>132.0</v>
      </c>
      <c r="J206" s="28">
        <v>135.0</v>
      </c>
      <c r="K206" s="28">
        <v>23569.0</v>
      </c>
      <c r="L206" s="28">
        <v>1917.0</v>
      </c>
      <c r="M206" s="28">
        <v>290006.0</v>
      </c>
      <c r="N206" s="28">
        <v>313575.0</v>
      </c>
      <c r="O206" s="28">
        <v>7.0</v>
      </c>
      <c r="P206" s="30">
        <v>2682.0</v>
      </c>
      <c r="Q206" s="30">
        <v>7.0</v>
      </c>
      <c r="R206" s="30">
        <v>2265.0</v>
      </c>
      <c r="S206" s="30">
        <v>1.0</v>
      </c>
      <c r="T206" s="30">
        <v>350.0</v>
      </c>
      <c r="U206" s="30">
        <v>67.0</v>
      </c>
      <c r="V206" s="30">
        <v>70.0</v>
      </c>
      <c r="W206" s="30">
        <v>11.0</v>
      </c>
      <c r="X206" s="30">
        <v>6.0</v>
      </c>
      <c r="Y206" s="30">
        <v>2.0</v>
      </c>
      <c r="Z206" s="28">
        <v>1105.0</v>
      </c>
    </row>
    <row r="207" ht="14.25" customHeight="1">
      <c r="A207" s="27">
        <v>44093.0</v>
      </c>
      <c r="B207" s="28">
        <v>115.0</v>
      </c>
      <c r="C207" s="28">
        <v>124.0</v>
      </c>
      <c r="D207" s="28">
        <v>33470.0</v>
      </c>
      <c r="E207" s="28">
        <v>8297.0</v>
      </c>
      <c r="F207" s="29">
        <v>653224.0</v>
      </c>
      <c r="G207" s="29">
        <v>8412.0</v>
      </c>
      <c r="H207" s="29">
        <v>686694.0</v>
      </c>
      <c r="I207" s="28">
        <v>112.0</v>
      </c>
      <c r="J207" s="28">
        <v>133.0</v>
      </c>
      <c r="K207" s="28">
        <v>23681.0</v>
      </c>
      <c r="L207" s="28">
        <v>1685.0</v>
      </c>
      <c r="M207" s="28">
        <v>291691.0</v>
      </c>
      <c r="N207" s="28">
        <v>315372.0</v>
      </c>
      <c r="O207" s="28">
        <v>7.0</v>
      </c>
      <c r="P207" s="30">
        <v>2689.0</v>
      </c>
      <c r="Q207" s="30">
        <v>3.0</v>
      </c>
      <c r="R207" s="30">
        <v>2268.0</v>
      </c>
      <c r="S207" s="30">
        <v>0.0</v>
      </c>
      <c r="T207" s="30">
        <v>350.0</v>
      </c>
      <c r="U207" s="30">
        <v>71.0</v>
      </c>
      <c r="V207" s="30">
        <v>69.0</v>
      </c>
      <c r="W207" s="30">
        <v>10.0</v>
      </c>
      <c r="X207" s="30">
        <v>6.0</v>
      </c>
      <c r="Y207" s="30">
        <v>4.0</v>
      </c>
      <c r="Z207" s="28">
        <v>1109.0</v>
      </c>
    </row>
    <row r="208" ht="14.25" customHeight="1">
      <c r="A208" s="27">
        <v>44094.0</v>
      </c>
      <c r="B208" s="28">
        <v>60.0</v>
      </c>
      <c r="C208" s="28">
        <v>102.0</v>
      </c>
      <c r="D208" s="28">
        <v>33530.0</v>
      </c>
      <c r="E208" s="28">
        <v>3676.0</v>
      </c>
      <c r="F208" s="29">
        <v>656900.0</v>
      </c>
      <c r="G208" s="29">
        <v>3736.0</v>
      </c>
      <c r="H208" s="29">
        <v>690430.0</v>
      </c>
      <c r="I208" s="28">
        <v>49.0</v>
      </c>
      <c r="J208" s="28">
        <v>98.0</v>
      </c>
      <c r="K208" s="28">
        <v>23730.0</v>
      </c>
      <c r="L208" s="28">
        <v>1321.0</v>
      </c>
      <c r="M208" s="28">
        <v>293012.0</v>
      </c>
      <c r="N208" s="28">
        <v>316742.0</v>
      </c>
      <c r="O208" s="28">
        <v>7.0</v>
      </c>
      <c r="P208" s="30">
        <v>2696.0</v>
      </c>
      <c r="Q208" s="30">
        <v>6.0</v>
      </c>
      <c r="R208" s="30">
        <v>2274.0</v>
      </c>
      <c r="S208" s="30">
        <v>2.0</v>
      </c>
      <c r="T208" s="30">
        <v>352.0</v>
      </c>
      <c r="U208" s="30">
        <v>70.0</v>
      </c>
      <c r="V208" s="30">
        <v>69.0</v>
      </c>
      <c r="W208" s="30">
        <v>9.0</v>
      </c>
      <c r="X208" s="30">
        <v>8.0</v>
      </c>
      <c r="Y208" s="30">
        <v>4.0</v>
      </c>
      <c r="Z208" s="28">
        <v>1113.0</v>
      </c>
    </row>
    <row r="209" ht="14.25" customHeight="1">
      <c r="A209" s="27">
        <v>44095.0</v>
      </c>
      <c r="B209" s="28">
        <v>102.0</v>
      </c>
      <c r="C209" s="28">
        <v>92.0</v>
      </c>
      <c r="D209" s="28">
        <v>33632.0</v>
      </c>
      <c r="E209" s="28">
        <v>7018.0</v>
      </c>
      <c r="F209" s="29">
        <v>663918.0</v>
      </c>
      <c r="G209" s="29">
        <v>7120.0</v>
      </c>
      <c r="H209" s="29">
        <v>697550.0</v>
      </c>
      <c r="I209" s="28">
        <v>94.0</v>
      </c>
      <c r="J209" s="28">
        <v>85.0</v>
      </c>
      <c r="K209" s="28">
        <v>23824.0</v>
      </c>
      <c r="L209" s="28">
        <v>2398.0</v>
      </c>
      <c r="M209" s="28">
        <v>295410.0</v>
      </c>
      <c r="N209" s="28">
        <v>319234.0</v>
      </c>
      <c r="O209" s="28">
        <v>12.0</v>
      </c>
      <c r="P209" s="30">
        <v>2708.0</v>
      </c>
      <c r="Q209" s="30">
        <v>3.0</v>
      </c>
      <c r="R209" s="30">
        <v>2277.0</v>
      </c>
      <c r="S209" s="30">
        <v>2.0</v>
      </c>
      <c r="T209" s="30">
        <v>354.0</v>
      </c>
      <c r="U209" s="30">
        <v>77.0</v>
      </c>
      <c r="V209" s="30">
        <v>73.0</v>
      </c>
      <c r="W209" s="30">
        <v>8.0</v>
      </c>
      <c r="X209" s="30">
        <v>6.0</v>
      </c>
      <c r="Y209" s="30">
        <v>2.0</v>
      </c>
      <c r="Z209" s="28">
        <v>1115.0</v>
      </c>
    </row>
    <row r="210" ht="14.25" customHeight="1">
      <c r="A210" s="27">
        <v>44096.0</v>
      </c>
      <c r="B210" s="28">
        <v>154.0</v>
      </c>
      <c r="C210" s="28">
        <v>105.0</v>
      </c>
      <c r="D210" s="28">
        <v>33786.0</v>
      </c>
      <c r="E210" s="28">
        <v>9287.0</v>
      </c>
      <c r="F210" s="29">
        <v>673205.0</v>
      </c>
      <c r="G210" s="29">
        <v>9441.0</v>
      </c>
      <c r="H210" s="29">
        <v>706991.0</v>
      </c>
      <c r="I210" s="28">
        <v>124.0</v>
      </c>
      <c r="J210" s="28">
        <v>89.0</v>
      </c>
      <c r="K210" s="28">
        <v>23948.0</v>
      </c>
      <c r="L210" s="28">
        <v>2198.0</v>
      </c>
      <c r="M210" s="28">
        <v>297608.0</v>
      </c>
      <c r="N210" s="28">
        <v>321556.0</v>
      </c>
      <c r="O210" s="28">
        <v>12.0</v>
      </c>
      <c r="P210" s="30">
        <v>2720.0</v>
      </c>
      <c r="Q210" s="30">
        <v>3.0</v>
      </c>
      <c r="R210" s="30">
        <v>2280.0</v>
      </c>
      <c r="S210" s="30">
        <v>1.0</v>
      </c>
      <c r="T210" s="30">
        <v>355.0</v>
      </c>
      <c r="U210" s="30">
        <v>85.0</v>
      </c>
      <c r="V210" s="30">
        <v>77.0</v>
      </c>
      <c r="W210" s="30">
        <v>7.0</v>
      </c>
      <c r="X210" s="30">
        <v>5.0</v>
      </c>
      <c r="Y210" s="30">
        <v>1.0</v>
      </c>
      <c r="Z210" s="28">
        <v>1116.0</v>
      </c>
    </row>
    <row r="211" ht="14.25" customHeight="1">
      <c r="A211" s="27">
        <v>44097.0</v>
      </c>
      <c r="B211" s="28">
        <v>136.0</v>
      </c>
      <c r="C211" s="28">
        <v>131.0</v>
      </c>
      <c r="D211" s="28">
        <v>33922.0</v>
      </c>
      <c r="E211" s="28">
        <v>10650.0</v>
      </c>
      <c r="F211" s="29">
        <v>683855.0</v>
      </c>
      <c r="G211" s="29">
        <v>10786.0</v>
      </c>
      <c r="H211" s="29">
        <v>717777.0</v>
      </c>
      <c r="I211" s="28">
        <v>127.0</v>
      </c>
      <c r="J211" s="28">
        <v>115.0</v>
      </c>
      <c r="K211" s="28">
        <v>24075.0</v>
      </c>
      <c r="L211" s="28">
        <v>2208.0</v>
      </c>
      <c r="M211" s="28">
        <v>299816.0</v>
      </c>
      <c r="N211" s="28">
        <v>323891.0</v>
      </c>
      <c r="O211" s="28">
        <v>12.0</v>
      </c>
      <c r="P211" s="30">
        <v>2732.0</v>
      </c>
      <c r="Q211" s="30">
        <v>7.0</v>
      </c>
      <c r="R211" s="30">
        <v>2287.0</v>
      </c>
      <c r="S211" s="30">
        <v>0.0</v>
      </c>
      <c r="T211" s="30">
        <v>355.0</v>
      </c>
      <c r="U211" s="30">
        <v>90.0</v>
      </c>
      <c r="V211" s="30">
        <v>84.0</v>
      </c>
      <c r="W211" s="30">
        <v>6.0</v>
      </c>
      <c r="X211" s="30">
        <v>5.0</v>
      </c>
      <c r="Y211" s="30">
        <v>0.0</v>
      </c>
      <c r="Z211" s="28">
        <v>1116.0</v>
      </c>
    </row>
    <row r="212" ht="14.25" customHeight="1">
      <c r="A212" s="27">
        <v>44098.0</v>
      </c>
      <c r="B212" s="28">
        <v>120.0</v>
      </c>
      <c r="C212" s="28">
        <v>137.0</v>
      </c>
      <c r="D212" s="28">
        <v>34042.0</v>
      </c>
      <c r="E212" s="28">
        <v>12479.0</v>
      </c>
      <c r="F212" s="29">
        <v>696334.0</v>
      </c>
      <c r="G212" s="29">
        <v>12599.0</v>
      </c>
      <c r="H212" s="29">
        <v>730376.0</v>
      </c>
      <c r="I212" s="28">
        <v>121.0</v>
      </c>
      <c r="J212" s="28">
        <v>124.0</v>
      </c>
      <c r="K212" s="28">
        <v>24196.0</v>
      </c>
      <c r="L212" s="28">
        <v>3153.0</v>
      </c>
      <c r="M212" s="28">
        <v>302969.0</v>
      </c>
      <c r="N212" s="28">
        <v>327165.0</v>
      </c>
      <c r="O212" s="28">
        <v>7.0</v>
      </c>
      <c r="P212" s="30">
        <v>2739.0</v>
      </c>
      <c r="Q212" s="30">
        <v>9.0</v>
      </c>
      <c r="R212" s="30">
        <v>2296.0</v>
      </c>
      <c r="S212" s="30">
        <v>1.0</v>
      </c>
      <c r="T212" s="30">
        <v>356.0</v>
      </c>
      <c r="U212" s="30">
        <v>87.0</v>
      </c>
      <c r="V212" s="30">
        <v>87.0</v>
      </c>
      <c r="W212" s="30">
        <v>7.0</v>
      </c>
      <c r="X212" s="30">
        <v>5.0</v>
      </c>
      <c r="Y212" s="30">
        <v>1.0</v>
      </c>
      <c r="Z212" s="28">
        <v>1117.0</v>
      </c>
    </row>
    <row r="213" ht="14.25" customHeight="1">
      <c r="A213" s="27">
        <v>44099.0</v>
      </c>
      <c r="B213" s="28">
        <v>149.0</v>
      </c>
      <c r="C213" s="28">
        <v>135.0</v>
      </c>
      <c r="D213" s="28">
        <v>34191.0</v>
      </c>
      <c r="E213" s="28">
        <v>10553.0</v>
      </c>
      <c r="F213" s="29">
        <v>706887.0</v>
      </c>
      <c r="G213" s="29">
        <v>10702.0</v>
      </c>
      <c r="H213" s="29">
        <v>741078.0</v>
      </c>
      <c r="I213" s="28">
        <v>142.0</v>
      </c>
      <c r="J213" s="28">
        <v>130.0</v>
      </c>
      <c r="K213" s="28">
        <v>24338.0</v>
      </c>
      <c r="L213" s="28">
        <v>2991.0</v>
      </c>
      <c r="M213" s="28">
        <v>305960.0</v>
      </c>
      <c r="N213" s="28">
        <v>330298.0</v>
      </c>
      <c r="O213" s="28">
        <v>9.0</v>
      </c>
      <c r="P213" s="30">
        <v>2748.0</v>
      </c>
      <c r="Q213" s="30">
        <v>10.0</v>
      </c>
      <c r="R213" s="30">
        <v>2306.0</v>
      </c>
      <c r="S213" s="30">
        <v>0.0</v>
      </c>
      <c r="T213" s="30">
        <v>356.0</v>
      </c>
      <c r="U213" s="30">
        <v>86.0</v>
      </c>
      <c r="V213" s="30">
        <v>88.0</v>
      </c>
      <c r="W213" s="30">
        <v>6.0</v>
      </c>
      <c r="X213" s="30">
        <v>5.0</v>
      </c>
      <c r="Y213" s="30">
        <v>1.0</v>
      </c>
      <c r="Z213" s="28">
        <v>1118.0</v>
      </c>
    </row>
    <row r="214" ht="14.25" customHeight="1">
      <c r="A214" s="27">
        <v>44100.0</v>
      </c>
      <c r="B214" s="28">
        <v>146.0</v>
      </c>
      <c r="C214" s="28">
        <v>138.0</v>
      </c>
      <c r="D214" s="28">
        <v>34337.0</v>
      </c>
      <c r="E214" s="28">
        <v>10559.0</v>
      </c>
      <c r="F214" s="29">
        <v>717446.0</v>
      </c>
      <c r="G214" s="29">
        <v>10705.0</v>
      </c>
      <c r="H214" s="29">
        <v>751783.0</v>
      </c>
      <c r="I214" s="28">
        <v>119.0</v>
      </c>
      <c r="J214" s="28">
        <v>127.0</v>
      </c>
      <c r="K214" s="28">
        <v>24457.0</v>
      </c>
      <c r="L214" s="28">
        <v>2413.0</v>
      </c>
      <c r="M214" s="28">
        <v>308373.0</v>
      </c>
      <c r="N214" s="28">
        <v>332830.0</v>
      </c>
      <c r="O214" s="28">
        <v>12.0</v>
      </c>
      <c r="P214" s="30">
        <v>2760.0</v>
      </c>
      <c r="Q214" s="30">
        <v>9.0</v>
      </c>
      <c r="R214" s="30">
        <v>2315.0</v>
      </c>
      <c r="S214" s="30">
        <v>0.0</v>
      </c>
      <c r="T214" s="30">
        <v>356.0</v>
      </c>
      <c r="U214" s="30">
        <v>89.0</v>
      </c>
      <c r="V214" s="30">
        <v>87.0</v>
      </c>
      <c r="W214" s="30">
        <v>6.0</v>
      </c>
      <c r="X214" s="30">
        <v>5.0</v>
      </c>
      <c r="Y214" s="30">
        <v>1.0</v>
      </c>
      <c r="Z214" s="28">
        <v>1119.0</v>
      </c>
    </row>
    <row r="215" ht="14.25" customHeight="1">
      <c r="A215" s="27">
        <v>44101.0</v>
      </c>
      <c r="B215" s="28">
        <v>43.0</v>
      </c>
      <c r="C215" s="28">
        <v>113.0</v>
      </c>
      <c r="D215" s="28">
        <v>34380.0</v>
      </c>
      <c r="E215" s="28">
        <v>2764.0</v>
      </c>
      <c r="F215" s="29">
        <v>720210.0</v>
      </c>
      <c r="G215" s="29">
        <v>2807.0</v>
      </c>
      <c r="H215" s="29">
        <v>754590.0</v>
      </c>
      <c r="I215" s="28">
        <v>34.0</v>
      </c>
      <c r="J215" s="28">
        <v>98.0</v>
      </c>
      <c r="K215" s="28">
        <v>24491.0</v>
      </c>
      <c r="L215" s="28">
        <v>841.0</v>
      </c>
      <c r="M215" s="28">
        <v>309214.0</v>
      </c>
      <c r="N215" s="28">
        <v>333705.0</v>
      </c>
      <c r="O215" s="28">
        <v>7.0</v>
      </c>
      <c r="P215" s="30">
        <v>2767.0</v>
      </c>
      <c r="Q215" s="30">
        <v>5.0</v>
      </c>
      <c r="R215" s="30">
        <v>2320.0</v>
      </c>
      <c r="S215" s="30">
        <v>0.0</v>
      </c>
      <c r="T215" s="30">
        <v>356.0</v>
      </c>
      <c r="U215" s="30">
        <v>91.0</v>
      </c>
      <c r="V215" s="30">
        <v>89.0</v>
      </c>
      <c r="W215" s="30">
        <v>9.0</v>
      </c>
      <c r="X215" s="30">
        <v>5.0</v>
      </c>
      <c r="Y215" s="30">
        <v>0.0</v>
      </c>
      <c r="Z215" s="28">
        <v>1119.0</v>
      </c>
    </row>
    <row r="216" ht="14.25" customHeight="1">
      <c r="A216" s="27">
        <v>44102.0</v>
      </c>
      <c r="B216" s="28">
        <v>152.0</v>
      </c>
      <c r="C216" s="28">
        <v>114.0</v>
      </c>
      <c r="D216" s="28">
        <v>34532.0</v>
      </c>
      <c r="E216" s="28">
        <v>7308.0</v>
      </c>
      <c r="F216" s="29">
        <v>727518.0</v>
      </c>
      <c r="G216" s="29">
        <v>7460.0</v>
      </c>
      <c r="H216" s="29">
        <v>762050.0</v>
      </c>
      <c r="I216" s="28">
        <v>134.0</v>
      </c>
      <c r="J216" s="28">
        <v>96.0</v>
      </c>
      <c r="K216" s="28">
        <v>24625.0</v>
      </c>
      <c r="L216" s="28">
        <v>2254.0</v>
      </c>
      <c r="M216" s="28">
        <v>311468.0</v>
      </c>
      <c r="N216" s="28">
        <v>336093.0</v>
      </c>
      <c r="O216" s="28">
        <v>7.0</v>
      </c>
      <c r="P216" s="30">
        <v>2774.0</v>
      </c>
      <c r="Q216" s="30">
        <v>7.0</v>
      </c>
      <c r="R216" s="30">
        <v>2327.0</v>
      </c>
      <c r="S216" s="30">
        <v>2.0</v>
      </c>
      <c r="T216" s="30">
        <v>358.0</v>
      </c>
      <c r="U216" s="30">
        <v>89.0</v>
      </c>
      <c r="V216" s="30">
        <v>90.0</v>
      </c>
      <c r="W216" s="30">
        <v>7.0</v>
      </c>
      <c r="X216" s="30">
        <v>5.0</v>
      </c>
      <c r="Y216" s="30">
        <v>2.0</v>
      </c>
      <c r="Z216" s="28">
        <v>1121.0</v>
      </c>
    </row>
    <row r="217" ht="14.25" customHeight="1">
      <c r="A217" s="27">
        <v>44103.0</v>
      </c>
      <c r="B217" s="28">
        <v>208.0</v>
      </c>
      <c r="C217" s="28">
        <v>134.0</v>
      </c>
      <c r="D217" s="28">
        <v>34740.0</v>
      </c>
      <c r="E217" s="28">
        <v>11046.0</v>
      </c>
      <c r="F217" s="29">
        <v>738564.0</v>
      </c>
      <c r="G217" s="29">
        <v>11254.0</v>
      </c>
      <c r="H217" s="29">
        <v>773304.0</v>
      </c>
      <c r="I217" s="28">
        <v>190.0</v>
      </c>
      <c r="J217" s="28">
        <v>119.0</v>
      </c>
      <c r="K217" s="28">
        <v>24815.0</v>
      </c>
      <c r="L217" s="28">
        <v>2820.0</v>
      </c>
      <c r="M217" s="28">
        <v>314288.0</v>
      </c>
      <c r="N217" s="28">
        <v>339103.0</v>
      </c>
      <c r="O217" s="28">
        <v>12.0</v>
      </c>
      <c r="P217" s="30">
        <v>2786.0</v>
      </c>
      <c r="Q217" s="30">
        <v>18.0</v>
      </c>
      <c r="R217" s="30">
        <v>2345.0</v>
      </c>
      <c r="S217" s="30">
        <v>1.0</v>
      </c>
      <c r="T217" s="30">
        <v>359.0</v>
      </c>
      <c r="U217" s="30">
        <v>82.0</v>
      </c>
      <c r="V217" s="30">
        <v>87.0</v>
      </c>
      <c r="W217" s="30">
        <v>6.0</v>
      </c>
      <c r="X217" s="30">
        <v>6.0</v>
      </c>
      <c r="Y217" s="30">
        <v>1.0</v>
      </c>
      <c r="Z217" s="28">
        <v>1122.0</v>
      </c>
    </row>
    <row r="218" ht="14.25" customHeight="1">
      <c r="A218" s="27">
        <v>44104.0</v>
      </c>
      <c r="B218" s="28">
        <v>221.0</v>
      </c>
      <c r="C218" s="28">
        <v>194.0</v>
      </c>
      <c r="D218" s="28">
        <v>34961.0</v>
      </c>
      <c r="E218" s="28">
        <v>12230.0</v>
      </c>
      <c r="F218" s="29">
        <v>750794.0</v>
      </c>
      <c r="G218" s="29">
        <v>12451.0</v>
      </c>
      <c r="H218" s="29">
        <v>785755.0</v>
      </c>
      <c r="I218" s="28">
        <v>187.0</v>
      </c>
      <c r="J218" s="28">
        <v>170.0</v>
      </c>
      <c r="K218" s="28">
        <v>25002.0</v>
      </c>
      <c r="L218" s="28">
        <v>2580.0</v>
      </c>
      <c r="M218" s="28">
        <v>316868.0</v>
      </c>
      <c r="N218" s="28">
        <v>341870.0</v>
      </c>
      <c r="O218" s="28">
        <v>6.0</v>
      </c>
      <c r="P218" s="30">
        <v>2792.0</v>
      </c>
      <c r="Q218" s="30">
        <v>6.0</v>
      </c>
      <c r="R218" s="30">
        <v>2351.0</v>
      </c>
      <c r="S218" s="30">
        <v>0.0</v>
      </c>
      <c r="T218" s="30">
        <v>359.0</v>
      </c>
      <c r="U218" s="30">
        <v>82.0</v>
      </c>
      <c r="V218" s="30">
        <v>84.0</v>
      </c>
      <c r="W218" s="30">
        <v>6.0</v>
      </c>
      <c r="X218" s="30">
        <v>6.0</v>
      </c>
      <c r="Y218" s="30">
        <v>1.0</v>
      </c>
      <c r="Z218" s="28">
        <v>1123.0</v>
      </c>
    </row>
    <row r="219" ht="14.25" customHeight="1">
      <c r="A219" s="27">
        <v>44105.0</v>
      </c>
      <c r="B219" s="28">
        <v>185.0</v>
      </c>
      <c r="C219" s="28">
        <v>205.0</v>
      </c>
      <c r="D219" s="28">
        <v>35146.0</v>
      </c>
      <c r="E219" s="28">
        <v>12503.0</v>
      </c>
      <c r="F219" s="29">
        <v>763297.0</v>
      </c>
      <c r="G219" s="29">
        <v>12688.0</v>
      </c>
      <c r="H219" s="29">
        <v>798443.0</v>
      </c>
      <c r="I219" s="28">
        <v>166.0</v>
      </c>
      <c r="J219" s="28">
        <v>181.0</v>
      </c>
      <c r="K219" s="28">
        <v>25168.0</v>
      </c>
      <c r="L219" s="28">
        <v>2405.0</v>
      </c>
      <c r="M219" s="28">
        <v>319273.0</v>
      </c>
      <c r="N219" s="28">
        <v>344441.0</v>
      </c>
      <c r="O219" s="28">
        <v>17.0</v>
      </c>
      <c r="P219" s="30">
        <v>2809.0</v>
      </c>
      <c r="Q219" s="30">
        <v>13.0</v>
      </c>
      <c r="R219" s="30">
        <v>2364.0</v>
      </c>
      <c r="S219" s="30">
        <v>1.0</v>
      </c>
      <c r="T219" s="30">
        <v>360.0</v>
      </c>
      <c r="U219" s="30">
        <v>85.0</v>
      </c>
      <c r="V219" s="30">
        <v>83.0</v>
      </c>
      <c r="W219" s="30">
        <v>6.0</v>
      </c>
      <c r="X219" s="30">
        <v>4.0</v>
      </c>
      <c r="Y219" s="30">
        <v>2.0</v>
      </c>
      <c r="Z219" s="28">
        <v>1125.0</v>
      </c>
    </row>
    <row r="220" ht="14.25" customHeight="1">
      <c r="A220" s="27">
        <v>44106.0</v>
      </c>
      <c r="B220" s="28">
        <v>210.0</v>
      </c>
      <c r="C220" s="28">
        <v>205.0</v>
      </c>
      <c r="D220" s="28">
        <v>35356.0</v>
      </c>
      <c r="E220" s="28">
        <v>12153.0</v>
      </c>
      <c r="F220" s="29">
        <v>775450.0</v>
      </c>
      <c r="G220" s="29">
        <v>12363.0</v>
      </c>
      <c r="H220" s="29">
        <v>810806.0</v>
      </c>
      <c r="I220" s="28">
        <v>182.0</v>
      </c>
      <c r="J220" s="28">
        <v>178.0</v>
      </c>
      <c r="K220" s="28">
        <v>25350.0</v>
      </c>
      <c r="L220" s="28">
        <v>2495.0</v>
      </c>
      <c r="M220" s="28">
        <v>321768.0</v>
      </c>
      <c r="N220" s="28">
        <v>347118.0</v>
      </c>
      <c r="O220" s="28">
        <v>14.0</v>
      </c>
      <c r="P220" s="30">
        <v>2823.0</v>
      </c>
      <c r="Q220" s="30">
        <v>13.0</v>
      </c>
      <c r="R220" s="30">
        <v>2377.0</v>
      </c>
      <c r="S220" s="30">
        <v>1.0</v>
      </c>
      <c r="T220" s="30">
        <v>361.0</v>
      </c>
      <c r="U220" s="30">
        <v>85.0</v>
      </c>
      <c r="V220" s="30">
        <v>84.0</v>
      </c>
      <c r="W220" s="30">
        <v>8.0</v>
      </c>
      <c r="X220" s="30">
        <v>5.0</v>
      </c>
      <c r="Y220" s="30">
        <v>2.0</v>
      </c>
      <c r="Z220" s="28">
        <v>1127.0</v>
      </c>
    </row>
    <row r="221" ht="14.25" customHeight="1">
      <c r="A221" s="27">
        <v>44107.0</v>
      </c>
      <c r="B221" s="28">
        <v>157.0</v>
      </c>
      <c r="C221" s="28">
        <v>184.0</v>
      </c>
      <c r="D221" s="28">
        <v>35513.0</v>
      </c>
      <c r="E221" s="28">
        <v>9312.0</v>
      </c>
      <c r="F221" s="29">
        <v>784762.0</v>
      </c>
      <c r="G221" s="29">
        <v>9469.0</v>
      </c>
      <c r="H221" s="29">
        <v>820275.0</v>
      </c>
      <c r="I221" s="28">
        <v>131.0</v>
      </c>
      <c r="J221" s="28">
        <v>160.0</v>
      </c>
      <c r="K221" s="28">
        <v>25481.0</v>
      </c>
      <c r="L221" s="28">
        <v>2020.0</v>
      </c>
      <c r="M221" s="28">
        <v>323788.0</v>
      </c>
      <c r="N221" s="28">
        <v>349269.0</v>
      </c>
      <c r="O221" s="28">
        <v>9.0</v>
      </c>
      <c r="P221" s="30">
        <v>2832.0</v>
      </c>
      <c r="Q221" s="30">
        <v>9.0</v>
      </c>
      <c r="R221" s="30">
        <v>2386.0</v>
      </c>
      <c r="S221" s="30">
        <v>2.0</v>
      </c>
      <c r="T221" s="30">
        <v>363.0</v>
      </c>
      <c r="U221" s="30">
        <v>83.0</v>
      </c>
      <c r="V221" s="30">
        <v>84.0</v>
      </c>
      <c r="W221" s="30">
        <v>9.0</v>
      </c>
      <c r="X221" s="30">
        <v>4.0</v>
      </c>
      <c r="Y221" s="30">
        <v>2.0</v>
      </c>
      <c r="Z221" s="28">
        <v>1129.0</v>
      </c>
    </row>
    <row r="222" ht="14.25" customHeight="1">
      <c r="A222" s="27">
        <v>44108.0</v>
      </c>
      <c r="B222" s="28">
        <v>81.0</v>
      </c>
      <c r="C222" s="28">
        <v>149.0</v>
      </c>
      <c r="D222" s="28">
        <v>35594.0</v>
      </c>
      <c r="E222" s="28">
        <v>2369.0</v>
      </c>
      <c r="F222" s="29">
        <v>787131.0</v>
      </c>
      <c r="G222" s="29">
        <v>2450.0</v>
      </c>
      <c r="H222" s="29">
        <v>822725.0</v>
      </c>
      <c r="I222" s="28">
        <v>78.0</v>
      </c>
      <c r="J222" s="28">
        <v>130.0</v>
      </c>
      <c r="K222" s="28">
        <v>25559.0</v>
      </c>
      <c r="L222" s="28">
        <v>952.0</v>
      </c>
      <c r="M222" s="28">
        <v>324740.0</v>
      </c>
      <c r="N222" s="28">
        <v>350299.0</v>
      </c>
      <c r="O222" s="28">
        <v>11.0</v>
      </c>
      <c r="P222" s="30">
        <v>2843.0</v>
      </c>
      <c r="Q222" s="30">
        <v>9.0</v>
      </c>
      <c r="R222" s="30">
        <v>2395.0</v>
      </c>
      <c r="S222" s="30">
        <v>1.0</v>
      </c>
      <c r="T222" s="30">
        <v>364.0</v>
      </c>
      <c r="U222" s="30">
        <v>84.0</v>
      </c>
      <c r="V222" s="30">
        <v>84.0</v>
      </c>
      <c r="W222" s="30">
        <v>8.0</v>
      </c>
      <c r="X222" s="30">
        <v>5.0</v>
      </c>
      <c r="Y222" s="30">
        <v>2.0</v>
      </c>
      <c r="Z222" s="28">
        <v>1131.0</v>
      </c>
    </row>
    <row r="223" ht="14.25" customHeight="1">
      <c r="A223" s="27">
        <v>44109.0</v>
      </c>
      <c r="B223" s="28">
        <v>174.0</v>
      </c>
      <c r="C223" s="28">
        <v>137.0</v>
      </c>
      <c r="D223" s="28">
        <v>35768.0</v>
      </c>
      <c r="E223" s="28">
        <v>8982.0</v>
      </c>
      <c r="F223" s="29">
        <v>796113.0</v>
      </c>
      <c r="G223" s="29">
        <v>9156.0</v>
      </c>
      <c r="H223" s="29">
        <v>831881.0</v>
      </c>
      <c r="I223" s="28">
        <v>160.0</v>
      </c>
      <c r="J223" s="28">
        <v>123.0</v>
      </c>
      <c r="K223" s="28">
        <v>25719.0</v>
      </c>
      <c r="L223" s="28">
        <v>3027.0</v>
      </c>
      <c r="M223" s="28">
        <v>327767.0</v>
      </c>
      <c r="N223" s="28">
        <v>353486.0</v>
      </c>
      <c r="O223" s="28">
        <v>30.0</v>
      </c>
      <c r="P223" s="30">
        <v>2873.0</v>
      </c>
      <c r="Q223" s="30">
        <v>11.0</v>
      </c>
      <c r="R223" s="30">
        <v>2406.0</v>
      </c>
      <c r="S223" s="30">
        <v>2.0</v>
      </c>
      <c r="T223" s="30">
        <v>366.0</v>
      </c>
      <c r="U223" s="30">
        <v>101.0</v>
      </c>
      <c r="V223" s="30">
        <v>89.0</v>
      </c>
      <c r="W223" s="30">
        <v>9.0</v>
      </c>
      <c r="X223" s="30">
        <v>6.0</v>
      </c>
      <c r="Y223" s="30">
        <v>4.0</v>
      </c>
      <c r="Z223" s="28">
        <v>1135.0</v>
      </c>
    </row>
    <row r="224" ht="14.25" customHeight="1">
      <c r="A224" s="27">
        <v>44110.0</v>
      </c>
      <c r="B224" s="28">
        <v>177.0</v>
      </c>
      <c r="C224" s="28">
        <v>144.0</v>
      </c>
      <c r="D224" s="28">
        <v>35945.0</v>
      </c>
      <c r="E224" s="28">
        <v>11185.0</v>
      </c>
      <c r="F224" s="29">
        <v>807298.0</v>
      </c>
      <c r="G224" s="29">
        <v>11362.0</v>
      </c>
      <c r="H224" s="29">
        <v>843243.0</v>
      </c>
      <c r="I224" s="28">
        <v>186.0</v>
      </c>
      <c r="J224" s="28">
        <v>141.0</v>
      </c>
      <c r="K224" s="28">
        <v>25905.0</v>
      </c>
      <c r="L224" s="28">
        <v>2900.0</v>
      </c>
      <c r="M224" s="28">
        <v>330667.0</v>
      </c>
      <c r="N224" s="28">
        <v>356572.0</v>
      </c>
      <c r="O224" s="28">
        <v>11.0</v>
      </c>
      <c r="P224" s="30">
        <v>2884.0</v>
      </c>
      <c r="Q224" s="30">
        <v>5.0</v>
      </c>
      <c r="R224" s="30">
        <v>2411.0</v>
      </c>
      <c r="S224" s="30">
        <v>0.0</v>
      </c>
      <c r="T224" s="30">
        <v>366.0</v>
      </c>
      <c r="U224" s="30">
        <v>107.0</v>
      </c>
      <c r="V224" s="30">
        <v>97.0</v>
      </c>
      <c r="W224" s="30">
        <v>11.0</v>
      </c>
      <c r="X224" s="30">
        <v>7.0</v>
      </c>
      <c r="Y224" s="30">
        <v>0.0</v>
      </c>
      <c r="Z224" s="28">
        <v>1135.0</v>
      </c>
    </row>
    <row r="225" ht="14.25" customHeight="1">
      <c r="A225" s="27">
        <v>44111.0</v>
      </c>
      <c r="B225" s="28">
        <v>231.0</v>
      </c>
      <c r="C225" s="28">
        <v>194.0</v>
      </c>
      <c r="D225" s="28">
        <v>36176.0</v>
      </c>
      <c r="E225" s="28">
        <v>12440.0</v>
      </c>
      <c r="F225" s="29">
        <v>819738.0</v>
      </c>
      <c r="G225" s="29">
        <v>12671.0</v>
      </c>
      <c r="H225" s="29">
        <v>855914.0</v>
      </c>
      <c r="I225" s="28">
        <v>244.0</v>
      </c>
      <c r="J225" s="28">
        <v>197.0</v>
      </c>
      <c r="K225" s="28">
        <v>26149.0</v>
      </c>
      <c r="L225" s="28">
        <v>3532.0</v>
      </c>
      <c r="M225" s="28">
        <v>334199.0</v>
      </c>
      <c r="N225" s="28">
        <v>360348.0</v>
      </c>
      <c r="O225" s="28">
        <v>13.0</v>
      </c>
      <c r="P225" s="30">
        <v>2897.0</v>
      </c>
      <c r="Q225" s="30">
        <v>14.0</v>
      </c>
      <c r="R225" s="30">
        <v>2425.0</v>
      </c>
      <c r="S225" s="30">
        <v>2.0</v>
      </c>
      <c r="T225" s="30">
        <v>368.0</v>
      </c>
      <c r="U225" s="30">
        <v>104.0</v>
      </c>
      <c r="V225" s="30">
        <v>104.0</v>
      </c>
      <c r="W225" s="30">
        <v>9.0</v>
      </c>
      <c r="X225" s="30">
        <v>7.0</v>
      </c>
      <c r="Y225" s="30">
        <v>2.0</v>
      </c>
      <c r="Z225" s="28">
        <v>1137.0</v>
      </c>
    </row>
    <row r="226" ht="14.25" customHeight="1">
      <c r="A226" s="27">
        <v>44112.0</v>
      </c>
      <c r="B226" s="28">
        <v>262.0</v>
      </c>
      <c r="C226" s="28">
        <v>223.0</v>
      </c>
      <c r="D226" s="28">
        <v>36438.0</v>
      </c>
      <c r="E226" s="28">
        <v>15233.0</v>
      </c>
      <c r="F226" s="29">
        <v>834971.0</v>
      </c>
      <c r="G226" s="29">
        <v>15495.0</v>
      </c>
      <c r="H226" s="29">
        <v>871409.0</v>
      </c>
      <c r="I226" s="28">
        <v>274.0</v>
      </c>
      <c r="J226" s="28">
        <v>235.0</v>
      </c>
      <c r="K226" s="28">
        <v>26423.0</v>
      </c>
      <c r="L226" s="28">
        <v>4207.0</v>
      </c>
      <c r="M226" s="28">
        <v>338406.0</v>
      </c>
      <c r="N226" s="28">
        <v>364829.0</v>
      </c>
      <c r="O226" s="28">
        <v>17.0</v>
      </c>
      <c r="P226" s="30">
        <v>2914.0</v>
      </c>
      <c r="Q226" s="30">
        <v>13.0</v>
      </c>
      <c r="R226" s="30">
        <v>2438.0</v>
      </c>
      <c r="S226" s="30">
        <v>2.0</v>
      </c>
      <c r="T226" s="30">
        <v>370.0</v>
      </c>
      <c r="U226" s="30">
        <v>106.0</v>
      </c>
      <c r="V226" s="30">
        <v>106.0</v>
      </c>
      <c r="W226" s="30">
        <v>7.0</v>
      </c>
      <c r="X226" s="30">
        <v>5.0</v>
      </c>
      <c r="Y226" s="30">
        <v>4.0</v>
      </c>
      <c r="Z226" s="28">
        <v>1141.0</v>
      </c>
    </row>
    <row r="227" ht="14.25" customHeight="1">
      <c r="A227" s="27">
        <v>44113.0</v>
      </c>
      <c r="B227" s="28">
        <v>217.0</v>
      </c>
      <c r="C227" s="28">
        <v>237.0</v>
      </c>
      <c r="D227" s="28">
        <v>36655.0</v>
      </c>
      <c r="E227" s="28">
        <v>13745.0</v>
      </c>
      <c r="F227" s="29">
        <v>848716.0</v>
      </c>
      <c r="G227" s="29">
        <v>13962.0</v>
      </c>
      <c r="H227" s="29">
        <v>885371.0</v>
      </c>
      <c r="I227" s="28">
        <v>199.0</v>
      </c>
      <c r="J227" s="28">
        <v>239.0</v>
      </c>
      <c r="K227" s="28">
        <v>26622.0</v>
      </c>
      <c r="L227" s="28">
        <v>4319.0</v>
      </c>
      <c r="M227" s="28">
        <v>342725.0</v>
      </c>
      <c r="N227" s="28">
        <v>369347.0</v>
      </c>
      <c r="O227" s="28">
        <v>21.0</v>
      </c>
      <c r="P227" s="30">
        <v>2935.0</v>
      </c>
      <c r="Q227" s="30">
        <v>12.0</v>
      </c>
      <c r="R227" s="30">
        <v>2450.0</v>
      </c>
      <c r="S227" s="30">
        <v>0.0</v>
      </c>
      <c r="T227" s="30">
        <v>370.0</v>
      </c>
      <c r="U227" s="30">
        <v>115.0</v>
      </c>
      <c r="V227" s="30">
        <v>108.0</v>
      </c>
      <c r="W227" s="30">
        <v>10.0</v>
      </c>
      <c r="X227" s="30">
        <v>7.0</v>
      </c>
      <c r="Y227" s="30">
        <v>3.0</v>
      </c>
      <c r="Z227" s="28">
        <v>1144.0</v>
      </c>
    </row>
    <row r="228" ht="14.25" customHeight="1">
      <c r="A228" s="27">
        <v>44114.0</v>
      </c>
      <c r="B228" s="28">
        <v>229.0</v>
      </c>
      <c r="C228" s="28">
        <v>236.0</v>
      </c>
      <c r="D228" s="28">
        <v>36884.0</v>
      </c>
      <c r="E228" s="28">
        <v>13832.0</v>
      </c>
      <c r="F228" s="29">
        <v>862548.0</v>
      </c>
      <c r="G228" s="29">
        <v>14061.0</v>
      </c>
      <c r="H228" s="29">
        <v>899432.0</v>
      </c>
      <c r="I228" s="28">
        <v>194.0</v>
      </c>
      <c r="J228" s="28">
        <v>222.0</v>
      </c>
      <c r="K228" s="28">
        <v>26816.0</v>
      </c>
      <c r="L228" s="28">
        <v>3797.0</v>
      </c>
      <c r="M228" s="28">
        <v>346522.0</v>
      </c>
      <c r="N228" s="28">
        <v>373338.0</v>
      </c>
      <c r="O228" s="28">
        <v>19.0</v>
      </c>
      <c r="P228" s="30">
        <v>2954.0</v>
      </c>
      <c r="Q228" s="30">
        <v>10.0</v>
      </c>
      <c r="R228" s="30">
        <v>2460.0</v>
      </c>
      <c r="S228" s="30">
        <v>1.0</v>
      </c>
      <c r="T228" s="30">
        <v>371.0</v>
      </c>
      <c r="U228" s="30">
        <v>123.0</v>
      </c>
      <c r="V228" s="30">
        <v>115.0</v>
      </c>
      <c r="W228" s="30">
        <v>13.0</v>
      </c>
      <c r="X228" s="30">
        <v>7.0</v>
      </c>
      <c r="Y228" s="30">
        <v>2.0</v>
      </c>
      <c r="Z228" s="28">
        <v>1146.0</v>
      </c>
    </row>
    <row r="229" ht="14.25" customHeight="1">
      <c r="A229" s="27">
        <v>44115.0</v>
      </c>
      <c r="B229" s="28">
        <v>97.0</v>
      </c>
      <c r="C229" s="28">
        <v>181.0</v>
      </c>
      <c r="D229" s="28">
        <v>36981.0</v>
      </c>
      <c r="E229" s="28">
        <v>3263.0</v>
      </c>
      <c r="F229" s="29">
        <v>865811.0</v>
      </c>
      <c r="G229" s="29">
        <v>3360.0</v>
      </c>
      <c r="H229" s="29">
        <v>902792.0</v>
      </c>
      <c r="I229" s="28">
        <v>88.0</v>
      </c>
      <c r="J229" s="28">
        <v>160.0</v>
      </c>
      <c r="K229" s="28">
        <v>26904.0</v>
      </c>
      <c r="L229" s="28">
        <v>1164.0</v>
      </c>
      <c r="M229" s="28">
        <v>347686.0</v>
      </c>
      <c r="N229" s="28">
        <v>374590.0</v>
      </c>
      <c r="O229" s="28">
        <v>12.0</v>
      </c>
      <c r="P229" s="30">
        <v>2966.0</v>
      </c>
      <c r="Q229" s="30">
        <v>9.0</v>
      </c>
      <c r="R229" s="30">
        <v>2469.0</v>
      </c>
      <c r="S229" s="30">
        <v>1.0</v>
      </c>
      <c r="T229" s="30">
        <v>372.0</v>
      </c>
      <c r="U229" s="30">
        <v>125.0</v>
      </c>
      <c r="V229" s="30">
        <v>121.0</v>
      </c>
      <c r="W229" s="30">
        <v>14.0</v>
      </c>
      <c r="X229" s="30">
        <v>5.0</v>
      </c>
      <c r="Y229" s="30">
        <v>6.0</v>
      </c>
      <c r="Z229" s="28">
        <v>1152.0</v>
      </c>
    </row>
    <row r="230" ht="14.25" customHeight="1">
      <c r="A230" s="27">
        <v>44116.0</v>
      </c>
      <c r="B230" s="28">
        <v>169.0</v>
      </c>
      <c r="C230" s="28">
        <v>165.0</v>
      </c>
      <c r="D230" s="28">
        <v>37150.0</v>
      </c>
      <c r="E230" s="28">
        <v>6439.0</v>
      </c>
      <c r="F230" s="29">
        <v>872250.0</v>
      </c>
      <c r="G230" s="29">
        <v>6608.0</v>
      </c>
      <c r="H230" s="29">
        <v>909400.0</v>
      </c>
      <c r="I230" s="28">
        <v>159.0</v>
      </c>
      <c r="J230" s="28">
        <v>147.0</v>
      </c>
      <c r="K230" s="28">
        <v>27063.0</v>
      </c>
      <c r="L230" s="28">
        <v>1737.0</v>
      </c>
      <c r="M230" s="28">
        <v>349423.0</v>
      </c>
      <c r="N230" s="28">
        <v>376486.0</v>
      </c>
      <c r="O230" s="28">
        <v>19.0</v>
      </c>
      <c r="P230" s="30">
        <v>2985.0</v>
      </c>
      <c r="Q230" s="30">
        <v>15.0</v>
      </c>
      <c r="R230" s="30">
        <v>2484.0</v>
      </c>
      <c r="S230" s="30">
        <v>2.0</v>
      </c>
      <c r="T230" s="30">
        <v>374.0</v>
      </c>
      <c r="U230" s="30">
        <v>127.0</v>
      </c>
      <c r="V230" s="30">
        <v>125.0</v>
      </c>
      <c r="W230" s="30">
        <v>14.0</v>
      </c>
      <c r="X230" s="30">
        <v>5.0</v>
      </c>
      <c r="Y230" s="30">
        <v>4.0</v>
      </c>
      <c r="Z230" s="28">
        <v>1156.0</v>
      </c>
    </row>
    <row r="231" ht="14.25" customHeight="1">
      <c r="A231" s="27">
        <v>44117.0</v>
      </c>
      <c r="B231" s="28">
        <v>213.0</v>
      </c>
      <c r="C231" s="28">
        <v>160.0</v>
      </c>
      <c r="D231" s="28">
        <v>37363.0</v>
      </c>
      <c r="E231" s="28">
        <v>8521.0</v>
      </c>
      <c r="F231" s="29">
        <v>880771.0</v>
      </c>
      <c r="G231" s="29">
        <v>8734.0</v>
      </c>
      <c r="H231" s="29">
        <v>918134.0</v>
      </c>
      <c r="I231" s="28">
        <v>208.0</v>
      </c>
      <c r="J231" s="28">
        <v>152.0</v>
      </c>
      <c r="K231" s="28">
        <v>27271.0</v>
      </c>
      <c r="L231" s="28">
        <v>2308.0</v>
      </c>
      <c r="M231" s="28">
        <v>351731.0</v>
      </c>
      <c r="N231" s="28">
        <v>379002.0</v>
      </c>
      <c r="O231" s="28">
        <v>15.0</v>
      </c>
      <c r="P231" s="30">
        <v>3000.0</v>
      </c>
      <c r="Q231" s="30">
        <v>15.0</v>
      </c>
      <c r="R231" s="30">
        <v>2499.0</v>
      </c>
      <c r="S231" s="30">
        <v>4.0</v>
      </c>
      <c r="T231" s="30">
        <v>378.0</v>
      </c>
      <c r="U231" s="30">
        <v>123.0</v>
      </c>
      <c r="V231" s="30">
        <v>125.0</v>
      </c>
      <c r="W231" s="30">
        <v>13.0</v>
      </c>
      <c r="X231" s="30">
        <v>5.0</v>
      </c>
      <c r="Y231" s="30">
        <v>7.0</v>
      </c>
      <c r="Z231" s="28">
        <v>1163.0</v>
      </c>
    </row>
    <row r="232" ht="14.25" customHeight="1">
      <c r="A232" s="27">
        <v>44118.0</v>
      </c>
      <c r="B232" s="28">
        <v>322.0</v>
      </c>
      <c r="C232" s="28">
        <v>235.0</v>
      </c>
      <c r="D232" s="28">
        <v>37685.0</v>
      </c>
      <c r="E232" s="28">
        <v>15038.0</v>
      </c>
      <c r="F232" s="29">
        <v>895809.0</v>
      </c>
      <c r="G232" s="29">
        <v>15360.0</v>
      </c>
      <c r="H232" s="29">
        <v>933494.0</v>
      </c>
      <c r="I232" s="28">
        <v>303.0</v>
      </c>
      <c r="J232" s="28">
        <v>223.0</v>
      </c>
      <c r="K232" s="28">
        <v>27574.0</v>
      </c>
      <c r="L232" s="28">
        <v>4041.0</v>
      </c>
      <c r="M232" s="28">
        <v>355772.0</v>
      </c>
      <c r="N232" s="28">
        <v>383346.0</v>
      </c>
      <c r="O232" s="28">
        <v>17.0</v>
      </c>
      <c r="P232" s="30">
        <v>3017.0</v>
      </c>
      <c r="Q232" s="30">
        <v>7.0</v>
      </c>
      <c r="R232" s="30">
        <v>2506.0</v>
      </c>
      <c r="S232" s="30">
        <v>0.0</v>
      </c>
      <c r="T232" s="30">
        <v>378.0</v>
      </c>
      <c r="U232" s="30">
        <v>133.0</v>
      </c>
      <c r="V232" s="30">
        <v>128.0</v>
      </c>
      <c r="W232" s="30">
        <v>15.0</v>
      </c>
      <c r="X232" s="30">
        <v>5.0</v>
      </c>
      <c r="Y232" s="30">
        <v>2.0</v>
      </c>
      <c r="Z232" s="28">
        <v>1165.0</v>
      </c>
    </row>
    <row r="233" ht="14.25" customHeight="1">
      <c r="A233" s="27">
        <v>44119.0</v>
      </c>
      <c r="B233" s="28">
        <v>262.0</v>
      </c>
      <c r="C233" s="28">
        <v>266.0</v>
      </c>
      <c r="D233" s="28">
        <v>37947.0</v>
      </c>
      <c r="E233" s="28">
        <v>14640.0</v>
      </c>
      <c r="F233" s="29">
        <v>910449.0</v>
      </c>
      <c r="G233" s="29">
        <v>14902.0</v>
      </c>
      <c r="H233" s="29">
        <v>948396.0</v>
      </c>
      <c r="I233" s="28">
        <v>254.0</v>
      </c>
      <c r="J233" s="28">
        <v>255.0</v>
      </c>
      <c r="K233" s="28">
        <v>27828.0</v>
      </c>
      <c r="L233" s="28">
        <v>3578.0</v>
      </c>
      <c r="M233" s="28">
        <v>359350.0</v>
      </c>
      <c r="N233" s="28">
        <v>387178.0</v>
      </c>
      <c r="O233" s="28">
        <v>12.0</v>
      </c>
      <c r="P233" s="30">
        <v>3029.0</v>
      </c>
      <c r="Q233" s="30">
        <v>16.0</v>
      </c>
      <c r="R233" s="30">
        <v>2522.0</v>
      </c>
      <c r="S233" s="30">
        <v>1.0</v>
      </c>
      <c r="T233" s="30">
        <v>379.0</v>
      </c>
      <c r="U233" s="30">
        <v>128.0</v>
      </c>
      <c r="V233" s="30">
        <v>128.0</v>
      </c>
      <c r="W233" s="30">
        <v>13.0</v>
      </c>
      <c r="X233" s="30">
        <v>5.0</v>
      </c>
      <c r="Y233" s="30">
        <v>2.0</v>
      </c>
      <c r="Z233" s="28">
        <v>1167.0</v>
      </c>
    </row>
    <row r="234" ht="14.25" customHeight="1">
      <c r="A234" s="27">
        <v>44120.0</v>
      </c>
      <c r="B234" s="28">
        <v>279.0</v>
      </c>
      <c r="C234" s="28">
        <v>288.0</v>
      </c>
      <c r="D234" s="28">
        <v>38226.0</v>
      </c>
      <c r="E234" s="28">
        <v>15011.0</v>
      </c>
      <c r="F234" s="29">
        <v>925460.0</v>
      </c>
      <c r="G234" s="29">
        <v>15290.0</v>
      </c>
      <c r="H234" s="29">
        <v>963686.0</v>
      </c>
      <c r="I234" s="28">
        <v>275.0</v>
      </c>
      <c r="J234" s="28">
        <v>277.0</v>
      </c>
      <c r="K234" s="28">
        <v>28103.0</v>
      </c>
      <c r="L234" s="28">
        <v>3388.0</v>
      </c>
      <c r="M234" s="28">
        <v>362738.0</v>
      </c>
      <c r="N234" s="28">
        <v>390841.0</v>
      </c>
      <c r="O234" s="28">
        <v>13.0</v>
      </c>
      <c r="P234" s="30">
        <v>3042.0</v>
      </c>
      <c r="Q234" s="30">
        <v>20.0</v>
      </c>
      <c r="R234" s="30">
        <v>2542.0</v>
      </c>
      <c r="S234" s="30">
        <v>1.0</v>
      </c>
      <c r="T234" s="30">
        <v>380.0</v>
      </c>
      <c r="U234" s="30">
        <v>120.0</v>
      </c>
      <c r="V234" s="30">
        <v>127.0</v>
      </c>
      <c r="W234" s="30">
        <v>13.0</v>
      </c>
      <c r="X234" s="30">
        <v>4.0</v>
      </c>
      <c r="Y234" s="30">
        <v>2.0</v>
      </c>
      <c r="Z234" s="28">
        <v>1169.0</v>
      </c>
    </row>
    <row r="235" ht="14.25" customHeight="1">
      <c r="A235" s="27">
        <v>44121.0</v>
      </c>
      <c r="B235" s="28">
        <v>354.0</v>
      </c>
      <c r="C235" s="28">
        <v>298.0</v>
      </c>
      <c r="D235" s="28">
        <v>38580.0</v>
      </c>
      <c r="E235" s="28">
        <v>14068.0</v>
      </c>
      <c r="F235" s="29">
        <v>939528.0</v>
      </c>
      <c r="G235" s="29">
        <v>14422.0</v>
      </c>
      <c r="H235" s="29">
        <v>978108.0</v>
      </c>
      <c r="I235" s="28">
        <v>311.0</v>
      </c>
      <c r="J235" s="28">
        <v>280.0</v>
      </c>
      <c r="K235" s="28">
        <v>28414.0</v>
      </c>
      <c r="L235" s="28">
        <v>3267.0</v>
      </c>
      <c r="M235" s="28">
        <v>366005.0</v>
      </c>
      <c r="N235" s="28">
        <v>394419.0</v>
      </c>
      <c r="O235" s="28">
        <v>19.0</v>
      </c>
      <c r="P235" s="30">
        <v>3061.0</v>
      </c>
      <c r="Q235" s="30">
        <v>11.0</v>
      </c>
      <c r="R235" s="30">
        <v>2553.0</v>
      </c>
      <c r="S235" s="30">
        <v>1.0</v>
      </c>
      <c r="T235" s="30">
        <v>381.0</v>
      </c>
      <c r="U235" s="30">
        <v>127.0</v>
      </c>
      <c r="V235" s="30">
        <v>125.0</v>
      </c>
      <c r="W235" s="30">
        <v>17.0</v>
      </c>
      <c r="X235" s="30">
        <v>4.0</v>
      </c>
      <c r="Y235" s="30">
        <v>2.0</v>
      </c>
      <c r="Z235" s="28">
        <v>1171.0</v>
      </c>
    </row>
    <row r="236" ht="14.25" customHeight="1">
      <c r="A236" s="27">
        <v>44122.0</v>
      </c>
      <c r="B236" s="28">
        <v>155.0</v>
      </c>
      <c r="C236" s="28">
        <v>263.0</v>
      </c>
      <c r="D236" s="28">
        <v>38735.0</v>
      </c>
      <c r="E236" s="28">
        <v>4039.0</v>
      </c>
      <c r="F236" s="29">
        <v>943567.0</v>
      </c>
      <c r="G236" s="29">
        <v>4194.0</v>
      </c>
      <c r="H236" s="29">
        <v>982302.0</v>
      </c>
      <c r="I236" s="28">
        <v>129.0</v>
      </c>
      <c r="J236" s="28">
        <v>238.0</v>
      </c>
      <c r="K236" s="28">
        <v>28543.0</v>
      </c>
      <c r="L236" s="28">
        <v>1326.0</v>
      </c>
      <c r="M236" s="28">
        <v>367331.0</v>
      </c>
      <c r="N236" s="28">
        <v>395874.0</v>
      </c>
      <c r="O236" s="28">
        <v>18.0</v>
      </c>
      <c r="P236" s="30">
        <v>3079.0</v>
      </c>
      <c r="Q236" s="30">
        <v>11.0</v>
      </c>
      <c r="R236" s="30">
        <v>2564.0</v>
      </c>
      <c r="S236" s="30">
        <v>0.0</v>
      </c>
      <c r="T236" s="30">
        <v>381.0</v>
      </c>
      <c r="U236" s="30">
        <v>134.0</v>
      </c>
      <c r="V236" s="30">
        <v>127.0</v>
      </c>
      <c r="W236" s="30">
        <v>17.0</v>
      </c>
      <c r="X236" s="30">
        <v>6.0</v>
      </c>
      <c r="Y236" s="30">
        <v>2.0</v>
      </c>
      <c r="Z236" s="28">
        <v>1173.0</v>
      </c>
    </row>
    <row r="237" ht="14.25" customHeight="1">
      <c r="A237" s="27">
        <v>44123.0</v>
      </c>
      <c r="B237" s="28">
        <v>388.0</v>
      </c>
      <c r="C237" s="28">
        <v>299.0</v>
      </c>
      <c r="D237" s="28">
        <v>39123.0</v>
      </c>
      <c r="E237" s="28">
        <v>8489.0</v>
      </c>
      <c r="F237" s="29">
        <v>952056.0</v>
      </c>
      <c r="G237" s="29">
        <v>8877.0</v>
      </c>
      <c r="H237" s="29">
        <v>991179.0</v>
      </c>
      <c r="I237" s="28">
        <v>325.0</v>
      </c>
      <c r="J237" s="28">
        <v>255.0</v>
      </c>
      <c r="K237" s="28">
        <v>28868.0</v>
      </c>
      <c r="L237" s="28">
        <v>2563.0</v>
      </c>
      <c r="M237" s="28">
        <v>369894.0</v>
      </c>
      <c r="N237" s="28">
        <v>398762.0</v>
      </c>
      <c r="O237" s="28">
        <v>21.0</v>
      </c>
      <c r="P237" s="30">
        <v>3100.0</v>
      </c>
      <c r="Q237" s="30">
        <v>23.0</v>
      </c>
      <c r="R237" s="30">
        <v>2587.0</v>
      </c>
      <c r="S237" s="30">
        <v>2.0</v>
      </c>
      <c r="T237" s="30">
        <v>383.0</v>
      </c>
      <c r="U237" s="30">
        <v>130.0</v>
      </c>
      <c r="V237" s="30">
        <v>130.0</v>
      </c>
      <c r="W237" s="30">
        <v>15.0</v>
      </c>
      <c r="X237" s="30">
        <v>6.0</v>
      </c>
      <c r="Y237" s="30">
        <v>1.0</v>
      </c>
      <c r="Z237" s="28">
        <v>1174.0</v>
      </c>
    </row>
    <row r="238" ht="14.25" customHeight="1">
      <c r="A238" s="27">
        <v>44124.0</v>
      </c>
      <c r="B238" s="28">
        <v>439.0</v>
      </c>
      <c r="C238" s="28">
        <v>327.0</v>
      </c>
      <c r="D238" s="28">
        <v>39562.0</v>
      </c>
      <c r="E238" s="28">
        <v>13242.0</v>
      </c>
      <c r="F238" s="29">
        <v>965298.0</v>
      </c>
      <c r="G238" s="29">
        <v>13681.0</v>
      </c>
      <c r="H238" s="29">
        <v>1004860.0</v>
      </c>
      <c r="I238" s="28">
        <v>387.0</v>
      </c>
      <c r="J238" s="28">
        <v>280.0</v>
      </c>
      <c r="K238" s="28">
        <v>29255.0</v>
      </c>
      <c r="L238" s="28">
        <v>3014.0</v>
      </c>
      <c r="M238" s="28">
        <v>372908.0</v>
      </c>
      <c r="N238" s="28">
        <v>402163.0</v>
      </c>
      <c r="O238" s="28">
        <v>22.0</v>
      </c>
      <c r="P238" s="30">
        <v>3122.0</v>
      </c>
      <c r="Q238" s="30">
        <v>17.0</v>
      </c>
      <c r="R238" s="30">
        <v>2604.0</v>
      </c>
      <c r="S238" s="30">
        <v>0.0</v>
      </c>
      <c r="T238" s="30">
        <v>383.0</v>
      </c>
      <c r="U238" s="30">
        <v>135.0</v>
      </c>
      <c r="V238" s="30">
        <v>133.0</v>
      </c>
      <c r="W238" s="30">
        <v>14.0</v>
      </c>
      <c r="X238" s="30">
        <v>8.0</v>
      </c>
      <c r="Y238" s="30">
        <v>3.0</v>
      </c>
      <c r="Z238" s="28">
        <v>1177.0</v>
      </c>
    </row>
    <row r="239" ht="14.25" customHeight="1">
      <c r="A239" s="27">
        <v>44125.0</v>
      </c>
      <c r="B239" s="28">
        <v>544.0</v>
      </c>
      <c r="C239" s="28">
        <v>457.0</v>
      </c>
      <c r="D239" s="28">
        <v>40106.0</v>
      </c>
      <c r="E239" s="28">
        <v>17462.0</v>
      </c>
      <c r="F239" s="29">
        <v>982760.0</v>
      </c>
      <c r="G239" s="29">
        <v>18006.0</v>
      </c>
      <c r="H239" s="29">
        <v>1022866.0</v>
      </c>
      <c r="I239" s="28">
        <v>473.0</v>
      </c>
      <c r="J239" s="28">
        <v>395.0</v>
      </c>
      <c r="K239" s="28">
        <v>29728.0</v>
      </c>
      <c r="L239" s="28">
        <v>3526.0</v>
      </c>
      <c r="M239" s="28">
        <v>376434.0</v>
      </c>
      <c r="N239" s="28">
        <v>406162.0</v>
      </c>
      <c r="O239" s="28">
        <v>21.0</v>
      </c>
      <c r="P239" s="30">
        <v>3143.0</v>
      </c>
      <c r="Q239" s="30">
        <v>9.0</v>
      </c>
      <c r="R239" s="30">
        <v>2613.0</v>
      </c>
      <c r="S239" s="30">
        <v>2.0</v>
      </c>
      <c r="T239" s="30">
        <v>385.0</v>
      </c>
      <c r="U239" s="30">
        <v>145.0</v>
      </c>
      <c r="V239" s="30">
        <v>137.0</v>
      </c>
      <c r="W239" s="30">
        <v>15.0</v>
      </c>
      <c r="X239" s="30">
        <v>9.0</v>
      </c>
      <c r="Y239" s="30">
        <v>3.0</v>
      </c>
      <c r="Z239" s="28">
        <v>1180.0</v>
      </c>
    </row>
    <row r="240" ht="14.25" customHeight="1">
      <c r="A240" s="27">
        <v>44126.0</v>
      </c>
      <c r="B240" s="28">
        <v>538.0</v>
      </c>
      <c r="C240" s="28">
        <v>507.0</v>
      </c>
      <c r="D240" s="28">
        <v>40644.0</v>
      </c>
      <c r="E240" s="28">
        <v>15863.0</v>
      </c>
      <c r="F240" s="29">
        <v>998623.0</v>
      </c>
      <c r="G240" s="29">
        <v>16401.0</v>
      </c>
      <c r="H240" s="29">
        <v>1039267.0</v>
      </c>
      <c r="I240" s="28">
        <v>490.0</v>
      </c>
      <c r="J240" s="28">
        <v>450.0</v>
      </c>
      <c r="K240" s="28">
        <v>30218.0</v>
      </c>
      <c r="L240" s="28">
        <v>3199.0</v>
      </c>
      <c r="M240" s="28">
        <v>379633.0</v>
      </c>
      <c r="N240" s="28">
        <v>409851.0</v>
      </c>
      <c r="O240" s="28">
        <v>24.0</v>
      </c>
      <c r="P240" s="30">
        <v>3167.0</v>
      </c>
      <c r="Q240" s="30">
        <v>21.0</v>
      </c>
      <c r="R240" s="30">
        <v>2634.0</v>
      </c>
      <c r="S240" s="30">
        <v>3.0</v>
      </c>
      <c r="T240" s="30">
        <v>388.0</v>
      </c>
      <c r="U240" s="30">
        <v>145.0</v>
      </c>
      <c r="V240" s="30">
        <v>142.0</v>
      </c>
      <c r="W240" s="30">
        <v>14.0</v>
      </c>
      <c r="X240" s="30">
        <v>9.0</v>
      </c>
      <c r="Y240" s="30">
        <v>3.0</v>
      </c>
      <c r="Z240" s="28">
        <v>1183.0</v>
      </c>
    </row>
    <row r="241" ht="14.25" customHeight="1">
      <c r="A241" s="27">
        <v>44127.0</v>
      </c>
      <c r="B241" s="28">
        <v>514.0</v>
      </c>
      <c r="C241" s="28">
        <v>532.0</v>
      </c>
      <c r="D241" s="28">
        <v>41158.0</v>
      </c>
      <c r="E241" s="28">
        <v>16632.0</v>
      </c>
      <c r="F241" s="29">
        <v>1015255.0</v>
      </c>
      <c r="G241" s="29">
        <v>17146.0</v>
      </c>
      <c r="H241" s="29">
        <v>1056413.0</v>
      </c>
      <c r="I241" s="28">
        <v>460.0</v>
      </c>
      <c r="J241" s="28">
        <v>474.0</v>
      </c>
      <c r="K241" s="28">
        <v>30678.0</v>
      </c>
      <c r="L241" s="28">
        <v>2889.0</v>
      </c>
      <c r="M241" s="28">
        <v>382522.0</v>
      </c>
      <c r="N241" s="28">
        <v>413200.0</v>
      </c>
      <c r="O241" s="28">
        <v>22.0</v>
      </c>
      <c r="P241" s="30">
        <v>3189.0</v>
      </c>
      <c r="Q241" s="30">
        <v>26.0</v>
      </c>
      <c r="R241" s="30">
        <v>2660.0</v>
      </c>
      <c r="S241" s="30">
        <v>1.0</v>
      </c>
      <c r="T241" s="30">
        <v>389.0</v>
      </c>
      <c r="U241" s="30">
        <v>140.0</v>
      </c>
      <c r="V241" s="30">
        <v>143.0</v>
      </c>
      <c r="W241" s="30">
        <v>15.0</v>
      </c>
      <c r="X241" s="30">
        <v>9.0</v>
      </c>
      <c r="Y241" s="30">
        <v>3.0</v>
      </c>
      <c r="Z241" s="28">
        <v>1186.0</v>
      </c>
    </row>
    <row r="242" ht="14.25" customHeight="1">
      <c r="A242" s="27">
        <v>44128.0</v>
      </c>
      <c r="B242" s="28">
        <v>359.0</v>
      </c>
      <c r="C242" s="28">
        <v>470.0</v>
      </c>
      <c r="D242" s="28">
        <v>41517.0</v>
      </c>
      <c r="E242" s="28">
        <v>10248.0</v>
      </c>
      <c r="F242" s="29">
        <v>1025503.0</v>
      </c>
      <c r="G242" s="29">
        <v>10607.0</v>
      </c>
      <c r="H242" s="29">
        <v>1067020.0</v>
      </c>
      <c r="I242" s="28">
        <v>338.0</v>
      </c>
      <c r="J242" s="28">
        <v>429.0</v>
      </c>
      <c r="K242" s="28">
        <v>31016.0</v>
      </c>
      <c r="L242" s="28">
        <v>2266.0</v>
      </c>
      <c r="M242" s="28">
        <v>384788.0</v>
      </c>
      <c r="N242" s="28">
        <v>415804.0</v>
      </c>
      <c r="O242" s="28">
        <v>17.0</v>
      </c>
      <c r="P242" s="30">
        <v>3206.0</v>
      </c>
      <c r="Q242" s="30">
        <v>11.0</v>
      </c>
      <c r="R242" s="30">
        <v>2671.0</v>
      </c>
      <c r="S242" s="30">
        <v>0.0</v>
      </c>
      <c r="T242" s="30">
        <v>389.0</v>
      </c>
      <c r="U242" s="30">
        <v>146.0</v>
      </c>
      <c r="V242" s="30">
        <v>144.0</v>
      </c>
      <c r="W242" s="30">
        <v>14.0</v>
      </c>
      <c r="X242" s="30">
        <v>8.0</v>
      </c>
      <c r="Y242" s="30">
        <v>1.0</v>
      </c>
      <c r="Z242" s="28">
        <v>1187.0</v>
      </c>
    </row>
    <row r="243" ht="14.25" customHeight="1">
      <c r="A243" s="27">
        <v>44129.0</v>
      </c>
      <c r="B243" s="28">
        <v>233.0</v>
      </c>
      <c r="C243" s="28">
        <v>369.0</v>
      </c>
      <c r="D243" s="28">
        <v>41750.0</v>
      </c>
      <c r="E243" s="28">
        <v>4762.0</v>
      </c>
      <c r="F243" s="29">
        <v>1030265.0</v>
      </c>
      <c r="G243" s="29">
        <v>4995.0</v>
      </c>
      <c r="H243" s="29">
        <v>1072015.0</v>
      </c>
      <c r="I243" s="28">
        <v>209.0</v>
      </c>
      <c r="J243" s="28">
        <v>336.0</v>
      </c>
      <c r="K243" s="28">
        <v>31225.0</v>
      </c>
      <c r="L243" s="28">
        <v>1471.0</v>
      </c>
      <c r="M243" s="28">
        <v>386259.0</v>
      </c>
      <c r="N243" s="28">
        <v>417484.0</v>
      </c>
      <c r="O243" s="28">
        <v>16.0</v>
      </c>
      <c r="P243" s="30">
        <v>3222.0</v>
      </c>
      <c r="Q243" s="30">
        <v>15.0</v>
      </c>
      <c r="R243" s="30">
        <v>2686.0</v>
      </c>
      <c r="S243" s="30">
        <v>1.0</v>
      </c>
      <c r="T243" s="30">
        <v>390.0</v>
      </c>
      <c r="U243" s="30">
        <v>146.0</v>
      </c>
      <c r="V243" s="30">
        <v>144.0</v>
      </c>
      <c r="W243" s="30">
        <v>15.0</v>
      </c>
      <c r="X243" s="30">
        <v>8.0</v>
      </c>
      <c r="Y243" s="30">
        <v>2.0</v>
      </c>
      <c r="Z243" s="28">
        <v>1189.0</v>
      </c>
    </row>
    <row r="244" ht="14.25" customHeight="1">
      <c r="A244" s="27">
        <v>44130.0</v>
      </c>
      <c r="B244" s="28">
        <v>454.0</v>
      </c>
      <c r="C244" s="28">
        <v>349.0</v>
      </c>
      <c r="D244" s="28">
        <v>42204.0</v>
      </c>
      <c r="E244" s="28">
        <v>9174.0</v>
      </c>
      <c r="F244" s="29">
        <v>1039439.0</v>
      </c>
      <c r="G244" s="29">
        <v>9628.0</v>
      </c>
      <c r="H244" s="29">
        <v>1081643.0</v>
      </c>
      <c r="I244" s="28">
        <v>402.0</v>
      </c>
      <c r="J244" s="28">
        <v>316.0</v>
      </c>
      <c r="K244" s="28">
        <v>31627.0</v>
      </c>
      <c r="L244" s="28">
        <v>2976.0</v>
      </c>
      <c r="M244" s="28">
        <v>389235.0</v>
      </c>
      <c r="N244" s="28">
        <v>420862.0</v>
      </c>
      <c r="O244" s="28">
        <v>25.0</v>
      </c>
      <c r="P244" s="30">
        <v>3247.0</v>
      </c>
      <c r="Q244" s="30">
        <v>20.0</v>
      </c>
      <c r="R244" s="30">
        <v>2706.0</v>
      </c>
      <c r="S244" s="30">
        <v>2.0</v>
      </c>
      <c r="T244" s="30">
        <v>392.0</v>
      </c>
      <c r="U244" s="30">
        <v>149.0</v>
      </c>
      <c r="V244" s="30">
        <v>147.0</v>
      </c>
      <c r="W244" s="30">
        <v>18.0</v>
      </c>
      <c r="X244" s="30">
        <v>8.0</v>
      </c>
      <c r="Y244" s="30">
        <v>3.0</v>
      </c>
      <c r="Z244" s="28">
        <v>1192.0</v>
      </c>
    </row>
    <row r="245" ht="14.25" customHeight="1">
      <c r="A245" s="27">
        <v>44131.0</v>
      </c>
      <c r="B245" s="28">
        <v>517.0</v>
      </c>
      <c r="C245" s="28">
        <v>401.0</v>
      </c>
      <c r="D245" s="28">
        <v>42721.0</v>
      </c>
      <c r="E245" s="28">
        <v>13993.0</v>
      </c>
      <c r="F245" s="29">
        <v>1053432.0</v>
      </c>
      <c r="G245" s="29">
        <v>14510.0</v>
      </c>
      <c r="H245" s="29">
        <v>1096153.0</v>
      </c>
      <c r="I245" s="28">
        <v>454.0</v>
      </c>
      <c r="J245" s="28">
        <v>355.0</v>
      </c>
      <c r="K245" s="28">
        <v>32081.0</v>
      </c>
      <c r="L245" s="28">
        <v>2394.0</v>
      </c>
      <c r="M245" s="28">
        <v>391629.0</v>
      </c>
      <c r="N245" s="28">
        <v>423710.0</v>
      </c>
      <c r="O245" s="28">
        <v>28.0</v>
      </c>
      <c r="P245" s="30">
        <v>3275.0</v>
      </c>
      <c r="Q245" s="30">
        <v>11.0</v>
      </c>
      <c r="R245" s="30">
        <v>2717.0</v>
      </c>
      <c r="S245" s="30">
        <v>2.0</v>
      </c>
      <c r="T245" s="30">
        <v>394.0</v>
      </c>
      <c r="U245" s="30">
        <v>164.0</v>
      </c>
      <c r="V245" s="30">
        <v>153.0</v>
      </c>
      <c r="W245" s="30">
        <v>17.0</v>
      </c>
      <c r="X245" s="30">
        <v>9.0</v>
      </c>
      <c r="Y245" s="30">
        <v>4.0</v>
      </c>
      <c r="Z245" s="28">
        <v>1196.0</v>
      </c>
    </row>
    <row r="246" ht="14.25" customHeight="1">
      <c r="A246" s="27">
        <v>44132.0</v>
      </c>
      <c r="B246" s="28">
        <v>469.0</v>
      </c>
      <c r="C246" s="28">
        <v>480.0</v>
      </c>
      <c r="D246" s="28">
        <v>43190.0</v>
      </c>
      <c r="E246" s="28">
        <v>15230.0</v>
      </c>
      <c r="F246" s="29">
        <v>1068662.0</v>
      </c>
      <c r="G246" s="29">
        <v>15699.0</v>
      </c>
      <c r="H246" s="29">
        <v>1111852.0</v>
      </c>
      <c r="I246" s="28">
        <v>407.0</v>
      </c>
      <c r="J246" s="28">
        <v>421.0</v>
      </c>
      <c r="K246" s="28">
        <v>32488.0</v>
      </c>
      <c r="L246" s="28">
        <v>2707.0</v>
      </c>
      <c r="M246" s="28">
        <v>394336.0</v>
      </c>
      <c r="N246" s="28">
        <v>426824.0</v>
      </c>
      <c r="O246" s="28">
        <v>22.0</v>
      </c>
      <c r="P246" s="30">
        <v>3297.0</v>
      </c>
      <c r="Q246" s="30">
        <v>23.0</v>
      </c>
      <c r="R246" s="30">
        <v>2740.0</v>
      </c>
      <c r="S246" s="30">
        <v>1.0</v>
      </c>
      <c r="T246" s="30">
        <v>395.0</v>
      </c>
      <c r="U246" s="30">
        <v>162.0</v>
      </c>
      <c r="V246" s="30">
        <v>158.0</v>
      </c>
      <c r="W246" s="30">
        <v>16.0</v>
      </c>
      <c r="X246" s="30">
        <v>9.0</v>
      </c>
      <c r="Y246" s="30">
        <v>3.0</v>
      </c>
      <c r="Z246" s="28">
        <v>1199.0</v>
      </c>
    </row>
    <row r="247" ht="14.25" customHeight="1">
      <c r="A247" s="27">
        <v>44133.0</v>
      </c>
      <c r="B247" s="28">
        <v>609.0</v>
      </c>
      <c r="C247" s="28">
        <v>532.0</v>
      </c>
      <c r="D247" s="28">
        <v>43799.0</v>
      </c>
      <c r="E247" s="28">
        <v>16234.0</v>
      </c>
      <c r="F247" s="29">
        <v>1084896.0</v>
      </c>
      <c r="G247" s="29">
        <v>16843.0</v>
      </c>
      <c r="H247" s="29">
        <v>1128695.0</v>
      </c>
      <c r="I247" s="28">
        <v>529.0</v>
      </c>
      <c r="J247" s="28">
        <v>463.0</v>
      </c>
      <c r="K247" s="28">
        <v>33017.0</v>
      </c>
      <c r="L247" s="28">
        <v>3131.0</v>
      </c>
      <c r="M247" s="28">
        <v>397467.0</v>
      </c>
      <c r="N247" s="28">
        <v>430484.0</v>
      </c>
      <c r="O247" s="28">
        <v>20.0</v>
      </c>
      <c r="P247" s="30">
        <v>3317.0</v>
      </c>
      <c r="Q247" s="30">
        <v>18.0</v>
      </c>
      <c r="R247" s="30">
        <v>2758.0</v>
      </c>
      <c r="S247" s="30">
        <v>3.0</v>
      </c>
      <c r="T247" s="30">
        <v>398.0</v>
      </c>
      <c r="U247" s="30">
        <v>161.0</v>
      </c>
      <c r="V247" s="30">
        <v>162.0</v>
      </c>
      <c r="W247" s="30">
        <v>19.0</v>
      </c>
      <c r="X247" s="30">
        <v>11.0</v>
      </c>
      <c r="Y247" s="30">
        <v>4.0</v>
      </c>
      <c r="Z247" s="28">
        <v>1203.0</v>
      </c>
    </row>
    <row r="248" ht="14.25" customHeight="1">
      <c r="A248" s="27">
        <v>44134.0</v>
      </c>
      <c r="B248" s="28">
        <v>544.0</v>
      </c>
      <c r="C248" s="28">
        <v>541.0</v>
      </c>
      <c r="D248" s="28">
        <v>44343.0</v>
      </c>
      <c r="E248" s="28">
        <v>14319.0</v>
      </c>
      <c r="F248" s="29">
        <v>1099215.0</v>
      </c>
      <c r="G248" s="29">
        <v>14863.0</v>
      </c>
      <c r="H248" s="29">
        <v>1143558.0</v>
      </c>
      <c r="I248" s="28">
        <v>466.0</v>
      </c>
      <c r="J248" s="28">
        <v>467.0</v>
      </c>
      <c r="K248" s="28">
        <v>33483.0</v>
      </c>
      <c r="L248" s="28">
        <v>2955.0</v>
      </c>
      <c r="M248" s="28">
        <v>400422.0</v>
      </c>
      <c r="N248" s="28">
        <v>433905.0</v>
      </c>
      <c r="O248" s="28">
        <v>21.0</v>
      </c>
      <c r="P248" s="30">
        <v>3338.0</v>
      </c>
      <c r="Q248" s="30">
        <v>20.0</v>
      </c>
      <c r="R248" s="30">
        <v>2778.0</v>
      </c>
      <c r="S248" s="30">
        <v>5.0</v>
      </c>
      <c r="T248" s="30">
        <v>403.0</v>
      </c>
      <c r="U248" s="30">
        <v>157.0</v>
      </c>
      <c r="V248" s="30">
        <v>160.0</v>
      </c>
      <c r="W248" s="30">
        <v>19.0</v>
      </c>
      <c r="X248" s="30">
        <v>9.0</v>
      </c>
      <c r="Y248" s="30">
        <v>4.0</v>
      </c>
      <c r="Z248" s="28">
        <v>1207.0</v>
      </c>
    </row>
    <row r="249" ht="14.25" customHeight="1">
      <c r="A249" s="27">
        <v>44135.0</v>
      </c>
      <c r="B249" s="28">
        <v>585.0</v>
      </c>
      <c r="C249" s="28">
        <v>579.0</v>
      </c>
      <c r="D249" s="28">
        <v>44928.0</v>
      </c>
      <c r="E249" s="28">
        <v>11843.0</v>
      </c>
      <c r="F249" s="29">
        <v>1111058.0</v>
      </c>
      <c r="G249" s="29">
        <v>12428.0</v>
      </c>
      <c r="H249" s="29">
        <v>1155986.0</v>
      </c>
      <c r="I249" s="28">
        <v>488.0</v>
      </c>
      <c r="J249" s="28">
        <v>494.0</v>
      </c>
      <c r="K249" s="28">
        <v>33971.0</v>
      </c>
      <c r="L249" s="28">
        <v>2417.0</v>
      </c>
      <c r="M249" s="28">
        <v>402839.0</v>
      </c>
      <c r="N249" s="28">
        <v>436810.0</v>
      </c>
      <c r="O249" s="28">
        <v>31.0</v>
      </c>
      <c r="P249" s="30">
        <v>3369.0</v>
      </c>
      <c r="Q249" s="30">
        <v>12.0</v>
      </c>
      <c r="R249" s="30">
        <v>2790.0</v>
      </c>
      <c r="S249" s="30">
        <v>1.0</v>
      </c>
      <c r="T249" s="30">
        <v>404.0</v>
      </c>
      <c r="U249" s="30">
        <v>175.0</v>
      </c>
      <c r="V249" s="30">
        <v>164.0</v>
      </c>
      <c r="W249" s="30">
        <v>22.0</v>
      </c>
      <c r="X249" s="30">
        <v>9.0</v>
      </c>
      <c r="Y249" s="30">
        <v>3.0</v>
      </c>
      <c r="Z249" s="28">
        <v>1210.0</v>
      </c>
    </row>
    <row r="250" ht="14.25" customHeight="1">
      <c r="A250" s="27">
        <v>44136.0</v>
      </c>
      <c r="B250" s="28">
        <v>329.0</v>
      </c>
      <c r="C250" s="28">
        <v>486.0</v>
      </c>
      <c r="D250" s="28">
        <v>45257.0</v>
      </c>
      <c r="E250" s="28">
        <v>5073.0</v>
      </c>
      <c r="F250" s="29">
        <v>1116131.0</v>
      </c>
      <c r="G250" s="29">
        <v>5402.0</v>
      </c>
      <c r="H250" s="29">
        <v>1161388.0</v>
      </c>
      <c r="I250" s="28">
        <v>272.0</v>
      </c>
      <c r="J250" s="28">
        <v>409.0</v>
      </c>
      <c r="K250" s="28">
        <v>34243.0</v>
      </c>
      <c r="L250" s="28">
        <v>1258.0</v>
      </c>
      <c r="M250" s="28">
        <v>404097.0</v>
      </c>
      <c r="N250" s="28">
        <v>438340.0</v>
      </c>
      <c r="O250" s="28">
        <v>19.0</v>
      </c>
      <c r="P250" s="30">
        <v>3388.0</v>
      </c>
      <c r="Q250" s="30">
        <v>15.0</v>
      </c>
      <c r="R250" s="30">
        <v>2805.0</v>
      </c>
      <c r="S250" s="30">
        <v>1.0</v>
      </c>
      <c r="T250" s="30">
        <v>405.0</v>
      </c>
      <c r="U250" s="30">
        <v>178.0</v>
      </c>
      <c r="V250" s="30">
        <v>170.0</v>
      </c>
      <c r="W250" s="30">
        <v>25.0</v>
      </c>
      <c r="X250" s="30">
        <v>12.0</v>
      </c>
      <c r="Y250" s="30">
        <v>4.0</v>
      </c>
      <c r="Z250" s="28">
        <v>1214.0</v>
      </c>
    </row>
    <row r="251" ht="14.25" customHeight="1">
      <c r="A251" s="27">
        <v>44137.0</v>
      </c>
      <c r="B251" s="28">
        <v>520.0</v>
      </c>
      <c r="C251" s="28">
        <v>478.0</v>
      </c>
      <c r="D251" s="28">
        <v>45777.0</v>
      </c>
      <c r="E251" s="28">
        <v>9918.0</v>
      </c>
      <c r="F251" s="29">
        <v>1126049.0</v>
      </c>
      <c r="G251" s="29">
        <v>10438.0</v>
      </c>
      <c r="H251" s="29">
        <v>1171826.0</v>
      </c>
      <c r="I251" s="28">
        <v>453.0</v>
      </c>
      <c r="J251" s="28">
        <v>404.0</v>
      </c>
      <c r="K251" s="28">
        <v>34696.0</v>
      </c>
      <c r="L251" s="28">
        <v>2941.0</v>
      </c>
      <c r="M251" s="28">
        <v>407038.0</v>
      </c>
      <c r="N251" s="28">
        <v>441734.0</v>
      </c>
      <c r="O251" s="28">
        <v>34.0</v>
      </c>
      <c r="P251" s="30">
        <v>3422.0</v>
      </c>
      <c r="Q251" s="30">
        <v>27.0</v>
      </c>
      <c r="R251" s="30">
        <v>2832.0</v>
      </c>
      <c r="S251" s="30">
        <v>3.0</v>
      </c>
      <c r="T251" s="30">
        <v>408.0</v>
      </c>
      <c r="U251" s="30">
        <v>182.0</v>
      </c>
      <c r="V251" s="30">
        <v>178.0</v>
      </c>
      <c r="W251" s="30">
        <v>22.0</v>
      </c>
      <c r="X251" s="30">
        <v>11.0</v>
      </c>
      <c r="Y251" s="30">
        <v>5.0</v>
      </c>
      <c r="Z251" s="28">
        <v>1219.0</v>
      </c>
    </row>
    <row r="252" ht="14.25" customHeight="1">
      <c r="A252" s="27">
        <v>44138.0</v>
      </c>
      <c r="B252" s="28">
        <v>603.0</v>
      </c>
      <c r="C252" s="28">
        <v>484.0</v>
      </c>
      <c r="D252" s="28">
        <v>46380.0</v>
      </c>
      <c r="E252" s="28">
        <v>13060.0</v>
      </c>
      <c r="F252" s="29">
        <v>1139109.0</v>
      </c>
      <c r="G252" s="29">
        <v>13663.0</v>
      </c>
      <c r="H252" s="29">
        <v>1185489.0</v>
      </c>
      <c r="I252" s="28">
        <v>528.0</v>
      </c>
      <c r="J252" s="28">
        <v>418.0</v>
      </c>
      <c r="K252" s="28">
        <v>35224.0</v>
      </c>
      <c r="L252" s="28">
        <v>2536.0</v>
      </c>
      <c r="M252" s="28">
        <v>409574.0</v>
      </c>
      <c r="N252" s="28">
        <v>444798.0</v>
      </c>
      <c r="O252" s="28">
        <v>31.0</v>
      </c>
      <c r="P252" s="30">
        <v>3453.0</v>
      </c>
      <c r="Q252" s="30">
        <v>24.0</v>
      </c>
      <c r="R252" s="30">
        <v>2856.0</v>
      </c>
      <c r="S252" s="30">
        <v>1.0</v>
      </c>
      <c r="T252" s="30">
        <v>409.0</v>
      </c>
      <c r="U252" s="30">
        <v>188.0</v>
      </c>
      <c r="V252" s="30">
        <v>183.0</v>
      </c>
      <c r="W252" s="30">
        <v>21.0</v>
      </c>
      <c r="X252" s="30">
        <v>11.0</v>
      </c>
      <c r="Y252" s="30">
        <v>1.0</v>
      </c>
      <c r="Z252" s="28">
        <v>1220.0</v>
      </c>
    </row>
    <row r="253" ht="14.25" customHeight="1">
      <c r="A253" s="27">
        <v>44139.0</v>
      </c>
      <c r="B253" s="28">
        <v>679.0</v>
      </c>
      <c r="C253" s="28">
        <v>601.0</v>
      </c>
      <c r="D253" s="28">
        <v>47059.0</v>
      </c>
      <c r="E253" s="28">
        <v>16119.0</v>
      </c>
      <c r="F253" s="29">
        <v>1155228.0</v>
      </c>
      <c r="G253" s="29">
        <v>16798.0</v>
      </c>
      <c r="H253" s="29">
        <v>1202287.0</v>
      </c>
      <c r="I253" s="28">
        <v>630.0</v>
      </c>
      <c r="J253" s="28">
        <v>537.0</v>
      </c>
      <c r="K253" s="28">
        <v>35854.0</v>
      </c>
      <c r="L253" s="28">
        <v>2940.0</v>
      </c>
      <c r="M253" s="28">
        <v>412514.0</v>
      </c>
      <c r="N253" s="28">
        <v>448368.0</v>
      </c>
      <c r="O253" s="28">
        <v>34.0</v>
      </c>
      <c r="P253" s="30">
        <v>3487.0</v>
      </c>
      <c r="Q253" s="30">
        <v>23.0</v>
      </c>
      <c r="R253" s="30">
        <v>2879.0</v>
      </c>
      <c r="S253" s="30">
        <v>2.0</v>
      </c>
      <c r="T253" s="30">
        <v>411.0</v>
      </c>
      <c r="U253" s="30">
        <v>197.0</v>
      </c>
      <c r="V253" s="30">
        <v>189.0</v>
      </c>
      <c r="W253" s="30">
        <v>21.0</v>
      </c>
      <c r="X253" s="30">
        <v>11.0</v>
      </c>
      <c r="Y253" s="30">
        <v>4.0</v>
      </c>
      <c r="Z253" s="28">
        <v>1224.0</v>
      </c>
    </row>
    <row r="254" ht="14.25" customHeight="1">
      <c r="A254" s="27">
        <v>44140.0</v>
      </c>
      <c r="B254" s="28">
        <v>759.0</v>
      </c>
      <c r="C254" s="28">
        <v>680.0</v>
      </c>
      <c r="D254" s="28">
        <v>47818.0</v>
      </c>
      <c r="E254" s="28">
        <v>18883.0</v>
      </c>
      <c r="F254" s="29">
        <v>1174111.0</v>
      </c>
      <c r="G254" s="29">
        <v>19642.0</v>
      </c>
      <c r="H254" s="29">
        <v>1221929.0</v>
      </c>
      <c r="I254" s="28">
        <v>674.0</v>
      </c>
      <c r="J254" s="28">
        <v>611.0</v>
      </c>
      <c r="K254" s="28">
        <v>36528.0</v>
      </c>
      <c r="L254" s="28">
        <v>5180.0</v>
      </c>
      <c r="M254" s="28">
        <v>417694.0</v>
      </c>
      <c r="N254" s="28">
        <v>454222.0</v>
      </c>
      <c r="O254" s="28">
        <v>46.0</v>
      </c>
      <c r="P254" s="30">
        <v>3533.0</v>
      </c>
      <c r="Q254" s="30">
        <v>33.0</v>
      </c>
      <c r="R254" s="30">
        <v>2912.0</v>
      </c>
      <c r="S254" s="30">
        <v>1.0</v>
      </c>
      <c r="T254" s="30">
        <v>412.0</v>
      </c>
      <c r="U254" s="30">
        <v>209.0</v>
      </c>
      <c r="V254" s="30">
        <v>198.0</v>
      </c>
      <c r="W254" s="30">
        <v>20.0</v>
      </c>
      <c r="X254" s="30">
        <v>13.0</v>
      </c>
      <c r="Y254" s="30">
        <v>3.0</v>
      </c>
      <c r="Z254" s="28">
        <v>1227.0</v>
      </c>
    </row>
    <row r="255" ht="14.25" customHeight="1">
      <c r="A255" s="27">
        <v>44141.0</v>
      </c>
      <c r="B255" s="28">
        <v>776.0</v>
      </c>
      <c r="C255" s="28">
        <v>738.0</v>
      </c>
      <c r="D255" s="28">
        <v>48594.0</v>
      </c>
      <c r="E255" s="28">
        <v>17197.0</v>
      </c>
      <c r="F255" s="29">
        <v>1191308.0</v>
      </c>
      <c r="G255" s="29">
        <v>17973.0</v>
      </c>
      <c r="H255" s="29">
        <v>1239902.0</v>
      </c>
      <c r="I255" s="28">
        <v>698.0</v>
      </c>
      <c r="J255" s="28">
        <v>667.0</v>
      </c>
      <c r="K255" s="28">
        <v>37226.0</v>
      </c>
      <c r="L255" s="28">
        <v>4361.0</v>
      </c>
      <c r="M255" s="28">
        <v>422055.0</v>
      </c>
      <c r="N255" s="28">
        <v>459281.0</v>
      </c>
      <c r="O255" s="28">
        <v>37.0</v>
      </c>
      <c r="P255" s="30">
        <v>3570.0</v>
      </c>
      <c r="Q255" s="30">
        <v>29.0</v>
      </c>
      <c r="R255" s="30">
        <v>2941.0</v>
      </c>
      <c r="S255" s="30">
        <v>1.0</v>
      </c>
      <c r="T255" s="30">
        <v>413.0</v>
      </c>
      <c r="U255" s="30">
        <v>216.0</v>
      </c>
      <c r="V255" s="30">
        <v>207.0</v>
      </c>
      <c r="W255" s="30">
        <v>25.0</v>
      </c>
      <c r="X255" s="30">
        <v>16.0</v>
      </c>
      <c r="Y255" s="30">
        <v>5.0</v>
      </c>
      <c r="Z255" s="28">
        <v>1232.0</v>
      </c>
    </row>
    <row r="256" ht="14.25" customHeight="1">
      <c r="A256" s="27">
        <v>44142.0</v>
      </c>
      <c r="B256" s="28">
        <v>606.0</v>
      </c>
      <c r="C256" s="28">
        <v>714.0</v>
      </c>
      <c r="D256" s="28">
        <v>49200.0</v>
      </c>
      <c r="E256" s="28">
        <v>13245.0</v>
      </c>
      <c r="F256" s="29">
        <v>1204553.0</v>
      </c>
      <c r="G256" s="29">
        <v>13851.0</v>
      </c>
      <c r="H256" s="29">
        <v>1253753.0</v>
      </c>
      <c r="I256" s="28">
        <v>570.0</v>
      </c>
      <c r="J256" s="28">
        <v>647.0</v>
      </c>
      <c r="K256" s="28">
        <v>37796.0</v>
      </c>
      <c r="L256" s="28">
        <v>2492.0</v>
      </c>
      <c r="M256" s="28">
        <v>424547.0</v>
      </c>
      <c r="N256" s="28">
        <v>462343.0</v>
      </c>
      <c r="O256" s="28">
        <v>31.0</v>
      </c>
      <c r="P256" s="30">
        <v>3601.0</v>
      </c>
      <c r="Q256" s="30">
        <v>24.0</v>
      </c>
      <c r="R256" s="30">
        <v>2965.0</v>
      </c>
      <c r="S256" s="30">
        <v>1.0</v>
      </c>
      <c r="T256" s="30">
        <v>414.0</v>
      </c>
      <c r="U256" s="30">
        <v>222.0</v>
      </c>
      <c r="V256" s="30">
        <v>216.0</v>
      </c>
      <c r="W256" s="30">
        <v>27.0</v>
      </c>
      <c r="X256" s="30">
        <v>17.0</v>
      </c>
      <c r="Y256" s="30">
        <v>1.0</v>
      </c>
      <c r="Z256" s="28">
        <v>1233.0</v>
      </c>
    </row>
    <row r="257" ht="14.25" customHeight="1">
      <c r="A257" s="27">
        <v>44143.0</v>
      </c>
      <c r="B257" s="28">
        <v>338.0</v>
      </c>
      <c r="C257" s="28">
        <v>573.0</v>
      </c>
      <c r="D257" s="28">
        <v>49538.0</v>
      </c>
      <c r="E257" s="28">
        <v>3964.0</v>
      </c>
      <c r="F257" s="29">
        <v>1208517.0</v>
      </c>
      <c r="G257" s="29">
        <v>4302.0</v>
      </c>
      <c r="H257" s="29">
        <v>1258055.0</v>
      </c>
      <c r="I257" s="28">
        <v>319.0</v>
      </c>
      <c r="J257" s="28">
        <v>529.0</v>
      </c>
      <c r="K257" s="28">
        <v>38115.0</v>
      </c>
      <c r="L257" s="28">
        <v>1293.0</v>
      </c>
      <c r="M257" s="28">
        <v>425840.0</v>
      </c>
      <c r="N257" s="28">
        <v>463955.0</v>
      </c>
      <c r="O257" s="28">
        <v>28.0</v>
      </c>
      <c r="P257" s="30">
        <v>3629.0</v>
      </c>
      <c r="Q257" s="30">
        <v>25.0</v>
      </c>
      <c r="R257" s="30">
        <v>2990.0</v>
      </c>
      <c r="S257" s="30">
        <v>1.0</v>
      </c>
      <c r="T257" s="30">
        <v>415.0</v>
      </c>
      <c r="U257" s="30">
        <v>224.0</v>
      </c>
      <c r="V257" s="30">
        <v>221.0</v>
      </c>
      <c r="W257" s="30">
        <v>26.0</v>
      </c>
      <c r="X257" s="30">
        <v>18.0</v>
      </c>
      <c r="Y257" s="30">
        <v>3.0</v>
      </c>
      <c r="Z257" s="28">
        <v>1236.0</v>
      </c>
    </row>
    <row r="258" ht="14.25" customHeight="1">
      <c r="A258" s="27">
        <v>44144.0</v>
      </c>
      <c r="B258" s="28">
        <v>789.0</v>
      </c>
      <c r="C258" s="28">
        <v>578.0</v>
      </c>
      <c r="D258" s="28">
        <v>50327.0</v>
      </c>
      <c r="E258" s="28">
        <v>8672.0</v>
      </c>
      <c r="F258" s="29">
        <v>1217189.0</v>
      </c>
      <c r="G258" s="29">
        <v>9461.0</v>
      </c>
      <c r="H258" s="29">
        <v>1267516.0</v>
      </c>
      <c r="I258" s="28">
        <v>744.0</v>
      </c>
      <c r="J258" s="28">
        <v>544.0</v>
      </c>
      <c r="K258" s="28">
        <v>38859.0</v>
      </c>
      <c r="L258" s="28">
        <v>2325.0</v>
      </c>
      <c r="M258" s="28">
        <v>428165.0</v>
      </c>
      <c r="N258" s="28">
        <v>467024.0</v>
      </c>
      <c r="O258" s="28">
        <v>35.0</v>
      </c>
      <c r="P258" s="30">
        <v>3664.0</v>
      </c>
      <c r="Q258" s="30">
        <v>32.0</v>
      </c>
      <c r="R258" s="30">
        <v>3022.0</v>
      </c>
      <c r="S258" s="30">
        <v>2.0</v>
      </c>
      <c r="T258" s="30">
        <v>417.0</v>
      </c>
      <c r="U258" s="30">
        <v>225.0</v>
      </c>
      <c r="V258" s="30">
        <v>224.0</v>
      </c>
      <c r="W258" s="30">
        <v>25.0</v>
      </c>
      <c r="X258" s="30">
        <v>17.0</v>
      </c>
      <c r="Y258" s="30">
        <v>3.0</v>
      </c>
      <c r="Z258" s="28">
        <v>1239.0</v>
      </c>
    </row>
    <row r="259" ht="14.25" customHeight="1">
      <c r="A259" s="27">
        <v>44145.0</v>
      </c>
      <c r="B259" s="28">
        <v>1062.0</v>
      </c>
      <c r="C259" s="28">
        <v>730.0</v>
      </c>
      <c r="D259" s="28">
        <v>51389.0</v>
      </c>
      <c r="E259" s="28">
        <v>12867.0</v>
      </c>
      <c r="F259" s="29">
        <v>1230056.0</v>
      </c>
      <c r="G259" s="29">
        <v>13929.0</v>
      </c>
      <c r="H259" s="29">
        <v>1281445.0</v>
      </c>
      <c r="I259" s="28">
        <v>969.0</v>
      </c>
      <c r="J259" s="28">
        <v>677.0</v>
      </c>
      <c r="K259" s="28">
        <v>39828.0</v>
      </c>
      <c r="L259" s="28">
        <v>2910.0</v>
      </c>
      <c r="M259" s="28">
        <v>431075.0</v>
      </c>
      <c r="N259" s="28">
        <v>470903.0</v>
      </c>
      <c r="O259" s="28">
        <v>37.0</v>
      </c>
      <c r="P259" s="30">
        <v>3701.0</v>
      </c>
      <c r="Q259" s="30">
        <v>30.0</v>
      </c>
      <c r="R259" s="30">
        <v>3052.0</v>
      </c>
      <c r="S259" s="30">
        <v>0.0</v>
      </c>
      <c r="T259" s="30">
        <v>417.0</v>
      </c>
      <c r="U259" s="30">
        <v>232.0</v>
      </c>
      <c r="V259" s="30">
        <v>227.0</v>
      </c>
      <c r="W259" s="30">
        <v>28.0</v>
      </c>
      <c r="X259" s="30">
        <v>17.0</v>
      </c>
      <c r="Y259" s="30">
        <v>5.0</v>
      </c>
      <c r="Z259" s="28">
        <v>1244.0</v>
      </c>
    </row>
    <row r="260" ht="14.25" customHeight="1">
      <c r="A260" s="27">
        <v>44146.0</v>
      </c>
      <c r="B260" s="28">
        <v>1021.0</v>
      </c>
      <c r="C260" s="28">
        <v>957.0</v>
      </c>
      <c r="D260" s="28">
        <v>52410.0</v>
      </c>
      <c r="E260" s="28">
        <v>18820.0</v>
      </c>
      <c r="F260" s="29">
        <v>1248876.0</v>
      </c>
      <c r="G260" s="29">
        <v>19841.0</v>
      </c>
      <c r="H260" s="29">
        <v>1301286.0</v>
      </c>
      <c r="I260" s="28">
        <v>936.0</v>
      </c>
      <c r="J260" s="28">
        <v>883.0</v>
      </c>
      <c r="K260" s="28">
        <v>40764.0</v>
      </c>
      <c r="L260" s="28">
        <v>2575.0</v>
      </c>
      <c r="M260" s="28">
        <v>433650.0</v>
      </c>
      <c r="N260" s="28">
        <v>474414.0</v>
      </c>
      <c r="O260" s="31"/>
      <c r="P260" s="32"/>
      <c r="Q260" s="32"/>
      <c r="R260" s="32"/>
      <c r="S260" s="32"/>
      <c r="T260" s="32"/>
      <c r="U260" s="32"/>
      <c r="V260" s="32"/>
      <c r="W260" s="32"/>
      <c r="X260" s="32"/>
      <c r="Y260" s="30">
        <v>6.0</v>
      </c>
      <c r="Z260" s="28">
        <v>1250.0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t="str">
        <f t="shared" ref="A1:O1" si="1">'Municipality Case Trends'!A5</f>
        <v>#REF!</v>
      </c>
      <c r="B1" s="235" t="str">
        <f t="shared" si="1"/>
        <v>#REF!</v>
      </c>
      <c r="C1" s="235" t="str">
        <f t="shared" si="1"/>
        <v>#REF!</v>
      </c>
      <c r="D1" s="235" t="str">
        <f t="shared" si="1"/>
        <v>#REF!</v>
      </c>
      <c r="E1" s="235" t="str">
        <f t="shared" si="1"/>
        <v>#REF!</v>
      </c>
      <c r="F1" s="235" t="str">
        <f t="shared" si="1"/>
        <v>#REF!</v>
      </c>
      <c r="G1" s="235" t="str">
        <f t="shared" si="1"/>
        <v>#REF!</v>
      </c>
      <c r="H1" s="235" t="str">
        <f t="shared" si="1"/>
        <v>#REF!</v>
      </c>
      <c r="I1" s="235" t="str">
        <f t="shared" si="1"/>
        <v>#REF!</v>
      </c>
      <c r="J1" s="235" t="str">
        <f t="shared" si="1"/>
        <v>#REF!</v>
      </c>
      <c r="K1" s="235" t="str">
        <f t="shared" si="1"/>
        <v>#REF!</v>
      </c>
      <c r="L1" s="235" t="str">
        <f t="shared" si="1"/>
        <v>#REF!</v>
      </c>
      <c r="M1" s="235" t="str">
        <f t="shared" si="1"/>
        <v>#REF!</v>
      </c>
      <c r="N1" s="235" t="str">
        <f t="shared" si="1"/>
        <v>#REF!</v>
      </c>
      <c r="O1" s="235" t="str">
        <f t="shared" si="1"/>
        <v>#REF!</v>
      </c>
      <c r="P1" s="235" t="str">
        <f t="shared" ref="P1:Z1" si="2">#REF!</f>
        <v>#REF!</v>
      </c>
      <c r="Q1" s="235" t="str">
        <f t="shared" si="2"/>
        <v>#REF!</v>
      </c>
      <c r="R1" s="235" t="str">
        <f t="shared" si="2"/>
        <v>#REF!</v>
      </c>
      <c r="S1" s="235" t="str">
        <f t="shared" si="2"/>
        <v>#REF!</v>
      </c>
      <c r="T1" s="235" t="str">
        <f t="shared" si="2"/>
        <v>#REF!</v>
      </c>
      <c r="U1" s="235" t="str">
        <f t="shared" si="2"/>
        <v>#REF!</v>
      </c>
      <c r="V1" s="235" t="str">
        <f t="shared" si="2"/>
        <v>#REF!</v>
      </c>
      <c r="W1" s="235" t="str">
        <f t="shared" si="2"/>
        <v>#REF!</v>
      </c>
      <c r="X1" s="235" t="str">
        <f t="shared" si="2"/>
        <v>#REF!</v>
      </c>
      <c r="Y1" s="235" t="str">
        <f t="shared" si="2"/>
        <v>#REF!</v>
      </c>
      <c r="Z1" s="235" t="str">
        <f t="shared" si="2"/>
        <v>#REF!</v>
      </c>
    </row>
    <row r="2">
      <c r="A2" s="235" t="str">
        <f t="shared" ref="A2:O2" si="3">'Municipality Case Trends'!A6</f>
        <v>#REF!</v>
      </c>
      <c r="B2" s="235" t="str">
        <f t="shared" si="3"/>
        <v>#REF!</v>
      </c>
      <c r="C2" s="235" t="str">
        <f t="shared" si="3"/>
        <v>#REF!</v>
      </c>
      <c r="D2" s="235" t="str">
        <f t="shared" si="3"/>
        <v>#REF!</v>
      </c>
      <c r="E2" s="235" t="str">
        <f t="shared" si="3"/>
        <v>#REF!</v>
      </c>
      <c r="F2" s="235" t="str">
        <f t="shared" si="3"/>
        <v>#REF!</v>
      </c>
      <c r="G2" s="235" t="str">
        <f t="shared" si="3"/>
        <v>#REF!</v>
      </c>
      <c r="H2" s="235" t="str">
        <f t="shared" si="3"/>
        <v>#REF!</v>
      </c>
      <c r="I2" s="235" t="str">
        <f t="shared" si="3"/>
        <v>#REF!</v>
      </c>
      <c r="J2" s="235" t="str">
        <f t="shared" si="3"/>
        <v>#REF!</v>
      </c>
      <c r="K2" s="235" t="str">
        <f t="shared" si="3"/>
        <v>#REF!</v>
      </c>
      <c r="L2" s="235" t="str">
        <f t="shared" si="3"/>
        <v>#REF!</v>
      </c>
      <c r="M2" s="235" t="str">
        <f t="shared" si="3"/>
        <v>#REF!</v>
      </c>
      <c r="N2" s="235" t="str">
        <f t="shared" si="3"/>
        <v>#REF!</v>
      </c>
      <c r="O2" s="235" t="str">
        <f t="shared" si="3"/>
        <v>#REF!</v>
      </c>
      <c r="P2" s="235" t="str">
        <f t="shared" ref="P2:X2" si="4">#REF!</f>
        <v>#REF!</v>
      </c>
      <c r="Q2" s="235" t="str">
        <f t="shared" si="4"/>
        <v>#REF!</v>
      </c>
      <c r="R2" s="235" t="str">
        <f t="shared" si="4"/>
        <v>#REF!</v>
      </c>
      <c r="S2" s="235" t="str">
        <f t="shared" si="4"/>
        <v>#REF!</v>
      </c>
      <c r="T2" s="235" t="str">
        <f t="shared" si="4"/>
        <v>#REF!</v>
      </c>
      <c r="U2" s="235" t="str">
        <f t="shared" si="4"/>
        <v>#REF!</v>
      </c>
      <c r="V2" s="235" t="str">
        <f t="shared" si="4"/>
        <v>#REF!</v>
      </c>
      <c r="W2" s="235" t="str">
        <f t="shared" si="4"/>
        <v>#REF!</v>
      </c>
      <c r="X2" s="235" t="str">
        <f t="shared" si="4"/>
        <v>#REF!</v>
      </c>
    </row>
    <row r="3">
      <c r="A3" s="235" t="str">
        <f t="shared" ref="A3:O3" si="5">'Municipality Case Trends'!A7</f>
        <v>#REF!</v>
      </c>
      <c r="B3" s="235" t="str">
        <f t="shared" si="5"/>
        <v>#REF!</v>
      </c>
      <c r="C3" s="235" t="str">
        <f t="shared" si="5"/>
        <v>#REF!</v>
      </c>
      <c r="D3" s="235" t="str">
        <f t="shared" si="5"/>
        <v>#REF!</v>
      </c>
      <c r="E3" s="235" t="str">
        <f t="shared" si="5"/>
        <v>#REF!</v>
      </c>
      <c r="F3" s="235" t="str">
        <f t="shared" si="5"/>
        <v>#REF!</v>
      </c>
      <c r="G3" s="235" t="str">
        <f t="shared" si="5"/>
        <v>#REF!</v>
      </c>
      <c r="H3" s="235" t="str">
        <f t="shared" si="5"/>
        <v>#REF!</v>
      </c>
      <c r="I3" s="235" t="str">
        <f t="shared" si="5"/>
        <v>#REF!</v>
      </c>
      <c r="J3" s="235" t="str">
        <f t="shared" si="5"/>
        <v>#REF!</v>
      </c>
      <c r="K3" s="235" t="str">
        <f t="shared" si="5"/>
        <v>#REF!</v>
      </c>
      <c r="L3" s="235" t="str">
        <f t="shared" si="5"/>
        <v>#REF!</v>
      </c>
      <c r="M3" s="235" t="str">
        <f t="shared" si="5"/>
        <v>#REF!</v>
      </c>
      <c r="N3" s="235" t="str">
        <f t="shared" si="5"/>
        <v>#REF!</v>
      </c>
      <c r="O3" s="235" t="str">
        <f t="shared" si="5"/>
        <v>#REF!</v>
      </c>
      <c r="P3" s="235" t="str">
        <f t="shared" ref="P3:X3" si="6">#REF!</f>
        <v>#REF!</v>
      </c>
      <c r="Q3" s="235" t="str">
        <f t="shared" si="6"/>
        <v>#REF!</v>
      </c>
      <c r="R3" s="235" t="str">
        <f t="shared" si="6"/>
        <v>#REF!</v>
      </c>
      <c r="S3" s="235" t="str">
        <f t="shared" si="6"/>
        <v>#REF!</v>
      </c>
      <c r="T3" s="235" t="str">
        <f t="shared" si="6"/>
        <v>#REF!</v>
      </c>
      <c r="U3" s="235" t="str">
        <f t="shared" si="6"/>
        <v>#REF!</v>
      </c>
      <c r="V3" s="235" t="str">
        <f t="shared" si="6"/>
        <v>#REF!</v>
      </c>
      <c r="W3" s="235" t="str">
        <f t="shared" si="6"/>
        <v>#REF!</v>
      </c>
      <c r="X3" s="235" t="str">
        <f t="shared" si="6"/>
        <v>#REF!</v>
      </c>
    </row>
    <row r="4">
      <c r="A4" s="235" t="str">
        <f t="shared" ref="A4:O4" si="7">'Municipality Case Trends'!A8</f>
        <v>#REF!</v>
      </c>
      <c r="B4" s="235" t="str">
        <f t="shared" si="7"/>
        <v>#REF!</v>
      </c>
      <c r="C4" s="235" t="str">
        <f t="shared" si="7"/>
        <v>#REF!</v>
      </c>
      <c r="D4" s="235" t="str">
        <f t="shared" si="7"/>
        <v>#REF!</v>
      </c>
      <c r="E4" s="235" t="str">
        <f t="shared" si="7"/>
        <v>#REF!</v>
      </c>
      <c r="F4" s="235" t="str">
        <f t="shared" si="7"/>
        <v>#REF!</v>
      </c>
      <c r="G4" s="235" t="str">
        <f t="shared" si="7"/>
        <v>#REF!</v>
      </c>
      <c r="H4" s="235" t="str">
        <f t="shared" si="7"/>
        <v>#REF!</v>
      </c>
      <c r="I4" s="235" t="str">
        <f t="shared" si="7"/>
        <v>#REF!</v>
      </c>
      <c r="J4" s="235" t="str">
        <f t="shared" si="7"/>
        <v>#REF!</v>
      </c>
      <c r="K4" s="235" t="str">
        <f t="shared" si="7"/>
        <v>#REF!</v>
      </c>
      <c r="L4" s="235" t="str">
        <f t="shared" si="7"/>
        <v>#REF!</v>
      </c>
      <c r="M4" s="235" t="str">
        <f t="shared" si="7"/>
        <v>#REF!</v>
      </c>
      <c r="N4" s="235" t="str">
        <f t="shared" si="7"/>
        <v>#REF!</v>
      </c>
      <c r="O4" s="235" t="str">
        <f t="shared" si="7"/>
        <v>#REF!</v>
      </c>
      <c r="P4" s="235" t="str">
        <f t="shared" ref="P4:X4" si="8">#REF!</f>
        <v>#REF!</v>
      </c>
      <c r="Q4" s="235" t="str">
        <f t="shared" si="8"/>
        <v>#REF!</v>
      </c>
      <c r="R4" s="235" t="str">
        <f t="shared" si="8"/>
        <v>#REF!</v>
      </c>
      <c r="S4" s="235" t="str">
        <f t="shared" si="8"/>
        <v>#REF!</v>
      </c>
      <c r="T4" s="235" t="str">
        <f t="shared" si="8"/>
        <v>#REF!</v>
      </c>
      <c r="U4" s="235" t="str">
        <f t="shared" si="8"/>
        <v>#REF!</v>
      </c>
      <c r="V4" s="235" t="str">
        <f t="shared" si="8"/>
        <v>#REF!</v>
      </c>
      <c r="W4" s="235" t="str">
        <f t="shared" si="8"/>
        <v>#REF!</v>
      </c>
      <c r="X4" s="235" t="str">
        <f t="shared" si="8"/>
        <v>#REF!</v>
      </c>
    </row>
    <row r="5">
      <c r="A5" s="235" t="str">
        <f t="shared" ref="A5:O5" si="9">'Municipality Case Trends'!A9</f>
        <v>#REF!</v>
      </c>
      <c r="B5" s="235" t="str">
        <f t="shared" si="9"/>
        <v>#REF!</v>
      </c>
      <c r="C5" s="235" t="str">
        <f t="shared" si="9"/>
        <v>#REF!</v>
      </c>
      <c r="D5" s="235" t="str">
        <f t="shared" si="9"/>
        <v>#REF!</v>
      </c>
      <c r="E5" s="235" t="str">
        <f t="shared" si="9"/>
        <v>#REF!</v>
      </c>
      <c r="F5" s="235" t="str">
        <f t="shared" si="9"/>
        <v>#REF!</v>
      </c>
      <c r="G5" s="235" t="str">
        <f t="shared" si="9"/>
        <v>#REF!</v>
      </c>
      <c r="H5" s="235" t="str">
        <f t="shared" si="9"/>
        <v>#REF!</v>
      </c>
      <c r="I5" s="235" t="str">
        <f t="shared" si="9"/>
        <v>#REF!</v>
      </c>
      <c r="J5" s="235" t="str">
        <f t="shared" si="9"/>
        <v>#REF!</v>
      </c>
      <c r="K5" s="235" t="str">
        <f t="shared" si="9"/>
        <v>#REF!</v>
      </c>
      <c r="L5" s="235" t="str">
        <f t="shared" si="9"/>
        <v>#REF!</v>
      </c>
      <c r="M5" s="235" t="str">
        <f t="shared" si="9"/>
        <v>#REF!</v>
      </c>
      <c r="N5" s="235" t="str">
        <f t="shared" si="9"/>
        <v>#REF!</v>
      </c>
      <c r="O5" s="235" t="str">
        <f t="shared" si="9"/>
        <v>#REF!</v>
      </c>
      <c r="P5" s="235" t="str">
        <f t="shared" ref="P5:X5" si="10">#REF!</f>
        <v>#REF!</v>
      </c>
      <c r="Q5" s="235" t="str">
        <f t="shared" si="10"/>
        <v>#REF!</v>
      </c>
      <c r="R5" s="235" t="str">
        <f t="shared" si="10"/>
        <v>#REF!</v>
      </c>
      <c r="S5" s="235" t="str">
        <f t="shared" si="10"/>
        <v>#REF!</v>
      </c>
      <c r="T5" s="235" t="str">
        <f t="shared" si="10"/>
        <v>#REF!</v>
      </c>
      <c r="U5" s="235" t="str">
        <f t="shared" si="10"/>
        <v>#REF!</v>
      </c>
      <c r="V5" s="235" t="str">
        <f t="shared" si="10"/>
        <v>#REF!</v>
      </c>
      <c r="W5" s="235" t="str">
        <f t="shared" si="10"/>
        <v>#REF!</v>
      </c>
      <c r="X5" s="235" t="str">
        <f t="shared" si="10"/>
        <v>#REF!</v>
      </c>
    </row>
    <row r="6">
      <c r="A6" s="235" t="str">
        <f t="shared" ref="A6:O6" si="11">'Municipality Case Trends'!A10</f>
        <v>#REF!</v>
      </c>
      <c r="B6" s="235" t="str">
        <f t="shared" si="11"/>
        <v>#REF!</v>
      </c>
      <c r="C6" s="235" t="str">
        <f t="shared" si="11"/>
        <v>#REF!</v>
      </c>
      <c r="D6" s="235" t="str">
        <f t="shared" si="11"/>
        <v>#REF!</v>
      </c>
      <c r="E6" s="235" t="str">
        <f t="shared" si="11"/>
        <v>#REF!</v>
      </c>
      <c r="F6" s="235" t="str">
        <f t="shared" si="11"/>
        <v>#REF!</v>
      </c>
      <c r="G6" s="235" t="str">
        <f t="shared" si="11"/>
        <v>#REF!</v>
      </c>
      <c r="H6" s="235" t="str">
        <f t="shared" si="11"/>
        <v>#REF!</v>
      </c>
      <c r="I6" s="235" t="str">
        <f t="shared" si="11"/>
        <v>#REF!</v>
      </c>
      <c r="J6" s="235" t="str">
        <f t="shared" si="11"/>
        <v>#REF!</v>
      </c>
      <c r="K6" s="235" t="str">
        <f t="shared" si="11"/>
        <v>#REF!</v>
      </c>
      <c r="L6" s="235" t="str">
        <f t="shared" si="11"/>
        <v>#REF!</v>
      </c>
      <c r="M6" s="235" t="str">
        <f t="shared" si="11"/>
        <v>#REF!</v>
      </c>
      <c r="N6" s="235" t="str">
        <f t="shared" si="11"/>
        <v>#REF!</v>
      </c>
      <c r="O6" s="235" t="str">
        <f t="shared" si="11"/>
        <v>#REF!</v>
      </c>
      <c r="P6" s="235" t="str">
        <f t="shared" ref="P6:X6" si="12">#REF!</f>
        <v>#REF!</v>
      </c>
      <c r="Q6" s="235" t="str">
        <f t="shared" si="12"/>
        <v>#REF!</v>
      </c>
      <c r="R6" s="235" t="str">
        <f t="shared" si="12"/>
        <v>#REF!</v>
      </c>
      <c r="S6" s="235" t="str">
        <f t="shared" si="12"/>
        <v>#REF!</v>
      </c>
      <c r="T6" s="235" t="str">
        <f t="shared" si="12"/>
        <v>#REF!</v>
      </c>
      <c r="U6" s="235" t="str">
        <f t="shared" si="12"/>
        <v>#REF!</v>
      </c>
      <c r="V6" s="235" t="str">
        <f t="shared" si="12"/>
        <v>#REF!</v>
      </c>
      <c r="W6" s="235" t="str">
        <f t="shared" si="12"/>
        <v>#REF!</v>
      </c>
      <c r="X6" s="235" t="str">
        <f t="shared" si="12"/>
        <v>#REF!</v>
      </c>
    </row>
    <row r="7">
      <c r="A7" s="235" t="str">
        <f t="shared" ref="A7:O7" si="13">'Municipality Case Trends'!A11</f>
        <v>#REF!</v>
      </c>
      <c r="B7" s="235" t="str">
        <f t="shared" si="13"/>
        <v>#REF!</v>
      </c>
      <c r="C7" s="235" t="str">
        <f t="shared" si="13"/>
        <v>#REF!</v>
      </c>
      <c r="D7" s="235" t="str">
        <f t="shared" si="13"/>
        <v>#REF!</v>
      </c>
      <c r="E7" s="235" t="str">
        <f t="shared" si="13"/>
        <v>#REF!</v>
      </c>
      <c r="F7" s="235" t="str">
        <f t="shared" si="13"/>
        <v>#REF!</v>
      </c>
      <c r="G7" s="235" t="str">
        <f t="shared" si="13"/>
        <v>#REF!</v>
      </c>
      <c r="H7" s="235" t="str">
        <f t="shared" si="13"/>
        <v>#REF!</v>
      </c>
      <c r="I7" s="235" t="str">
        <f t="shared" si="13"/>
        <v>#REF!</v>
      </c>
      <c r="J7" s="235" t="str">
        <f t="shared" si="13"/>
        <v>#REF!</v>
      </c>
      <c r="K7" s="235" t="str">
        <f t="shared" si="13"/>
        <v>#REF!</v>
      </c>
      <c r="L7" s="235" t="str">
        <f t="shared" si="13"/>
        <v>#REF!</v>
      </c>
      <c r="M7" s="235" t="str">
        <f t="shared" si="13"/>
        <v>#REF!</v>
      </c>
      <c r="N7" s="235" t="str">
        <f t="shared" si="13"/>
        <v>#REF!</v>
      </c>
      <c r="O7" s="235" t="str">
        <f t="shared" si="13"/>
        <v>#REF!</v>
      </c>
      <c r="P7" s="235" t="str">
        <f t="shared" ref="P7:X7" si="14">#REF!</f>
        <v>#REF!</v>
      </c>
      <c r="Q7" s="235" t="str">
        <f t="shared" si="14"/>
        <v>#REF!</v>
      </c>
      <c r="R7" s="235" t="str">
        <f t="shared" si="14"/>
        <v>#REF!</v>
      </c>
      <c r="S7" s="235" t="str">
        <f t="shared" si="14"/>
        <v>#REF!</v>
      </c>
      <c r="T7" s="235" t="str">
        <f t="shared" si="14"/>
        <v>#REF!</v>
      </c>
      <c r="U7" s="235" t="str">
        <f t="shared" si="14"/>
        <v>#REF!</v>
      </c>
      <c r="V7" s="235" t="str">
        <f t="shared" si="14"/>
        <v>#REF!</v>
      </c>
      <c r="W7" s="235" t="str">
        <f t="shared" si="14"/>
        <v>#REF!</v>
      </c>
      <c r="X7" s="235" t="str">
        <f t="shared" si="14"/>
        <v>#REF!</v>
      </c>
    </row>
    <row r="8">
      <c r="A8" s="235" t="str">
        <f t="shared" ref="A8:O8" si="15">'Municipality Case Trends'!A12</f>
        <v>#REF!</v>
      </c>
      <c r="B8" s="235" t="str">
        <f t="shared" si="15"/>
        <v>#REF!</v>
      </c>
      <c r="C8" s="235" t="str">
        <f t="shared" si="15"/>
        <v>#REF!</v>
      </c>
      <c r="D8" s="235" t="str">
        <f t="shared" si="15"/>
        <v>#REF!</v>
      </c>
      <c r="E8" s="235" t="str">
        <f t="shared" si="15"/>
        <v>#REF!</v>
      </c>
      <c r="F8" s="235" t="str">
        <f t="shared" si="15"/>
        <v>#REF!</v>
      </c>
      <c r="G8" s="235" t="str">
        <f t="shared" si="15"/>
        <v>#REF!</v>
      </c>
      <c r="H8" s="235" t="str">
        <f t="shared" si="15"/>
        <v>#REF!</v>
      </c>
      <c r="I8" s="235" t="str">
        <f t="shared" si="15"/>
        <v>#REF!</v>
      </c>
      <c r="J8" s="235" t="str">
        <f t="shared" si="15"/>
        <v>#REF!</v>
      </c>
      <c r="K8" s="235" t="str">
        <f t="shared" si="15"/>
        <v>#REF!</v>
      </c>
      <c r="L8" s="235" t="str">
        <f t="shared" si="15"/>
        <v>#REF!</v>
      </c>
      <c r="M8" s="235" t="str">
        <f t="shared" si="15"/>
        <v>#REF!</v>
      </c>
      <c r="N8" s="235" t="str">
        <f t="shared" si="15"/>
        <v>#REF!</v>
      </c>
      <c r="O8" s="235" t="str">
        <f t="shared" si="15"/>
        <v>#REF!</v>
      </c>
      <c r="P8" s="235" t="str">
        <f t="shared" ref="P8:X8" si="16">#REF!</f>
        <v>#REF!</v>
      </c>
      <c r="Q8" s="235" t="str">
        <f t="shared" si="16"/>
        <v>#REF!</v>
      </c>
      <c r="R8" s="235" t="str">
        <f t="shared" si="16"/>
        <v>#REF!</v>
      </c>
      <c r="S8" s="235" t="str">
        <f t="shared" si="16"/>
        <v>#REF!</v>
      </c>
      <c r="T8" s="235" t="str">
        <f t="shared" si="16"/>
        <v>#REF!</v>
      </c>
      <c r="U8" s="235" t="str">
        <f t="shared" si="16"/>
        <v>#REF!</v>
      </c>
      <c r="V8" s="235" t="str">
        <f t="shared" si="16"/>
        <v>#REF!</v>
      </c>
      <c r="W8" s="235" t="str">
        <f t="shared" si="16"/>
        <v>#REF!</v>
      </c>
      <c r="X8" s="235" t="str">
        <f t="shared" si="16"/>
        <v>#REF!</v>
      </c>
    </row>
    <row r="9">
      <c r="A9" s="235" t="str">
        <f t="shared" ref="A9:O9" si="17">'Municipality Case Trends'!A13</f>
        <v>#REF!</v>
      </c>
      <c r="B9" s="235" t="str">
        <f t="shared" si="17"/>
        <v>#REF!</v>
      </c>
      <c r="C9" s="235" t="str">
        <f t="shared" si="17"/>
        <v>#REF!</v>
      </c>
      <c r="D9" s="235" t="str">
        <f t="shared" si="17"/>
        <v>#REF!</v>
      </c>
      <c r="E9" s="235" t="str">
        <f t="shared" si="17"/>
        <v>#REF!</v>
      </c>
      <c r="F9" s="235" t="str">
        <f t="shared" si="17"/>
        <v>#REF!</v>
      </c>
      <c r="G9" s="235" t="str">
        <f t="shared" si="17"/>
        <v>#REF!</v>
      </c>
      <c r="H9" s="235" t="str">
        <f t="shared" si="17"/>
        <v>#REF!</v>
      </c>
      <c r="I9" s="235" t="str">
        <f t="shared" si="17"/>
        <v>#REF!</v>
      </c>
      <c r="J9" s="235" t="str">
        <f t="shared" si="17"/>
        <v>#REF!</v>
      </c>
      <c r="K9" s="235" t="str">
        <f t="shared" si="17"/>
        <v>#REF!</v>
      </c>
      <c r="L9" s="235" t="str">
        <f t="shared" si="17"/>
        <v>#REF!</v>
      </c>
      <c r="M9" s="235" t="str">
        <f t="shared" si="17"/>
        <v>#REF!</v>
      </c>
      <c r="N9" s="235" t="str">
        <f t="shared" si="17"/>
        <v>#REF!</v>
      </c>
      <c r="O9" s="235" t="str">
        <f t="shared" si="17"/>
        <v>#REF!</v>
      </c>
      <c r="P9" s="235" t="str">
        <f t="shared" ref="P9:X9" si="18">#REF!</f>
        <v>#REF!</v>
      </c>
      <c r="Q9" s="235" t="str">
        <f t="shared" si="18"/>
        <v>#REF!</v>
      </c>
      <c r="R9" s="235" t="str">
        <f t="shared" si="18"/>
        <v>#REF!</v>
      </c>
      <c r="S9" s="235" t="str">
        <f t="shared" si="18"/>
        <v>#REF!</v>
      </c>
      <c r="T9" s="235" t="str">
        <f t="shared" si="18"/>
        <v>#REF!</v>
      </c>
      <c r="U9" s="235" t="str">
        <f t="shared" si="18"/>
        <v>#REF!</v>
      </c>
      <c r="V9" s="235" t="str">
        <f t="shared" si="18"/>
        <v>#REF!</v>
      </c>
      <c r="W9" s="235" t="str">
        <f t="shared" si="18"/>
        <v>#REF!</v>
      </c>
      <c r="X9" s="235" t="str">
        <f t="shared" si="18"/>
        <v>#REF!</v>
      </c>
    </row>
    <row r="10">
      <c r="A10" s="235" t="str">
        <f t="shared" ref="A10:O10" si="19">'Municipality Case Trends'!A14</f>
        <v>#REF!</v>
      </c>
      <c r="B10" s="235" t="str">
        <f t="shared" si="19"/>
        <v>#REF!</v>
      </c>
      <c r="C10" s="235" t="str">
        <f t="shared" si="19"/>
        <v>#REF!</v>
      </c>
      <c r="D10" s="235" t="str">
        <f t="shared" si="19"/>
        <v>#REF!</v>
      </c>
      <c r="E10" s="235" t="str">
        <f t="shared" si="19"/>
        <v>#REF!</v>
      </c>
      <c r="F10" s="235" t="str">
        <f t="shared" si="19"/>
        <v>#REF!</v>
      </c>
      <c r="G10" s="235" t="str">
        <f t="shared" si="19"/>
        <v>#REF!</v>
      </c>
      <c r="H10" s="235" t="str">
        <f t="shared" si="19"/>
        <v>#REF!</v>
      </c>
      <c r="I10" s="235" t="str">
        <f t="shared" si="19"/>
        <v>#REF!</v>
      </c>
      <c r="J10" s="235" t="str">
        <f t="shared" si="19"/>
        <v>#REF!</v>
      </c>
      <c r="K10" s="235" t="str">
        <f t="shared" si="19"/>
        <v>#REF!</v>
      </c>
      <c r="L10" s="235" t="str">
        <f t="shared" si="19"/>
        <v>#REF!</v>
      </c>
      <c r="M10" s="235" t="str">
        <f t="shared" si="19"/>
        <v>#REF!</v>
      </c>
      <c r="N10" s="235" t="str">
        <f t="shared" si="19"/>
        <v>#REF!</v>
      </c>
      <c r="O10" s="235" t="str">
        <f t="shared" si="19"/>
        <v>#REF!</v>
      </c>
      <c r="P10" s="235" t="str">
        <f t="shared" ref="P10:X10" si="20">#REF!</f>
        <v>#REF!</v>
      </c>
      <c r="Q10" s="235" t="str">
        <f t="shared" si="20"/>
        <v>#REF!</v>
      </c>
      <c r="R10" s="235" t="str">
        <f t="shared" si="20"/>
        <v>#REF!</v>
      </c>
      <c r="S10" s="235" t="str">
        <f t="shared" si="20"/>
        <v>#REF!</v>
      </c>
      <c r="T10" s="235" t="str">
        <f t="shared" si="20"/>
        <v>#REF!</v>
      </c>
      <c r="U10" s="235" t="str">
        <f t="shared" si="20"/>
        <v>#REF!</v>
      </c>
      <c r="V10" s="235" t="str">
        <f t="shared" si="20"/>
        <v>#REF!</v>
      </c>
      <c r="W10" s="235" t="str">
        <f t="shared" si="20"/>
        <v>#REF!</v>
      </c>
      <c r="X10" s="235" t="str">
        <f t="shared" si="20"/>
        <v>#REF!</v>
      </c>
    </row>
    <row r="11">
      <c r="A11" s="235" t="str">
        <f t="shared" ref="A11:O11" si="21">'Municipality Case Trends'!A15</f>
        <v>#REF!</v>
      </c>
      <c r="B11" s="235" t="str">
        <f t="shared" si="21"/>
        <v>#REF!</v>
      </c>
      <c r="C11" s="235" t="str">
        <f t="shared" si="21"/>
        <v>#REF!</v>
      </c>
      <c r="D11" s="235" t="str">
        <f t="shared" si="21"/>
        <v>#REF!</v>
      </c>
      <c r="E11" s="235" t="str">
        <f t="shared" si="21"/>
        <v>#REF!</v>
      </c>
      <c r="F11" s="235" t="str">
        <f t="shared" si="21"/>
        <v>#REF!</v>
      </c>
      <c r="G11" s="235" t="str">
        <f t="shared" si="21"/>
        <v>#REF!</v>
      </c>
      <c r="H11" s="235" t="str">
        <f t="shared" si="21"/>
        <v>#REF!</v>
      </c>
      <c r="I11" s="235" t="str">
        <f t="shared" si="21"/>
        <v>#REF!</v>
      </c>
      <c r="J11" s="235" t="str">
        <f t="shared" si="21"/>
        <v>#REF!</v>
      </c>
      <c r="K11" s="235" t="str">
        <f t="shared" si="21"/>
        <v>#REF!</v>
      </c>
      <c r="L11" s="235" t="str">
        <f t="shared" si="21"/>
        <v>#REF!</v>
      </c>
      <c r="M11" s="235" t="str">
        <f t="shared" si="21"/>
        <v>#REF!</v>
      </c>
      <c r="N11" s="235" t="str">
        <f t="shared" si="21"/>
        <v>#REF!</v>
      </c>
      <c r="O11" s="235" t="str">
        <f t="shared" si="21"/>
        <v>#REF!</v>
      </c>
      <c r="P11" s="235" t="str">
        <f t="shared" ref="P11:X11" si="22">#REF!</f>
        <v>#REF!</v>
      </c>
      <c r="Q11" s="235" t="str">
        <f t="shared" si="22"/>
        <v>#REF!</v>
      </c>
      <c r="R11" s="235" t="str">
        <f t="shared" si="22"/>
        <v>#REF!</v>
      </c>
      <c r="S11" s="235" t="str">
        <f t="shared" si="22"/>
        <v>#REF!</v>
      </c>
      <c r="T11" s="235" t="str">
        <f t="shared" si="22"/>
        <v>#REF!</v>
      </c>
      <c r="U11" s="235" t="str">
        <f t="shared" si="22"/>
        <v>#REF!</v>
      </c>
      <c r="V11" s="235" t="str">
        <f t="shared" si="22"/>
        <v>#REF!</v>
      </c>
      <c r="W11" s="235" t="str">
        <f t="shared" si="22"/>
        <v>#REF!</v>
      </c>
      <c r="X11" s="235" t="str">
        <f t="shared" si="22"/>
        <v>#REF!</v>
      </c>
    </row>
    <row r="12">
      <c r="A12" s="235" t="str">
        <f t="shared" ref="A12:O12" si="23">'Municipality Case Trends'!A16</f>
        <v>#REF!</v>
      </c>
      <c r="B12" s="235" t="str">
        <f t="shared" si="23"/>
        <v>#REF!</v>
      </c>
      <c r="C12" s="235" t="str">
        <f t="shared" si="23"/>
        <v>#REF!</v>
      </c>
      <c r="D12" s="235" t="str">
        <f t="shared" si="23"/>
        <v>#REF!</v>
      </c>
      <c r="E12" s="235" t="str">
        <f t="shared" si="23"/>
        <v>#REF!</v>
      </c>
      <c r="F12" s="235" t="str">
        <f t="shared" si="23"/>
        <v>#REF!</v>
      </c>
      <c r="G12" s="235" t="str">
        <f t="shared" si="23"/>
        <v>#REF!</v>
      </c>
      <c r="H12" s="235" t="str">
        <f t="shared" si="23"/>
        <v>#REF!</v>
      </c>
      <c r="I12" s="235" t="str">
        <f t="shared" si="23"/>
        <v>#REF!</v>
      </c>
      <c r="J12" s="235" t="str">
        <f t="shared" si="23"/>
        <v>#REF!</v>
      </c>
      <c r="K12" s="235" t="str">
        <f t="shared" si="23"/>
        <v>#REF!</v>
      </c>
      <c r="L12" s="235" t="str">
        <f t="shared" si="23"/>
        <v>#REF!</v>
      </c>
      <c r="M12" s="235" t="str">
        <f t="shared" si="23"/>
        <v>#REF!</v>
      </c>
      <c r="N12" s="235" t="str">
        <f t="shared" si="23"/>
        <v>#REF!</v>
      </c>
      <c r="O12" s="235" t="str">
        <f t="shared" si="23"/>
        <v>#REF!</v>
      </c>
      <c r="P12" s="235" t="str">
        <f t="shared" ref="P12:X12" si="24">#REF!</f>
        <v>#REF!</v>
      </c>
      <c r="Q12" s="235" t="str">
        <f t="shared" si="24"/>
        <v>#REF!</v>
      </c>
      <c r="R12" s="235" t="str">
        <f t="shared" si="24"/>
        <v>#REF!</v>
      </c>
      <c r="S12" s="235" t="str">
        <f t="shared" si="24"/>
        <v>#REF!</v>
      </c>
      <c r="T12" s="235" t="str">
        <f t="shared" si="24"/>
        <v>#REF!</v>
      </c>
      <c r="U12" s="235" t="str">
        <f t="shared" si="24"/>
        <v>#REF!</v>
      </c>
      <c r="V12" s="235" t="str">
        <f t="shared" si="24"/>
        <v>#REF!</v>
      </c>
      <c r="W12" s="235" t="str">
        <f t="shared" si="24"/>
        <v>#REF!</v>
      </c>
      <c r="X12" s="235" t="str">
        <f t="shared" si="24"/>
        <v>#REF!</v>
      </c>
    </row>
    <row r="13">
      <c r="A13" s="235" t="str">
        <f t="shared" ref="A13:O13" si="25">'Municipality Case Trends'!A17</f>
        <v>#REF!</v>
      </c>
      <c r="B13" s="235" t="str">
        <f t="shared" si="25"/>
        <v>#REF!</v>
      </c>
      <c r="C13" s="235" t="str">
        <f t="shared" si="25"/>
        <v>#REF!</v>
      </c>
      <c r="D13" s="235" t="str">
        <f t="shared" si="25"/>
        <v>#REF!</v>
      </c>
      <c r="E13" s="235" t="str">
        <f t="shared" si="25"/>
        <v>#REF!</v>
      </c>
      <c r="F13" s="235" t="str">
        <f t="shared" si="25"/>
        <v>#REF!</v>
      </c>
      <c r="G13" s="235" t="str">
        <f t="shared" si="25"/>
        <v>#REF!</v>
      </c>
      <c r="H13" s="235" t="str">
        <f t="shared" si="25"/>
        <v>#REF!</v>
      </c>
      <c r="I13" s="235" t="str">
        <f t="shared" si="25"/>
        <v>#REF!</v>
      </c>
      <c r="J13" s="235" t="str">
        <f t="shared" si="25"/>
        <v>#REF!</v>
      </c>
      <c r="K13" s="235" t="str">
        <f t="shared" si="25"/>
        <v>#REF!</v>
      </c>
      <c r="L13" s="235" t="str">
        <f t="shared" si="25"/>
        <v>#REF!</v>
      </c>
      <c r="M13" s="235" t="str">
        <f t="shared" si="25"/>
        <v>#REF!</v>
      </c>
      <c r="N13" s="235" t="str">
        <f t="shared" si="25"/>
        <v>#REF!</v>
      </c>
      <c r="O13" s="235" t="str">
        <f t="shared" si="25"/>
        <v>#REF!</v>
      </c>
      <c r="P13" s="235" t="str">
        <f t="shared" ref="P13:X13" si="26">#REF!</f>
        <v>#REF!</v>
      </c>
      <c r="Q13" s="235" t="str">
        <f t="shared" si="26"/>
        <v>#REF!</v>
      </c>
      <c r="R13" s="235" t="str">
        <f t="shared" si="26"/>
        <v>#REF!</v>
      </c>
      <c r="S13" s="235" t="str">
        <f t="shared" si="26"/>
        <v>#REF!</v>
      </c>
      <c r="T13" s="235" t="str">
        <f t="shared" si="26"/>
        <v>#REF!</v>
      </c>
      <c r="U13" s="235" t="str">
        <f t="shared" si="26"/>
        <v>#REF!</v>
      </c>
      <c r="V13" s="235" t="str">
        <f t="shared" si="26"/>
        <v>#REF!</v>
      </c>
      <c r="W13" s="235" t="str">
        <f t="shared" si="26"/>
        <v>#REF!</v>
      </c>
      <c r="X13" s="235" t="str">
        <f t="shared" si="26"/>
        <v>#REF!</v>
      </c>
    </row>
    <row r="14">
      <c r="A14" s="235" t="str">
        <f t="shared" ref="A14:O14" si="27">'Municipality Case Trends'!A18</f>
        <v>#REF!</v>
      </c>
      <c r="B14" s="235" t="str">
        <f t="shared" si="27"/>
        <v>#REF!</v>
      </c>
      <c r="C14" s="235" t="str">
        <f t="shared" si="27"/>
        <v>#REF!</v>
      </c>
      <c r="D14" s="235" t="str">
        <f t="shared" si="27"/>
        <v>#REF!</v>
      </c>
      <c r="E14" s="235" t="str">
        <f t="shared" si="27"/>
        <v>#REF!</v>
      </c>
      <c r="F14" s="235" t="str">
        <f t="shared" si="27"/>
        <v>#REF!</v>
      </c>
      <c r="G14" s="235" t="str">
        <f t="shared" si="27"/>
        <v>#REF!</v>
      </c>
      <c r="H14" s="235" t="str">
        <f t="shared" si="27"/>
        <v>#REF!</v>
      </c>
      <c r="I14" s="235" t="str">
        <f t="shared" si="27"/>
        <v>#REF!</v>
      </c>
      <c r="J14" s="235" t="str">
        <f t="shared" si="27"/>
        <v>#REF!</v>
      </c>
      <c r="K14" s="235" t="str">
        <f t="shared" si="27"/>
        <v>#REF!</v>
      </c>
      <c r="L14" s="235" t="str">
        <f t="shared" si="27"/>
        <v>#REF!</v>
      </c>
      <c r="M14" s="235" t="str">
        <f t="shared" si="27"/>
        <v>#REF!</v>
      </c>
      <c r="N14" s="235" t="str">
        <f t="shared" si="27"/>
        <v>#REF!</v>
      </c>
      <c r="O14" s="235" t="str">
        <f t="shared" si="27"/>
        <v>#REF!</v>
      </c>
      <c r="P14" s="235" t="str">
        <f t="shared" ref="P14:X14" si="28">#REF!</f>
        <v>#REF!</v>
      </c>
      <c r="Q14" s="235" t="str">
        <f t="shared" si="28"/>
        <v>#REF!</v>
      </c>
      <c r="R14" s="235" t="str">
        <f t="shared" si="28"/>
        <v>#REF!</v>
      </c>
      <c r="S14" s="235" t="str">
        <f t="shared" si="28"/>
        <v>#REF!</v>
      </c>
      <c r="T14" s="235" t="str">
        <f t="shared" si="28"/>
        <v>#REF!</v>
      </c>
      <c r="U14" s="235" t="str">
        <f t="shared" si="28"/>
        <v>#REF!</v>
      </c>
      <c r="V14" s="235" t="str">
        <f t="shared" si="28"/>
        <v>#REF!</v>
      </c>
      <c r="W14" s="235" t="str">
        <f t="shared" si="28"/>
        <v>#REF!</v>
      </c>
      <c r="X14" s="235" t="str">
        <f t="shared" si="28"/>
        <v>#REF!</v>
      </c>
    </row>
    <row r="15">
      <c r="A15" s="235" t="str">
        <f t="shared" ref="A15:O15" si="29">'Municipality Case Trends'!A19</f>
        <v>#REF!</v>
      </c>
      <c r="B15" s="235" t="str">
        <f t="shared" si="29"/>
        <v>#REF!</v>
      </c>
      <c r="C15" s="235" t="str">
        <f t="shared" si="29"/>
        <v>#REF!</v>
      </c>
      <c r="D15" s="235" t="str">
        <f t="shared" si="29"/>
        <v>#REF!</v>
      </c>
      <c r="E15" s="235" t="str">
        <f t="shared" si="29"/>
        <v>#REF!</v>
      </c>
      <c r="F15" s="235" t="str">
        <f t="shared" si="29"/>
        <v>#REF!</v>
      </c>
      <c r="G15" s="235" t="str">
        <f t="shared" si="29"/>
        <v>#REF!</v>
      </c>
      <c r="H15" s="235" t="str">
        <f t="shared" si="29"/>
        <v>#REF!</v>
      </c>
      <c r="I15" s="235" t="str">
        <f t="shared" si="29"/>
        <v>#REF!</v>
      </c>
      <c r="J15" s="235" t="str">
        <f t="shared" si="29"/>
        <v>#REF!</v>
      </c>
      <c r="K15" s="235" t="str">
        <f t="shared" si="29"/>
        <v>#REF!</v>
      </c>
      <c r="L15" s="235" t="str">
        <f t="shared" si="29"/>
        <v>#REF!</v>
      </c>
      <c r="M15" s="235" t="str">
        <f t="shared" si="29"/>
        <v>#REF!</v>
      </c>
      <c r="N15" s="235" t="str">
        <f t="shared" si="29"/>
        <v>#REF!</v>
      </c>
      <c r="O15" s="235" t="str">
        <f t="shared" si="29"/>
        <v>#REF!</v>
      </c>
      <c r="P15" s="235" t="str">
        <f t="shared" ref="P15:X15" si="30">#REF!</f>
        <v>#REF!</v>
      </c>
      <c r="Q15" s="235" t="str">
        <f t="shared" si="30"/>
        <v>#REF!</v>
      </c>
      <c r="R15" s="235" t="str">
        <f t="shared" si="30"/>
        <v>#REF!</v>
      </c>
      <c r="S15" s="235" t="str">
        <f t="shared" si="30"/>
        <v>#REF!</v>
      </c>
      <c r="T15" s="235" t="str">
        <f t="shared" si="30"/>
        <v>#REF!</v>
      </c>
      <c r="U15" s="235" t="str">
        <f t="shared" si="30"/>
        <v>#REF!</v>
      </c>
      <c r="V15" s="235" t="str">
        <f t="shared" si="30"/>
        <v>#REF!</v>
      </c>
      <c r="W15" s="235" t="str">
        <f t="shared" si="30"/>
        <v>#REF!</v>
      </c>
      <c r="X15" s="235" t="str">
        <f t="shared" si="30"/>
        <v>#REF!</v>
      </c>
    </row>
    <row r="16">
      <c r="A16" s="235" t="str">
        <f t="shared" ref="A16:O16" si="31">'Municipality Case Trends'!A20</f>
        <v>#REF!</v>
      </c>
      <c r="B16" s="235" t="str">
        <f t="shared" si="31"/>
        <v>#REF!</v>
      </c>
      <c r="C16" s="235" t="str">
        <f t="shared" si="31"/>
        <v>#REF!</v>
      </c>
      <c r="D16" s="235" t="str">
        <f t="shared" si="31"/>
        <v>#REF!</v>
      </c>
      <c r="E16" s="235" t="str">
        <f t="shared" si="31"/>
        <v>#REF!</v>
      </c>
      <c r="F16" s="235" t="str">
        <f t="shared" si="31"/>
        <v>#REF!</v>
      </c>
      <c r="G16" s="235" t="str">
        <f t="shared" si="31"/>
        <v>#REF!</v>
      </c>
      <c r="H16" s="235" t="str">
        <f t="shared" si="31"/>
        <v>#REF!</v>
      </c>
      <c r="I16" s="235" t="str">
        <f t="shared" si="31"/>
        <v>#REF!</v>
      </c>
      <c r="J16" s="235" t="str">
        <f t="shared" si="31"/>
        <v>#REF!</v>
      </c>
      <c r="K16" s="235" t="str">
        <f t="shared" si="31"/>
        <v>#REF!</v>
      </c>
      <c r="L16" s="235" t="str">
        <f t="shared" si="31"/>
        <v>#REF!</v>
      </c>
      <c r="M16" s="235" t="str">
        <f t="shared" si="31"/>
        <v>#REF!</v>
      </c>
      <c r="N16" s="235" t="str">
        <f t="shared" si="31"/>
        <v>#REF!</v>
      </c>
      <c r="O16" s="235" t="str">
        <f t="shared" si="31"/>
        <v>#REF!</v>
      </c>
      <c r="P16" s="235" t="str">
        <f t="shared" ref="P16:X16" si="32">#REF!</f>
        <v>#REF!</v>
      </c>
      <c r="Q16" s="235" t="str">
        <f t="shared" si="32"/>
        <v>#REF!</v>
      </c>
      <c r="R16" s="235" t="str">
        <f t="shared" si="32"/>
        <v>#REF!</v>
      </c>
      <c r="S16" s="235" t="str">
        <f t="shared" si="32"/>
        <v>#REF!</v>
      </c>
      <c r="T16" s="235" t="str">
        <f t="shared" si="32"/>
        <v>#REF!</v>
      </c>
      <c r="U16" s="235" t="str">
        <f t="shared" si="32"/>
        <v>#REF!</v>
      </c>
      <c r="V16" s="235" t="str">
        <f t="shared" si="32"/>
        <v>#REF!</v>
      </c>
      <c r="W16" s="235" t="str">
        <f t="shared" si="32"/>
        <v>#REF!</v>
      </c>
      <c r="X16" s="235" t="str">
        <f t="shared" si="32"/>
        <v>#REF!</v>
      </c>
    </row>
    <row r="17">
      <c r="A17" s="235" t="str">
        <f t="shared" ref="A17:O17" si="33">'Municipality Case Trends'!A21</f>
        <v>#REF!</v>
      </c>
      <c r="B17" s="235" t="str">
        <f t="shared" si="33"/>
        <v>#REF!</v>
      </c>
      <c r="C17" s="235" t="str">
        <f t="shared" si="33"/>
        <v>#REF!</v>
      </c>
      <c r="D17" s="235" t="str">
        <f t="shared" si="33"/>
        <v>#REF!</v>
      </c>
      <c r="E17" s="235" t="str">
        <f t="shared" si="33"/>
        <v>#REF!</v>
      </c>
      <c r="F17" s="235" t="str">
        <f t="shared" si="33"/>
        <v>#REF!</v>
      </c>
      <c r="G17" s="235" t="str">
        <f t="shared" si="33"/>
        <v>#REF!</v>
      </c>
      <c r="H17" s="235" t="str">
        <f t="shared" si="33"/>
        <v>#REF!</v>
      </c>
      <c r="I17" s="235" t="str">
        <f t="shared" si="33"/>
        <v>#REF!</v>
      </c>
      <c r="J17" s="235" t="str">
        <f t="shared" si="33"/>
        <v>#REF!</v>
      </c>
      <c r="K17" s="235" t="str">
        <f t="shared" si="33"/>
        <v>#REF!</v>
      </c>
      <c r="L17" s="235" t="str">
        <f t="shared" si="33"/>
        <v>#REF!</v>
      </c>
      <c r="M17" s="235" t="str">
        <f t="shared" si="33"/>
        <v>#REF!</v>
      </c>
      <c r="N17" s="235" t="str">
        <f t="shared" si="33"/>
        <v>#REF!</v>
      </c>
      <c r="O17" s="235" t="str">
        <f t="shared" si="33"/>
        <v>#REF!</v>
      </c>
      <c r="P17" s="235" t="str">
        <f t="shared" ref="P17:X17" si="34">#REF!</f>
        <v>#REF!</v>
      </c>
      <c r="Q17" s="235" t="str">
        <f t="shared" si="34"/>
        <v>#REF!</v>
      </c>
      <c r="R17" s="235" t="str">
        <f t="shared" si="34"/>
        <v>#REF!</v>
      </c>
      <c r="S17" s="235" t="str">
        <f t="shared" si="34"/>
        <v>#REF!</v>
      </c>
      <c r="T17" s="235" t="str">
        <f t="shared" si="34"/>
        <v>#REF!</v>
      </c>
      <c r="U17" s="235" t="str">
        <f t="shared" si="34"/>
        <v>#REF!</v>
      </c>
      <c r="V17" s="235" t="str">
        <f t="shared" si="34"/>
        <v>#REF!</v>
      </c>
      <c r="W17" s="235" t="str">
        <f t="shared" si="34"/>
        <v>#REF!</v>
      </c>
      <c r="X17" s="235" t="str">
        <f t="shared" si="34"/>
        <v>#REF!</v>
      </c>
    </row>
    <row r="18">
      <c r="A18" s="235" t="str">
        <f t="shared" ref="A18:O18" si="35">'Municipality Case Trends'!A22</f>
        <v>#REF!</v>
      </c>
      <c r="B18" s="235" t="str">
        <f t="shared" si="35"/>
        <v>#REF!</v>
      </c>
      <c r="C18" s="235" t="str">
        <f t="shared" si="35"/>
        <v>#REF!</v>
      </c>
      <c r="D18" s="235" t="str">
        <f t="shared" si="35"/>
        <v>#REF!</v>
      </c>
      <c r="E18" s="235" t="str">
        <f t="shared" si="35"/>
        <v>#REF!</v>
      </c>
      <c r="F18" s="235" t="str">
        <f t="shared" si="35"/>
        <v>#REF!</v>
      </c>
      <c r="G18" s="235" t="str">
        <f t="shared" si="35"/>
        <v>#REF!</v>
      </c>
      <c r="H18" s="235" t="str">
        <f t="shared" si="35"/>
        <v>#REF!</v>
      </c>
      <c r="I18" s="235" t="str">
        <f t="shared" si="35"/>
        <v>#REF!</v>
      </c>
      <c r="J18" s="235" t="str">
        <f t="shared" si="35"/>
        <v>#REF!</v>
      </c>
      <c r="K18" s="235" t="str">
        <f t="shared" si="35"/>
        <v>#REF!</v>
      </c>
      <c r="L18" s="235" t="str">
        <f t="shared" si="35"/>
        <v>#REF!</v>
      </c>
      <c r="M18" s="235" t="str">
        <f t="shared" si="35"/>
        <v>#REF!</v>
      </c>
      <c r="N18" s="235" t="str">
        <f t="shared" si="35"/>
        <v>#REF!</v>
      </c>
      <c r="O18" s="235" t="str">
        <f t="shared" si="35"/>
        <v>#REF!</v>
      </c>
      <c r="P18" s="235" t="str">
        <f t="shared" ref="P18:X18" si="36">#REF!</f>
        <v>#REF!</v>
      </c>
      <c r="Q18" s="235" t="str">
        <f t="shared" si="36"/>
        <v>#REF!</v>
      </c>
      <c r="R18" s="235" t="str">
        <f t="shared" si="36"/>
        <v>#REF!</v>
      </c>
      <c r="S18" s="235" t="str">
        <f t="shared" si="36"/>
        <v>#REF!</v>
      </c>
      <c r="T18" s="235" t="str">
        <f t="shared" si="36"/>
        <v>#REF!</v>
      </c>
      <c r="U18" s="235" t="str">
        <f t="shared" si="36"/>
        <v>#REF!</v>
      </c>
      <c r="V18" s="235" t="str">
        <f t="shared" si="36"/>
        <v>#REF!</v>
      </c>
      <c r="W18" s="235" t="str">
        <f t="shared" si="36"/>
        <v>#REF!</v>
      </c>
      <c r="X18" s="235" t="str">
        <f t="shared" si="36"/>
        <v>#REF!</v>
      </c>
    </row>
    <row r="19">
      <c r="A19" s="235" t="str">
        <f t="shared" ref="A19:O19" si="37">'Municipality Case Trends'!A23</f>
        <v>#REF!</v>
      </c>
      <c r="B19" s="235" t="str">
        <f t="shared" si="37"/>
        <v>#REF!</v>
      </c>
      <c r="C19" s="235" t="str">
        <f t="shared" si="37"/>
        <v>#REF!</v>
      </c>
      <c r="D19" s="235" t="str">
        <f t="shared" si="37"/>
        <v>#REF!</v>
      </c>
      <c r="E19" s="235" t="str">
        <f t="shared" si="37"/>
        <v>#REF!</v>
      </c>
      <c r="F19" s="235" t="str">
        <f t="shared" si="37"/>
        <v>#REF!</v>
      </c>
      <c r="G19" s="235" t="str">
        <f t="shared" si="37"/>
        <v>#REF!</v>
      </c>
      <c r="H19" s="235" t="str">
        <f t="shared" si="37"/>
        <v>#REF!</v>
      </c>
      <c r="I19" s="235" t="str">
        <f t="shared" si="37"/>
        <v>#REF!</v>
      </c>
      <c r="J19" s="235" t="str">
        <f t="shared" si="37"/>
        <v>#REF!</v>
      </c>
      <c r="K19" s="235" t="str">
        <f t="shared" si="37"/>
        <v>#REF!</v>
      </c>
      <c r="L19" s="235" t="str">
        <f t="shared" si="37"/>
        <v>#REF!</v>
      </c>
      <c r="M19" s="235" t="str">
        <f t="shared" si="37"/>
        <v>#REF!</v>
      </c>
      <c r="N19" s="235" t="str">
        <f t="shared" si="37"/>
        <v>#REF!</v>
      </c>
      <c r="O19" s="235" t="str">
        <f t="shared" si="37"/>
        <v>#REF!</v>
      </c>
      <c r="P19" s="235" t="str">
        <f t="shared" ref="P19:X19" si="38">#REF!</f>
        <v>#REF!</v>
      </c>
      <c r="Q19" s="235" t="str">
        <f t="shared" si="38"/>
        <v>#REF!</v>
      </c>
      <c r="R19" s="235" t="str">
        <f t="shared" si="38"/>
        <v>#REF!</v>
      </c>
      <c r="S19" s="235" t="str">
        <f t="shared" si="38"/>
        <v>#REF!</v>
      </c>
      <c r="T19" s="235" t="str">
        <f t="shared" si="38"/>
        <v>#REF!</v>
      </c>
      <c r="U19" s="235" t="str">
        <f t="shared" si="38"/>
        <v>#REF!</v>
      </c>
      <c r="V19" s="235" t="str">
        <f t="shared" si="38"/>
        <v>#REF!</v>
      </c>
      <c r="W19" s="235" t="str">
        <f t="shared" si="38"/>
        <v>#REF!</v>
      </c>
      <c r="X19" s="235" t="str">
        <f t="shared" si="38"/>
        <v>#REF!</v>
      </c>
    </row>
    <row r="20">
      <c r="A20" s="235" t="str">
        <f t="shared" ref="A20:O20" si="39">'Municipality Case Trends'!A24</f>
        <v>#REF!</v>
      </c>
      <c r="B20" s="235" t="str">
        <f t="shared" si="39"/>
        <v>#REF!</v>
      </c>
      <c r="C20" s="235" t="str">
        <f t="shared" si="39"/>
        <v>#REF!</v>
      </c>
      <c r="D20" s="235" t="str">
        <f t="shared" si="39"/>
        <v>#REF!</v>
      </c>
      <c r="E20" s="235" t="str">
        <f t="shared" si="39"/>
        <v>#REF!</v>
      </c>
      <c r="F20" s="235" t="str">
        <f t="shared" si="39"/>
        <v>#REF!</v>
      </c>
      <c r="G20" s="235" t="str">
        <f t="shared" si="39"/>
        <v>#REF!</v>
      </c>
      <c r="H20" s="235" t="str">
        <f t="shared" si="39"/>
        <v>#REF!</v>
      </c>
      <c r="I20" s="235" t="str">
        <f t="shared" si="39"/>
        <v>#REF!</v>
      </c>
      <c r="J20" s="235" t="str">
        <f t="shared" si="39"/>
        <v>#REF!</v>
      </c>
      <c r="K20" s="235" t="str">
        <f t="shared" si="39"/>
        <v>#REF!</v>
      </c>
      <c r="L20" s="235" t="str">
        <f t="shared" si="39"/>
        <v>#REF!</v>
      </c>
      <c r="M20" s="235" t="str">
        <f t="shared" si="39"/>
        <v>#REF!</v>
      </c>
      <c r="N20" s="235" t="str">
        <f t="shared" si="39"/>
        <v>#REF!</v>
      </c>
      <c r="O20" s="235" t="str">
        <f t="shared" si="39"/>
        <v>#REF!</v>
      </c>
      <c r="P20" s="235" t="str">
        <f t="shared" ref="P20:X20" si="40">#REF!</f>
        <v>#REF!</v>
      </c>
      <c r="Q20" s="235" t="str">
        <f t="shared" si="40"/>
        <v>#REF!</v>
      </c>
      <c r="R20" s="235" t="str">
        <f t="shared" si="40"/>
        <v>#REF!</v>
      </c>
      <c r="S20" s="235" t="str">
        <f t="shared" si="40"/>
        <v>#REF!</v>
      </c>
      <c r="T20" s="235" t="str">
        <f t="shared" si="40"/>
        <v>#REF!</v>
      </c>
      <c r="U20" s="235" t="str">
        <f t="shared" si="40"/>
        <v>#REF!</v>
      </c>
      <c r="V20" s="235" t="str">
        <f t="shared" si="40"/>
        <v>#REF!</v>
      </c>
      <c r="W20" s="235" t="str">
        <f t="shared" si="40"/>
        <v>#REF!</v>
      </c>
      <c r="X20" s="235" t="str">
        <f t="shared" si="40"/>
        <v>#REF!</v>
      </c>
    </row>
    <row r="21">
      <c r="A21" s="235" t="str">
        <f t="shared" ref="A21:O21" si="41">'Municipality Case Trends'!A25</f>
        <v>#REF!</v>
      </c>
      <c r="B21" s="235" t="str">
        <f t="shared" si="41"/>
        <v>#REF!</v>
      </c>
      <c r="C21" s="235" t="str">
        <f t="shared" si="41"/>
        <v>#REF!</v>
      </c>
      <c r="D21" s="235" t="str">
        <f t="shared" si="41"/>
        <v>#REF!</v>
      </c>
      <c r="E21" s="235" t="str">
        <f t="shared" si="41"/>
        <v>#REF!</v>
      </c>
      <c r="F21" s="235" t="str">
        <f t="shared" si="41"/>
        <v>#REF!</v>
      </c>
      <c r="G21" s="235" t="str">
        <f t="shared" si="41"/>
        <v>#REF!</v>
      </c>
      <c r="H21" s="235" t="str">
        <f t="shared" si="41"/>
        <v>#REF!</v>
      </c>
      <c r="I21" s="235" t="str">
        <f t="shared" si="41"/>
        <v>#REF!</v>
      </c>
      <c r="J21" s="235" t="str">
        <f t="shared" si="41"/>
        <v>#REF!</v>
      </c>
      <c r="K21" s="235" t="str">
        <f t="shared" si="41"/>
        <v>#REF!</v>
      </c>
      <c r="L21" s="235" t="str">
        <f t="shared" si="41"/>
        <v>#REF!</v>
      </c>
      <c r="M21" s="235" t="str">
        <f t="shared" si="41"/>
        <v>#REF!</v>
      </c>
      <c r="N21" s="235" t="str">
        <f t="shared" si="41"/>
        <v>#REF!</v>
      </c>
      <c r="O21" s="235" t="str">
        <f t="shared" si="41"/>
        <v>#REF!</v>
      </c>
      <c r="P21" s="235" t="str">
        <f t="shared" ref="P21:X21" si="42">#REF!</f>
        <v>#REF!</v>
      </c>
      <c r="Q21" s="235" t="str">
        <f t="shared" si="42"/>
        <v>#REF!</v>
      </c>
      <c r="R21" s="235" t="str">
        <f t="shared" si="42"/>
        <v>#REF!</v>
      </c>
      <c r="S21" s="235" t="str">
        <f t="shared" si="42"/>
        <v>#REF!</v>
      </c>
      <c r="T21" s="235" t="str">
        <f t="shared" si="42"/>
        <v>#REF!</v>
      </c>
      <c r="U21" s="235" t="str">
        <f t="shared" si="42"/>
        <v>#REF!</v>
      </c>
      <c r="V21" s="235" t="str">
        <f t="shared" si="42"/>
        <v>#REF!</v>
      </c>
      <c r="W21" s="235" t="str">
        <f t="shared" si="42"/>
        <v>#REF!</v>
      </c>
      <c r="X21" s="235" t="str">
        <f t="shared" si="42"/>
        <v>#REF!</v>
      </c>
    </row>
    <row r="22">
      <c r="A22" s="235" t="str">
        <f t="shared" ref="A22:O22" si="43">'Municipality Case Trends'!A26</f>
        <v>#REF!</v>
      </c>
      <c r="B22" s="235" t="str">
        <f t="shared" si="43"/>
        <v>#REF!</v>
      </c>
      <c r="C22" s="235" t="str">
        <f t="shared" si="43"/>
        <v>#REF!</v>
      </c>
      <c r="D22" s="235" t="str">
        <f t="shared" si="43"/>
        <v>#REF!</v>
      </c>
      <c r="E22" s="235" t="str">
        <f t="shared" si="43"/>
        <v>#REF!</v>
      </c>
      <c r="F22" s="235" t="str">
        <f t="shared" si="43"/>
        <v>#REF!</v>
      </c>
      <c r="G22" s="235" t="str">
        <f t="shared" si="43"/>
        <v>#REF!</v>
      </c>
      <c r="H22" s="235" t="str">
        <f t="shared" si="43"/>
        <v>#REF!</v>
      </c>
      <c r="I22" s="235" t="str">
        <f t="shared" si="43"/>
        <v>#REF!</v>
      </c>
      <c r="J22" s="235" t="str">
        <f t="shared" si="43"/>
        <v>#REF!</v>
      </c>
      <c r="K22" s="235" t="str">
        <f t="shared" si="43"/>
        <v>#REF!</v>
      </c>
      <c r="L22" s="235" t="str">
        <f t="shared" si="43"/>
        <v>#REF!</v>
      </c>
      <c r="M22" s="235" t="str">
        <f t="shared" si="43"/>
        <v>#REF!</v>
      </c>
      <c r="N22" s="235" t="str">
        <f t="shared" si="43"/>
        <v>#REF!</v>
      </c>
      <c r="O22" s="235" t="str">
        <f t="shared" si="43"/>
        <v>#REF!</v>
      </c>
      <c r="P22" s="235" t="str">
        <f t="shared" ref="P22:X22" si="44">#REF!</f>
        <v>#REF!</v>
      </c>
      <c r="Q22" s="235" t="str">
        <f t="shared" si="44"/>
        <v>#REF!</v>
      </c>
      <c r="R22" s="235" t="str">
        <f t="shared" si="44"/>
        <v>#REF!</v>
      </c>
      <c r="S22" s="235" t="str">
        <f t="shared" si="44"/>
        <v>#REF!</v>
      </c>
      <c r="T22" s="235" t="str">
        <f t="shared" si="44"/>
        <v>#REF!</v>
      </c>
      <c r="U22" s="235" t="str">
        <f t="shared" si="44"/>
        <v>#REF!</v>
      </c>
      <c r="V22" s="235" t="str">
        <f t="shared" si="44"/>
        <v>#REF!</v>
      </c>
      <c r="W22" s="235" t="str">
        <f t="shared" si="44"/>
        <v>#REF!</v>
      </c>
      <c r="X22" s="235" t="str">
        <f t="shared" si="44"/>
        <v>#REF!</v>
      </c>
    </row>
    <row r="23">
      <c r="A23" s="235" t="str">
        <f t="shared" ref="A23:O23" si="45">'Municipality Case Trends'!A27</f>
        <v>#REF!</v>
      </c>
      <c r="B23" s="235" t="str">
        <f t="shared" si="45"/>
        <v>#REF!</v>
      </c>
      <c r="C23" s="235" t="str">
        <f t="shared" si="45"/>
        <v>#REF!</v>
      </c>
      <c r="D23" s="235" t="str">
        <f t="shared" si="45"/>
        <v>#REF!</v>
      </c>
      <c r="E23" s="235" t="str">
        <f t="shared" si="45"/>
        <v>#REF!</v>
      </c>
      <c r="F23" s="235" t="str">
        <f t="shared" si="45"/>
        <v>#REF!</v>
      </c>
      <c r="G23" s="235" t="str">
        <f t="shared" si="45"/>
        <v>#REF!</v>
      </c>
      <c r="H23" s="235" t="str">
        <f t="shared" si="45"/>
        <v>#REF!</v>
      </c>
      <c r="I23" s="235" t="str">
        <f t="shared" si="45"/>
        <v>#REF!</v>
      </c>
      <c r="J23" s="235" t="str">
        <f t="shared" si="45"/>
        <v>#REF!</v>
      </c>
      <c r="K23" s="235" t="str">
        <f t="shared" si="45"/>
        <v>#REF!</v>
      </c>
      <c r="L23" s="235" t="str">
        <f t="shared" si="45"/>
        <v>#REF!</v>
      </c>
      <c r="M23" s="235" t="str">
        <f t="shared" si="45"/>
        <v>#REF!</v>
      </c>
      <c r="N23" s="235" t="str">
        <f t="shared" si="45"/>
        <v>#REF!</v>
      </c>
      <c r="O23" s="235" t="str">
        <f t="shared" si="45"/>
        <v>#REF!</v>
      </c>
      <c r="P23" s="235" t="str">
        <f t="shared" ref="P23:X23" si="46">#REF!</f>
        <v>#REF!</v>
      </c>
      <c r="Q23" s="235" t="str">
        <f t="shared" si="46"/>
        <v>#REF!</v>
      </c>
      <c r="R23" s="235" t="str">
        <f t="shared" si="46"/>
        <v>#REF!</v>
      </c>
      <c r="S23" s="235" t="str">
        <f t="shared" si="46"/>
        <v>#REF!</v>
      </c>
      <c r="T23" s="235" t="str">
        <f t="shared" si="46"/>
        <v>#REF!</v>
      </c>
      <c r="U23" s="235" t="str">
        <f t="shared" si="46"/>
        <v>#REF!</v>
      </c>
      <c r="V23" s="235" t="str">
        <f t="shared" si="46"/>
        <v>#REF!</v>
      </c>
      <c r="W23" s="235" t="str">
        <f t="shared" si="46"/>
        <v>#REF!</v>
      </c>
      <c r="X23" s="235" t="str">
        <f t="shared" si="46"/>
        <v>#REF!</v>
      </c>
    </row>
    <row r="24">
      <c r="A24" s="235" t="str">
        <f t="shared" ref="A24:O24" si="47">'Municipality Case Trends'!A28</f>
        <v>#REF!</v>
      </c>
      <c r="B24" s="235" t="str">
        <f t="shared" si="47"/>
        <v>#REF!</v>
      </c>
      <c r="C24" s="235" t="str">
        <f t="shared" si="47"/>
        <v>#REF!</v>
      </c>
      <c r="D24" s="235" t="str">
        <f t="shared" si="47"/>
        <v>#REF!</v>
      </c>
      <c r="E24" s="235" t="str">
        <f t="shared" si="47"/>
        <v>#REF!</v>
      </c>
      <c r="F24" s="235" t="str">
        <f t="shared" si="47"/>
        <v>#REF!</v>
      </c>
      <c r="G24" s="235" t="str">
        <f t="shared" si="47"/>
        <v>#REF!</v>
      </c>
      <c r="H24" s="235" t="str">
        <f t="shared" si="47"/>
        <v>#REF!</v>
      </c>
      <c r="I24" s="235" t="str">
        <f t="shared" si="47"/>
        <v>#REF!</v>
      </c>
      <c r="J24" s="235" t="str">
        <f t="shared" si="47"/>
        <v>#REF!</v>
      </c>
      <c r="K24" s="235" t="str">
        <f t="shared" si="47"/>
        <v>#REF!</v>
      </c>
      <c r="L24" s="235" t="str">
        <f t="shared" si="47"/>
        <v>#REF!</v>
      </c>
      <c r="M24" s="235" t="str">
        <f t="shared" si="47"/>
        <v>#REF!</v>
      </c>
      <c r="N24" s="235" t="str">
        <f t="shared" si="47"/>
        <v>#REF!</v>
      </c>
      <c r="O24" s="235" t="str">
        <f t="shared" si="47"/>
        <v>#REF!</v>
      </c>
      <c r="P24" s="235" t="str">
        <f t="shared" ref="P24:X24" si="48">#REF!</f>
        <v>#REF!</v>
      </c>
      <c r="Q24" s="235" t="str">
        <f t="shared" si="48"/>
        <v>#REF!</v>
      </c>
      <c r="R24" s="235" t="str">
        <f t="shared" si="48"/>
        <v>#REF!</v>
      </c>
      <c r="S24" s="235" t="str">
        <f t="shared" si="48"/>
        <v>#REF!</v>
      </c>
      <c r="T24" s="235" t="str">
        <f t="shared" si="48"/>
        <v>#REF!</v>
      </c>
      <c r="U24" s="235" t="str">
        <f t="shared" si="48"/>
        <v>#REF!</v>
      </c>
      <c r="V24" s="235" t="str">
        <f t="shared" si="48"/>
        <v>#REF!</v>
      </c>
      <c r="W24" s="235" t="str">
        <f t="shared" si="48"/>
        <v>#REF!</v>
      </c>
      <c r="X24" s="235" t="str">
        <f t="shared" si="48"/>
        <v>#REF!</v>
      </c>
    </row>
    <row r="25">
      <c r="A25" s="235" t="str">
        <f t="shared" ref="A25:O25" si="49">'Municipality Case Trends'!A29</f>
        <v>#REF!</v>
      </c>
      <c r="B25" s="235" t="str">
        <f t="shared" si="49"/>
        <v>#REF!</v>
      </c>
      <c r="C25" s="235" t="str">
        <f t="shared" si="49"/>
        <v>#REF!</v>
      </c>
      <c r="D25" s="235" t="str">
        <f t="shared" si="49"/>
        <v>#REF!</v>
      </c>
      <c r="E25" s="235" t="str">
        <f t="shared" si="49"/>
        <v>#REF!</v>
      </c>
      <c r="F25" s="235" t="str">
        <f t="shared" si="49"/>
        <v>#REF!</v>
      </c>
      <c r="G25" s="235" t="str">
        <f t="shared" si="49"/>
        <v>#REF!</v>
      </c>
      <c r="H25" s="235" t="str">
        <f t="shared" si="49"/>
        <v>#REF!</v>
      </c>
      <c r="I25" s="235" t="str">
        <f t="shared" si="49"/>
        <v>#REF!</v>
      </c>
      <c r="J25" s="235" t="str">
        <f t="shared" si="49"/>
        <v>#REF!</v>
      </c>
      <c r="K25" s="235" t="str">
        <f t="shared" si="49"/>
        <v>#REF!</v>
      </c>
      <c r="L25" s="235" t="str">
        <f t="shared" si="49"/>
        <v>#REF!</v>
      </c>
      <c r="M25" s="235" t="str">
        <f t="shared" si="49"/>
        <v>#REF!</v>
      </c>
      <c r="N25" s="235" t="str">
        <f t="shared" si="49"/>
        <v>#REF!</v>
      </c>
      <c r="O25" s="235" t="str">
        <f t="shared" si="49"/>
        <v>#REF!</v>
      </c>
      <c r="P25" s="235" t="str">
        <f t="shared" ref="P25:X25" si="50">#REF!</f>
        <v>#REF!</v>
      </c>
      <c r="Q25" s="235" t="str">
        <f t="shared" si="50"/>
        <v>#REF!</v>
      </c>
      <c r="R25" s="235" t="str">
        <f t="shared" si="50"/>
        <v>#REF!</v>
      </c>
      <c r="S25" s="235" t="str">
        <f t="shared" si="50"/>
        <v>#REF!</v>
      </c>
      <c r="T25" s="235" t="str">
        <f t="shared" si="50"/>
        <v>#REF!</v>
      </c>
      <c r="U25" s="235" t="str">
        <f t="shared" si="50"/>
        <v>#REF!</v>
      </c>
      <c r="V25" s="235" t="str">
        <f t="shared" si="50"/>
        <v>#REF!</v>
      </c>
      <c r="W25" s="235" t="str">
        <f t="shared" si="50"/>
        <v>#REF!</v>
      </c>
      <c r="X25" s="235" t="str">
        <f t="shared" si="50"/>
        <v>#REF!</v>
      </c>
    </row>
    <row r="26">
      <c r="A26" s="235" t="str">
        <f t="shared" ref="A26:O26" si="51">'Municipality Case Trends'!A30</f>
        <v>#REF!</v>
      </c>
      <c r="B26" s="235" t="str">
        <f t="shared" si="51"/>
        <v>#REF!</v>
      </c>
      <c r="C26" s="235" t="str">
        <f t="shared" si="51"/>
        <v>#REF!</v>
      </c>
      <c r="D26" s="235" t="str">
        <f t="shared" si="51"/>
        <v>#REF!</v>
      </c>
      <c r="E26" s="235" t="str">
        <f t="shared" si="51"/>
        <v>#REF!</v>
      </c>
      <c r="F26" s="235" t="str">
        <f t="shared" si="51"/>
        <v>#REF!</v>
      </c>
      <c r="G26" s="235" t="str">
        <f t="shared" si="51"/>
        <v>#REF!</v>
      </c>
      <c r="H26" s="235" t="str">
        <f t="shared" si="51"/>
        <v>#REF!</v>
      </c>
      <c r="I26" s="235" t="str">
        <f t="shared" si="51"/>
        <v>#REF!</v>
      </c>
      <c r="J26" s="235" t="str">
        <f t="shared" si="51"/>
        <v>#REF!</v>
      </c>
      <c r="K26" s="235" t="str">
        <f t="shared" si="51"/>
        <v>#REF!</v>
      </c>
      <c r="L26" s="235" t="str">
        <f t="shared" si="51"/>
        <v>#REF!</v>
      </c>
      <c r="M26" s="235" t="str">
        <f t="shared" si="51"/>
        <v>#REF!</v>
      </c>
      <c r="N26" s="235" t="str">
        <f t="shared" si="51"/>
        <v>#REF!</v>
      </c>
      <c r="O26" s="235" t="str">
        <f t="shared" si="51"/>
        <v>#REF!</v>
      </c>
      <c r="P26" s="235" t="str">
        <f t="shared" ref="P26:X26" si="52">#REF!</f>
        <v>#REF!</v>
      </c>
      <c r="Q26" s="235" t="str">
        <f t="shared" si="52"/>
        <v>#REF!</v>
      </c>
      <c r="R26" s="235" t="str">
        <f t="shared" si="52"/>
        <v>#REF!</v>
      </c>
      <c r="S26" s="235" t="str">
        <f t="shared" si="52"/>
        <v>#REF!</v>
      </c>
      <c r="T26" s="235" t="str">
        <f t="shared" si="52"/>
        <v>#REF!</v>
      </c>
      <c r="U26" s="235" t="str">
        <f t="shared" si="52"/>
        <v>#REF!</v>
      </c>
      <c r="V26" s="235" t="str">
        <f t="shared" si="52"/>
        <v>#REF!</v>
      </c>
      <c r="W26" s="235" t="str">
        <f t="shared" si="52"/>
        <v>#REF!</v>
      </c>
      <c r="X26" s="235" t="str">
        <f t="shared" si="52"/>
        <v>#REF!</v>
      </c>
    </row>
    <row r="27">
      <c r="A27" s="235" t="str">
        <f t="shared" ref="A27:O27" si="53">'Municipality Case Trends'!A31</f>
        <v>#REF!</v>
      </c>
      <c r="B27" s="235" t="str">
        <f t="shared" si="53"/>
        <v>#REF!</v>
      </c>
      <c r="C27" s="235" t="str">
        <f t="shared" si="53"/>
        <v>#REF!</v>
      </c>
      <c r="D27" s="235" t="str">
        <f t="shared" si="53"/>
        <v>#REF!</v>
      </c>
      <c r="E27" s="235" t="str">
        <f t="shared" si="53"/>
        <v>#REF!</v>
      </c>
      <c r="F27" s="235" t="str">
        <f t="shared" si="53"/>
        <v>#REF!</v>
      </c>
      <c r="G27" s="235" t="str">
        <f t="shared" si="53"/>
        <v>#REF!</v>
      </c>
      <c r="H27" s="235" t="str">
        <f t="shared" si="53"/>
        <v>#REF!</v>
      </c>
      <c r="I27" s="235" t="str">
        <f t="shared" si="53"/>
        <v>#REF!</v>
      </c>
      <c r="J27" s="235" t="str">
        <f t="shared" si="53"/>
        <v>#REF!</v>
      </c>
      <c r="K27" s="235" t="str">
        <f t="shared" si="53"/>
        <v>#REF!</v>
      </c>
      <c r="L27" s="235" t="str">
        <f t="shared" si="53"/>
        <v>#REF!</v>
      </c>
      <c r="M27" s="235" t="str">
        <f t="shared" si="53"/>
        <v>#REF!</v>
      </c>
      <c r="N27" s="235" t="str">
        <f t="shared" si="53"/>
        <v>#REF!</v>
      </c>
      <c r="O27" s="235" t="str">
        <f t="shared" si="53"/>
        <v>#REF!</v>
      </c>
      <c r="P27" s="235" t="str">
        <f t="shared" ref="P27:X27" si="54">#REF!</f>
        <v>#REF!</v>
      </c>
      <c r="Q27" s="235" t="str">
        <f t="shared" si="54"/>
        <v>#REF!</v>
      </c>
      <c r="R27" s="235" t="str">
        <f t="shared" si="54"/>
        <v>#REF!</v>
      </c>
      <c r="S27" s="235" t="str">
        <f t="shared" si="54"/>
        <v>#REF!</v>
      </c>
      <c r="T27" s="235" t="str">
        <f t="shared" si="54"/>
        <v>#REF!</v>
      </c>
      <c r="U27" s="235" t="str">
        <f t="shared" si="54"/>
        <v>#REF!</v>
      </c>
      <c r="V27" s="235" t="str">
        <f t="shared" si="54"/>
        <v>#REF!</v>
      </c>
      <c r="W27" s="235" t="str">
        <f t="shared" si="54"/>
        <v>#REF!</v>
      </c>
      <c r="X27" s="235" t="str">
        <f t="shared" si="54"/>
        <v>#REF!</v>
      </c>
    </row>
    <row r="28">
      <c r="A28" s="235" t="str">
        <f t="shared" ref="A28:O28" si="55">'Municipality Case Trends'!A32</f>
        <v>#REF!</v>
      </c>
      <c r="B28" s="235" t="str">
        <f t="shared" si="55"/>
        <v>#REF!</v>
      </c>
      <c r="C28" s="235" t="str">
        <f t="shared" si="55"/>
        <v>#REF!</v>
      </c>
      <c r="D28" s="235" t="str">
        <f t="shared" si="55"/>
        <v>#REF!</v>
      </c>
      <c r="E28" s="235" t="str">
        <f t="shared" si="55"/>
        <v>#REF!</v>
      </c>
      <c r="F28" s="235" t="str">
        <f t="shared" si="55"/>
        <v>#REF!</v>
      </c>
      <c r="G28" s="235" t="str">
        <f t="shared" si="55"/>
        <v>#REF!</v>
      </c>
      <c r="H28" s="235" t="str">
        <f t="shared" si="55"/>
        <v>#REF!</v>
      </c>
      <c r="I28" s="235" t="str">
        <f t="shared" si="55"/>
        <v>#REF!</v>
      </c>
      <c r="J28" s="235" t="str">
        <f t="shared" si="55"/>
        <v>#REF!</v>
      </c>
      <c r="K28" s="235" t="str">
        <f t="shared" si="55"/>
        <v>#REF!</v>
      </c>
      <c r="L28" s="235" t="str">
        <f t="shared" si="55"/>
        <v>#REF!</v>
      </c>
      <c r="M28" s="235" t="str">
        <f t="shared" si="55"/>
        <v>#REF!</v>
      </c>
      <c r="N28" s="235" t="str">
        <f t="shared" si="55"/>
        <v>#REF!</v>
      </c>
      <c r="O28" s="235" t="str">
        <f t="shared" si="55"/>
        <v>#REF!</v>
      </c>
      <c r="P28" s="235" t="str">
        <f t="shared" ref="P28:X28" si="56">#REF!</f>
        <v>#REF!</v>
      </c>
      <c r="Q28" s="235" t="str">
        <f t="shared" si="56"/>
        <v>#REF!</v>
      </c>
      <c r="R28" s="235" t="str">
        <f t="shared" si="56"/>
        <v>#REF!</v>
      </c>
      <c r="S28" s="235" t="str">
        <f t="shared" si="56"/>
        <v>#REF!</v>
      </c>
      <c r="T28" s="235" t="str">
        <f t="shared" si="56"/>
        <v>#REF!</v>
      </c>
      <c r="U28" s="235" t="str">
        <f t="shared" si="56"/>
        <v>#REF!</v>
      </c>
      <c r="V28" s="235" t="str">
        <f t="shared" si="56"/>
        <v>#REF!</v>
      </c>
      <c r="W28" s="235" t="str">
        <f t="shared" si="56"/>
        <v>#REF!</v>
      </c>
      <c r="X28" s="235" t="str">
        <f t="shared" si="56"/>
        <v>#REF!</v>
      </c>
    </row>
    <row r="29">
      <c r="A29" s="235" t="str">
        <f t="shared" ref="A29:O29" si="57">'Municipality Case Trends'!A33</f>
        <v>#REF!</v>
      </c>
      <c r="B29" s="235" t="str">
        <f t="shared" si="57"/>
        <v>#REF!</v>
      </c>
      <c r="C29" s="235" t="str">
        <f t="shared" si="57"/>
        <v>#REF!</v>
      </c>
      <c r="D29" s="235" t="str">
        <f t="shared" si="57"/>
        <v>#REF!</v>
      </c>
      <c r="E29" s="235" t="str">
        <f t="shared" si="57"/>
        <v>#REF!</v>
      </c>
      <c r="F29" s="235" t="str">
        <f t="shared" si="57"/>
        <v>#REF!</v>
      </c>
      <c r="G29" s="235" t="str">
        <f t="shared" si="57"/>
        <v>#REF!</v>
      </c>
      <c r="H29" s="235" t="str">
        <f t="shared" si="57"/>
        <v>#REF!</v>
      </c>
      <c r="I29" s="235" t="str">
        <f t="shared" si="57"/>
        <v>#REF!</v>
      </c>
      <c r="J29" s="235" t="str">
        <f t="shared" si="57"/>
        <v>#REF!</v>
      </c>
      <c r="K29" s="235" t="str">
        <f t="shared" si="57"/>
        <v>#REF!</v>
      </c>
      <c r="L29" s="235" t="str">
        <f t="shared" si="57"/>
        <v>#REF!</v>
      </c>
      <c r="M29" s="235" t="str">
        <f t="shared" si="57"/>
        <v>#REF!</v>
      </c>
      <c r="N29" s="235" t="str">
        <f t="shared" si="57"/>
        <v>#REF!</v>
      </c>
      <c r="O29" s="235" t="str">
        <f t="shared" si="57"/>
        <v>#REF!</v>
      </c>
      <c r="P29" s="235" t="str">
        <f t="shared" ref="P29:X29" si="58">#REF!</f>
        <v>#REF!</v>
      </c>
      <c r="Q29" s="235" t="str">
        <f t="shared" si="58"/>
        <v>#REF!</v>
      </c>
      <c r="R29" s="235" t="str">
        <f t="shared" si="58"/>
        <v>#REF!</v>
      </c>
      <c r="S29" s="235" t="str">
        <f t="shared" si="58"/>
        <v>#REF!</v>
      </c>
      <c r="T29" s="235" t="str">
        <f t="shared" si="58"/>
        <v>#REF!</v>
      </c>
      <c r="U29" s="235" t="str">
        <f t="shared" si="58"/>
        <v>#REF!</v>
      </c>
      <c r="V29" s="235" t="str">
        <f t="shared" si="58"/>
        <v>#REF!</v>
      </c>
      <c r="W29" s="235" t="str">
        <f t="shared" si="58"/>
        <v>#REF!</v>
      </c>
      <c r="X29" s="235" t="str">
        <f t="shared" si="58"/>
        <v>#REF!</v>
      </c>
    </row>
    <row r="30">
      <c r="A30" s="235" t="str">
        <f t="shared" ref="A30:O30" si="59">'Municipality Case Trends'!A34</f>
        <v>#REF!</v>
      </c>
      <c r="B30" s="235" t="str">
        <f t="shared" si="59"/>
        <v>#REF!</v>
      </c>
      <c r="C30" s="235" t="str">
        <f t="shared" si="59"/>
        <v>#REF!</v>
      </c>
      <c r="D30" s="235" t="str">
        <f t="shared" si="59"/>
        <v>#REF!</v>
      </c>
      <c r="E30" s="235" t="str">
        <f t="shared" si="59"/>
        <v>#REF!</v>
      </c>
      <c r="F30" s="235" t="str">
        <f t="shared" si="59"/>
        <v>#REF!</v>
      </c>
      <c r="G30" s="235" t="str">
        <f t="shared" si="59"/>
        <v>#REF!</v>
      </c>
      <c r="H30" s="235" t="str">
        <f t="shared" si="59"/>
        <v>#REF!</v>
      </c>
      <c r="I30" s="235" t="str">
        <f t="shared" si="59"/>
        <v>#REF!</v>
      </c>
      <c r="J30" s="235" t="str">
        <f t="shared" si="59"/>
        <v>#REF!</v>
      </c>
      <c r="K30" s="235" t="str">
        <f t="shared" si="59"/>
        <v>#REF!</v>
      </c>
      <c r="L30" s="235" t="str">
        <f t="shared" si="59"/>
        <v>#REF!</v>
      </c>
      <c r="M30" s="235" t="str">
        <f t="shared" si="59"/>
        <v>#REF!</v>
      </c>
      <c r="N30" s="235" t="str">
        <f t="shared" si="59"/>
        <v>#REF!</v>
      </c>
      <c r="O30" s="235" t="str">
        <f t="shared" si="59"/>
        <v>#REF!</v>
      </c>
      <c r="P30" s="235" t="str">
        <f t="shared" ref="P30:X30" si="60">#REF!</f>
        <v>#REF!</v>
      </c>
      <c r="Q30" s="235" t="str">
        <f t="shared" si="60"/>
        <v>#REF!</v>
      </c>
      <c r="R30" s="235" t="str">
        <f t="shared" si="60"/>
        <v>#REF!</v>
      </c>
      <c r="S30" s="235" t="str">
        <f t="shared" si="60"/>
        <v>#REF!</v>
      </c>
      <c r="T30" s="235" t="str">
        <f t="shared" si="60"/>
        <v>#REF!</v>
      </c>
      <c r="U30" s="235" t="str">
        <f t="shared" si="60"/>
        <v>#REF!</v>
      </c>
      <c r="V30" s="235" t="str">
        <f t="shared" si="60"/>
        <v>#REF!</v>
      </c>
      <c r="W30" s="235" t="str">
        <f t="shared" si="60"/>
        <v>#REF!</v>
      </c>
      <c r="X30" s="235" t="str">
        <f t="shared" si="60"/>
        <v>#REF!</v>
      </c>
    </row>
    <row r="31">
      <c r="A31" s="235" t="str">
        <f t="shared" ref="A31:O31" si="61">'Municipality Case Trends'!A35</f>
        <v>#REF!</v>
      </c>
      <c r="B31" s="235" t="str">
        <f t="shared" si="61"/>
        <v>#REF!</v>
      </c>
      <c r="C31" s="235" t="str">
        <f t="shared" si="61"/>
        <v>#REF!</v>
      </c>
      <c r="D31" s="235" t="str">
        <f t="shared" si="61"/>
        <v>#REF!</v>
      </c>
      <c r="E31" s="235" t="str">
        <f t="shared" si="61"/>
        <v>#REF!</v>
      </c>
      <c r="F31" s="235" t="str">
        <f t="shared" si="61"/>
        <v>#REF!</v>
      </c>
      <c r="G31" s="235" t="str">
        <f t="shared" si="61"/>
        <v>#REF!</v>
      </c>
      <c r="H31" s="235" t="str">
        <f t="shared" si="61"/>
        <v>#REF!</v>
      </c>
      <c r="I31" s="235" t="str">
        <f t="shared" si="61"/>
        <v>#REF!</v>
      </c>
      <c r="J31" s="235" t="str">
        <f t="shared" si="61"/>
        <v>#REF!</v>
      </c>
      <c r="K31" s="235" t="str">
        <f t="shared" si="61"/>
        <v>#REF!</v>
      </c>
      <c r="L31" s="235" t="str">
        <f t="shared" si="61"/>
        <v>#REF!</v>
      </c>
      <c r="M31" s="235" t="str">
        <f t="shared" si="61"/>
        <v>#REF!</v>
      </c>
      <c r="N31" s="235" t="str">
        <f t="shared" si="61"/>
        <v>#REF!</v>
      </c>
      <c r="O31" s="235" t="str">
        <f t="shared" si="61"/>
        <v>#REF!</v>
      </c>
      <c r="P31" s="235" t="str">
        <f t="shared" ref="P31:X31" si="62">#REF!</f>
        <v>#REF!</v>
      </c>
      <c r="Q31" s="235" t="str">
        <f t="shared" si="62"/>
        <v>#REF!</v>
      </c>
      <c r="R31" s="235" t="str">
        <f t="shared" si="62"/>
        <v>#REF!</v>
      </c>
      <c r="S31" s="235" t="str">
        <f t="shared" si="62"/>
        <v>#REF!</v>
      </c>
      <c r="T31" s="235" t="str">
        <f t="shared" si="62"/>
        <v>#REF!</v>
      </c>
      <c r="U31" s="235" t="str">
        <f t="shared" si="62"/>
        <v>#REF!</v>
      </c>
      <c r="V31" s="235" t="str">
        <f t="shared" si="62"/>
        <v>#REF!</v>
      </c>
      <c r="W31" s="235" t="str">
        <f t="shared" si="62"/>
        <v>#REF!</v>
      </c>
      <c r="X31" s="235" t="str">
        <f t="shared" si="62"/>
        <v>#REF!</v>
      </c>
    </row>
    <row r="32">
      <c r="A32" s="235" t="str">
        <f t="shared" ref="A32:O32" si="63">'Municipality Case Trends'!A36</f>
        <v>#REF!</v>
      </c>
      <c r="B32" s="235" t="str">
        <f t="shared" si="63"/>
        <v>#REF!</v>
      </c>
      <c r="C32" s="235" t="str">
        <f t="shared" si="63"/>
        <v>#REF!</v>
      </c>
      <c r="D32" s="235" t="str">
        <f t="shared" si="63"/>
        <v>#REF!</v>
      </c>
      <c r="E32" s="235" t="str">
        <f t="shared" si="63"/>
        <v>#REF!</v>
      </c>
      <c r="F32" s="235" t="str">
        <f t="shared" si="63"/>
        <v>#REF!</v>
      </c>
      <c r="G32" s="235" t="str">
        <f t="shared" si="63"/>
        <v>#REF!</v>
      </c>
      <c r="H32" s="235" t="str">
        <f t="shared" si="63"/>
        <v>#REF!</v>
      </c>
      <c r="I32" s="235" t="str">
        <f t="shared" si="63"/>
        <v>#REF!</v>
      </c>
      <c r="J32" s="235" t="str">
        <f t="shared" si="63"/>
        <v>#REF!</v>
      </c>
      <c r="K32" s="235" t="str">
        <f t="shared" si="63"/>
        <v>#REF!</v>
      </c>
      <c r="L32" s="235" t="str">
        <f t="shared" si="63"/>
        <v>#REF!</v>
      </c>
      <c r="M32" s="235" t="str">
        <f t="shared" si="63"/>
        <v>#REF!</v>
      </c>
      <c r="N32" s="235" t="str">
        <f t="shared" si="63"/>
        <v>#REF!</v>
      </c>
      <c r="O32" s="235" t="str">
        <f t="shared" si="63"/>
        <v>#REF!</v>
      </c>
      <c r="P32" s="235" t="str">
        <f t="shared" ref="P32:X32" si="64">#REF!</f>
        <v>#REF!</v>
      </c>
      <c r="Q32" s="235" t="str">
        <f t="shared" si="64"/>
        <v>#REF!</v>
      </c>
      <c r="R32" s="235" t="str">
        <f t="shared" si="64"/>
        <v>#REF!</v>
      </c>
      <c r="S32" s="235" t="str">
        <f t="shared" si="64"/>
        <v>#REF!</v>
      </c>
      <c r="T32" s="235" t="str">
        <f t="shared" si="64"/>
        <v>#REF!</v>
      </c>
      <c r="U32" s="235" t="str">
        <f t="shared" si="64"/>
        <v>#REF!</v>
      </c>
      <c r="V32" s="235" t="str">
        <f t="shared" si="64"/>
        <v>#REF!</v>
      </c>
      <c r="W32" s="235" t="str">
        <f t="shared" si="64"/>
        <v>#REF!</v>
      </c>
      <c r="X32" s="235" t="str">
        <f t="shared" si="64"/>
        <v>#REF!</v>
      </c>
    </row>
    <row r="33">
      <c r="A33" s="235" t="str">
        <f t="shared" ref="A33:O33" si="65">'Municipality Case Trends'!A37</f>
        <v>#REF!</v>
      </c>
      <c r="B33" s="235" t="str">
        <f t="shared" si="65"/>
        <v>#REF!</v>
      </c>
      <c r="C33" s="235" t="str">
        <f t="shared" si="65"/>
        <v>#REF!</v>
      </c>
      <c r="D33" s="235" t="str">
        <f t="shared" si="65"/>
        <v>#REF!</v>
      </c>
      <c r="E33" s="235" t="str">
        <f t="shared" si="65"/>
        <v>#REF!</v>
      </c>
      <c r="F33" s="235" t="str">
        <f t="shared" si="65"/>
        <v>#REF!</v>
      </c>
      <c r="G33" s="235" t="str">
        <f t="shared" si="65"/>
        <v>#REF!</v>
      </c>
      <c r="H33" s="235" t="str">
        <f t="shared" si="65"/>
        <v>#REF!</v>
      </c>
      <c r="I33" s="235" t="str">
        <f t="shared" si="65"/>
        <v>#REF!</v>
      </c>
      <c r="J33" s="235" t="str">
        <f t="shared" si="65"/>
        <v>#REF!</v>
      </c>
      <c r="K33" s="235" t="str">
        <f t="shared" si="65"/>
        <v>#REF!</v>
      </c>
      <c r="L33" s="235" t="str">
        <f t="shared" si="65"/>
        <v>#REF!</v>
      </c>
      <c r="M33" s="235" t="str">
        <f t="shared" si="65"/>
        <v>#REF!</v>
      </c>
      <c r="N33" s="235" t="str">
        <f t="shared" si="65"/>
        <v>#REF!</v>
      </c>
      <c r="O33" s="235" t="str">
        <f t="shared" si="65"/>
        <v>#REF!</v>
      </c>
      <c r="P33" s="235" t="str">
        <f t="shared" ref="P33:X33" si="66">#REF!</f>
        <v>#REF!</v>
      </c>
      <c r="Q33" s="235" t="str">
        <f t="shared" si="66"/>
        <v>#REF!</v>
      </c>
      <c r="R33" s="235" t="str">
        <f t="shared" si="66"/>
        <v>#REF!</v>
      </c>
      <c r="S33" s="235" t="str">
        <f t="shared" si="66"/>
        <v>#REF!</v>
      </c>
      <c r="T33" s="235" t="str">
        <f t="shared" si="66"/>
        <v>#REF!</v>
      </c>
      <c r="U33" s="235" t="str">
        <f t="shared" si="66"/>
        <v>#REF!</v>
      </c>
      <c r="V33" s="235" t="str">
        <f t="shared" si="66"/>
        <v>#REF!</v>
      </c>
      <c r="W33" s="235" t="str">
        <f t="shared" si="66"/>
        <v>#REF!</v>
      </c>
      <c r="X33" s="235" t="str">
        <f t="shared" si="66"/>
        <v>#REF!</v>
      </c>
    </row>
    <row r="34">
      <c r="A34" s="235" t="str">
        <f t="shared" ref="A34:O34" si="67">'Municipality Case Trends'!A38</f>
        <v>#REF!</v>
      </c>
      <c r="B34" s="235" t="str">
        <f t="shared" si="67"/>
        <v>#REF!</v>
      </c>
      <c r="C34" s="235" t="str">
        <f t="shared" si="67"/>
        <v>#REF!</v>
      </c>
      <c r="D34" s="235" t="str">
        <f t="shared" si="67"/>
        <v>#REF!</v>
      </c>
      <c r="E34" s="235" t="str">
        <f t="shared" si="67"/>
        <v>#REF!</v>
      </c>
      <c r="F34" s="235" t="str">
        <f t="shared" si="67"/>
        <v>#REF!</v>
      </c>
      <c r="G34" s="235" t="str">
        <f t="shared" si="67"/>
        <v>#REF!</v>
      </c>
      <c r="H34" s="235" t="str">
        <f t="shared" si="67"/>
        <v>#REF!</v>
      </c>
      <c r="I34" s="235" t="str">
        <f t="shared" si="67"/>
        <v>#REF!</v>
      </c>
      <c r="J34" s="235" t="str">
        <f t="shared" si="67"/>
        <v>#REF!</v>
      </c>
      <c r="K34" s="235" t="str">
        <f t="shared" si="67"/>
        <v>#REF!</v>
      </c>
      <c r="L34" s="235" t="str">
        <f t="shared" si="67"/>
        <v>#REF!</v>
      </c>
      <c r="M34" s="235" t="str">
        <f t="shared" si="67"/>
        <v>#REF!</v>
      </c>
      <c r="N34" s="235" t="str">
        <f t="shared" si="67"/>
        <v>#REF!</v>
      </c>
      <c r="O34" s="235" t="str">
        <f t="shared" si="67"/>
        <v>#REF!</v>
      </c>
      <c r="P34" s="235" t="str">
        <f t="shared" ref="P34:X34" si="68">#REF!</f>
        <v>#REF!</v>
      </c>
      <c r="Q34" s="235" t="str">
        <f t="shared" si="68"/>
        <v>#REF!</v>
      </c>
      <c r="R34" s="235" t="str">
        <f t="shared" si="68"/>
        <v>#REF!</v>
      </c>
      <c r="S34" s="235" t="str">
        <f t="shared" si="68"/>
        <v>#REF!</v>
      </c>
      <c r="T34" s="235" t="str">
        <f t="shared" si="68"/>
        <v>#REF!</v>
      </c>
      <c r="U34" s="235" t="str">
        <f t="shared" si="68"/>
        <v>#REF!</v>
      </c>
      <c r="V34" s="235" t="str">
        <f t="shared" si="68"/>
        <v>#REF!</v>
      </c>
      <c r="W34" s="235" t="str">
        <f t="shared" si="68"/>
        <v>#REF!</v>
      </c>
      <c r="X34" s="235" t="str">
        <f t="shared" si="68"/>
        <v>#REF!</v>
      </c>
    </row>
    <row r="35">
      <c r="A35" s="235" t="str">
        <f t="shared" ref="A35:O35" si="69">'Municipality Case Trends'!A39</f>
        <v>#REF!</v>
      </c>
      <c r="B35" s="235" t="str">
        <f t="shared" si="69"/>
        <v>#REF!</v>
      </c>
      <c r="C35" s="235" t="str">
        <f t="shared" si="69"/>
        <v>#REF!</v>
      </c>
      <c r="D35" s="235" t="str">
        <f t="shared" si="69"/>
        <v>#REF!</v>
      </c>
      <c r="E35" s="235" t="str">
        <f t="shared" si="69"/>
        <v>#REF!</v>
      </c>
      <c r="F35" s="235" t="str">
        <f t="shared" si="69"/>
        <v>#REF!</v>
      </c>
      <c r="G35" s="235" t="str">
        <f t="shared" si="69"/>
        <v>#REF!</v>
      </c>
      <c r="H35" s="235" t="str">
        <f t="shared" si="69"/>
        <v>#REF!</v>
      </c>
      <c r="I35" s="235" t="str">
        <f t="shared" si="69"/>
        <v>#REF!</v>
      </c>
      <c r="J35" s="235" t="str">
        <f t="shared" si="69"/>
        <v>#REF!</v>
      </c>
      <c r="K35" s="235" t="str">
        <f t="shared" si="69"/>
        <v>#REF!</v>
      </c>
      <c r="L35" s="235" t="str">
        <f t="shared" si="69"/>
        <v>#REF!</v>
      </c>
      <c r="M35" s="235" t="str">
        <f t="shared" si="69"/>
        <v>#REF!</v>
      </c>
      <c r="N35" s="235" t="str">
        <f t="shared" si="69"/>
        <v>#REF!</v>
      </c>
      <c r="O35" s="235" t="str">
        <f t="shared" si="69"/>
        <v>#REF!</v>
      </c>
      <c r="P35" s="235" t="str">
        <f t="shared" ref="P35:X35" si="70">#REF!</f>
        <v>#REF!</v>
      </c>
      <c r="Q35" s="235" t="str">
        <f t="shared" si="70"/>
        <v>#REF!</v>
      </c>
      <c r="R35" s="235" t="str">
        <f t="shared" si="70"/>
        <v>#REF!</v>
      </c>
      <c r="S35" s="235" t="str">
        <f t="shared" si="70"/>
        <v>#REF!</v>
      </c>
      <c r="T35" s="235" t="str">
        <f t="shared" si="70"/>
        <v>#REF!</v>
      </c>
      <c r="U35" s="235" t="str">
        <f t="shared" si="70"/>
        <v>#REF!</v>
      </c>
      <c r="V35" s="235" t="str">
        <f t="shared" si="70"/>
        <v>#REF!</v>
      </c>
      <c r="W35" s="235" t="str">
        <f t="shared" si="70"/>
        <v>#REF!</v>
      </c>
      <c r="X35" s="235" t="str">
        <f t="shared" si="70"/>
        <v>#REF!</v>
      </c>
    </row>
    <row r="36">
      <c r="A36" s="235" t="str">
        <f t="shared" ref="A36:O36" si="71">'Municipality Case Trends'!A40</f>
        <v>#REF!</v>
      </c>
      <c r="B36" s="235" t="str">
        <f t="shared" si="71"/>
        <v>#REF!</v>
      </c>
      <c r="C36" s="235" t="str">
        <f t="shared" si="71"/>
        <v>#REF!</v>
      </c>
      <c r="D36" s="235" t="str">
        <f t="shared" si="71"/>
        <v>#REF!</v>
      </c>
      <c r="E36" s="235" t="str">
        <f t="shared" si="71"/>
        <v>#REF!</v>
      </c>
      <c r="F36" s="235" t="str">
        <f t="shared" si="71"/>
        <v>#REF!</v>
      </c>
      <c r="G36" s="235" t="str">
        <f t="shared" si="71"/>
        <v>#REF!</v>
      </c>
      <c r="H36" s="235" t="str">
        <f t="shared" si="71"/>
        <v>#REF!</v>
      </c>
      <c r="I36" s="235" t="str">
        <f t="shared" si="71"/>
        <v>#REF!</v>
      </c>
      <c r="J36" s="235" t="str">
        <f t="shared" si="71"/>
        <v>#REF!</v>
      </c>
      <c r="K36" s="235" t="str">
        <f t="shared" si="71"/>
        <v>#REF!</v>
      </c>
      <c r="L36" s="235" t="str">
        <f t="shared" si="71"/>
        <v>#REF!</v>
      </c>
      <c r="M36" s="235" t="str">
        <f t="shared" si="71"/>
        <v>#REF!</v>
      </c>
      <c r="N36" s="235" t="str">
        <f t="shared" si="71"/>
        <v>#REF!</v>
      </c>
      <c r="O36" s="235" t="str">
        <f t="shared" si="71"/>
        <v>#REF!</v>
      </c>
      <c r="P36" s="235" t="str">
        <f t="shared" ref="P36:X36" si="72">#REF!</f>
        <v>#REF!</v>
      </c>
      <c r="Q36" s="235" t="str">
        <f t="shared" si="72"/>
        <v>#REF!</v>
      </c>
      <c r="R36" s="235" t="str">
        <f t="shared" si="72"/>
        <v>#REF!</v>
      </c>
      <c r="S36" s="235" t="str">
        <f t="shared" si="72"/>
        <v>#REF!</v>
      </c>
      <c r="T36" s="235" t="str">
        <f t="shared" si="72"/>
        <v>#REF!</v>
      </c>
      <c r="U36" s="235" t="str">
        <f t="shared" si="72"/>
        <v>#REF!</v>
      </c>
      <c r="V36" s="235" t="str">
        <f t="shared" si="72"/>
        <v>#REF!</v>
      </c>
      <c r="W36" s="235" t="str">
        <f t="shared" si="72"/>
        <v>#REF!</v>
      </c>
      <c r="X36" s="235" t="str">
        <f t="shared" si="72"/>
        <v>#REF!</v>
      </c>
    </row>
    <row r="37">
      <c r="A37" s="235" t="str">
        <f t="shared" ref="A37:O37" si="73">'Municipality Case Trends'!A41</f>
        <v>#REF!</v>
      </c>
      <c r="B37" s="235" t="str">
        <f t="shared" si="73"/>
        <v>#REF!</v>
      </c>
      <c r="C37" s="235" t="str">
        <f t="shared" si="73"/>
        <v>#REF!</v>
      </c>
      <c r="D37" s="235" t="str">
        <f t="shared" si="73"/>
        <v>#REF!</v>
      </c>
      <c r="E37" s="235" t="str">
        <f t="shared" si="73"/>
        <v>#REF!</v>
      </c>
      <c r="F37" s="235" t="str">
        <f t="shared" si="73"/>
        <v>#REF!</v>
      </c>
      <c r="G37" s="235" t="str">
        <f t="shared" si="73"/>
        <v>#REF!</v>
      </c>
      <c r="H37" s="235" t="str">
        <f t="shared" si="73"/>
        <v>#REF!</v>
      </c>
      <c r="I37" s="235" t="str">
        <f t="shared" si="73"/>
        <v>#REF!</v>
      </c>
      <c r="J37" s="235" t="str">
        <f t="shared" si="73"/>
        <v>#REF!</v>
      </c>
      <c r="K37" s="235" t="str">
        <f t="shared" si="73"/>
        <v>#REF!</v>
      </c>
      <c r="L37" s="235" t="str">
        <f t="shared" si="73"/>
        <v>#REF!</v>
      </c>
      <c r="M37" s="235" t="str">
        <f t="shared" si="73"/>
        <v>#REF!</v>
      </c>
      <c r="N37" s="235" t="str">
        <f t="shared" si="73"/>
        <v>#REF!</v>
      </c>
      <c r="O37" s="235" t="str">
        <f t="shared" si="73"/>
        <v>#REF!</v>
      </c>
      <c r="P37" s="235" t="str">
        <f t="shared" ref="P37:X37" si="74">#REF!</f>
        <v>#REF!</v>
      </c>
      <c r="Q37" s="235" t="str">
        <f t="shared" si="74"/>
        <v>#REF!</v>
      </c>
      <c r="R37" s="235" t="str">
        <f t="shared" si="74"/>
        <v>#REF!</v>
      </c>
      <c r="S37" s="235" t="str">
        <f t="shared" si="74"/>
        <v>#REF!</v>
      </c>
      <c r="T37" s="235" t="str">
        <f t="shared" si="74"/>
        <v>#REF!</v>
      </c>
      <c r="U37" s="235" t="str">
        <f t="shared" si="74"/>
        <v>#REF!</v>
      </c>
      <c r="V37" s="235" t="str">
        <f t="shared" si="74"/>
        <v>#REF!</v>
      </c>
      <c r="W37" s="235" t="str">
        <f t="shared" si="74"/>
        <v>#REF!</v>
      </c>
      <c r="X37" s="235" t="str">
        <f t="shared" si="74"/>
        <v>#REF!</v>
      </c>
    </row>
    <row r="38">
      <c r="A38" s="235" t="str">
        <f t="shared" ref="A38:O38" si="75">'Municipality Case Trends'!A42</f>
        <v>#REF!</v>
      </c>
      <c r="B38" s="235" t="str">
        <f t="shared" si="75"/>
        <v>#REF!</v>
      </c>
      <c r="C38" s="235" t="str">
        <f t="shared" si="75"/>
        <v>#REF!</v>
      </c>
      <c r="D38" s="235" t="str">
        <f t="shared" si="75"/>
        <v>#REF!</v>
      </c>
      <c r="E38" s="235" t="str">
        <f t="shared" si="75"/>
        <v>#REF!</v>
      </c>
      <c r="F38" s="235" t="str">
        <f t="shared" si="75"/>
        <v>#REF!</v>
      </c>
      <c r="G38" s="235" t="str">
        <f t="shared" si="75"/>
        <v>#REF!</v>
      </c>
      <c r="H38" s="235" t="str">
        <f t="shared" si="75"/>
        <v>#REF!</v>
      </c>
      <c r="I38" s="235" t="str">
        <f t="shared" si="75"/>
        <v>#REF!</v>
      </c>
      <c r="J38" s="235" t="str">
        <f t="shared" si="75"/>
        <v>#REF!</v>
      </c>
      <c r="K38" s="235" t="str">
        <f t="shared" si="75"/>
        <v>#REF!</v>
      </c>
      <c r="L38" s="235" t="str">
        <f t="shared" si="75"/>
        <v>#REF!</v>
      </c>
      <c r="M38" s="235" t="str">
        <f t="shared" si="75"/>
        <v>#REF!</v>
      </c>
      <c r="N38" s="235" t="str">
        <f t="shared" si="75"/>
        <v>#REF!</v>
      </c>
      <c r="O38" s="235" t="str">
        <f t="shared" si="75"/>
        <v>#REF!</v>
      </c>
      <c r="P38" s="235" t="str">
        <f t="shared" ref="P38:X38" si="76">#REF!</f>
        <v>#REF!</v>
      </c>
      <c r="Q38" s="235" t="str">
        <f t="shared" si="76"/>
        <v>#REF!</v>
      </c>
      <c r="R38" s="235" t="str">
        <f t="shared" si="76"/>
        <v>#REF!</v>
      </c>
      <c r="S38" s="235" t="str">
        <f t="shared" si="76"/>
        <v>#REF!</v>
      </c>
      <c r="T38" s="235" t="str">
        <f t="shared" si="76"/>
        <v>#REF!</v>
      </c>
      <c r="U38" s="235" t="str">
        <f t="shared" si="76"/>
        <v>#REF!</v>
      </c>
      <c r="V38" s="235" t="str">
        <f t="shared" si="76"/>
        <v>#REF!</v>
      </c>
      <c r="W38" s="235" t="str">
        <f t="shared" si="76"/>
        <v>#REF!</v>
      </c>
      <c r="X38" s="235" t="str">
        <f t="shared" si="76"/>
        <v>#REF!</v>
      </c>
    </row>
    <row r="39">
      <c r="A39" s="235" t="str">
        <f t="shared" ref="A39:O39" si="77">'Municipality Case Trends'!A43</f>
        <v>#REF!</v>
      </c>
      <c r="B39" s="235" t="str">
        <f t="shared" si="77"/>
        <v>#REF!</v>
      </c>
      <c r="C39" s="235" t="str">
        <f t="shared" si="77"/>
        <v>#REF!</v>
      </c>
      <c r="D39" s="235" t="str">
        <f t="shared" si="77"/>
        <v>#REF!</v>
      </c>
      <c r="E39" s="235" t="str">
        <f t="shared" si="77"/>
        <v>#REF!</v>
      </c>
      <c r="F39" s="235" t="str">
        <f t="shared" si="77"/>
        <v>#REF!</v>
      </c>
      <c r="G39" s="235" t="str">
        <f t="shared" si="77"/>
        <v>#REF!</v>
      </c>
      <c r="H39" s="235" t="str">
        <f t="shared" si="77"/>
        <v>#REF!</v>
      </c>
      <c r="I39" s="235" t="str">
        <f t="shared" si="77"/>
        <v>#REF!</v>
      </c>
      <c r="J39" s="235" t="str">
        <f t="shared" si="77"/>
        <v>#REF!</v>
      </c>
      <c r="K39" s="235" t="str">
        <f t="shared" si="77"/>
        <v>#REF!</v>
      </c>
      <c r="L39" s="235" t="str">
        <f t="shared" si="77"/>
        <v>#REF!</v>
      </c>
      <c r="M39" s="235" t="str">
        <f t="shared" si="77"/>
        <v>#REF!</v>
      </c>
      <c r="N39" s="235" t="str">
        <f t="shared" si="77"/>
        <v>#REF!</v>
      </c>
      <c r="O39" s="235" t="str">
        <f t="shared" si="77"/>
        <v>#REF!</v>
      </c>
      <c r="P39" s="235" t="str">
        <f t="shared" ref="P39:X39" si="78">#REF!</f>
        <v>#REF!</v>
      </c>
      <c r="Q39" s="235" t="str">
        <f t="shared" si="78"/>
        <v>#REF!</v>
      </c>
      <c r="R39" s="235" t="str">
        <f t="shared" si="78"/>
        <v>#REF!</v>
      </c>
      <c r="S39" s="235" t="str">
        <f t="shared" si="78"/>
        <v>#REF!</v>
      </c>
      <c r="T39" s="235" t="str">
        <f t="shared" si="78"/>
        <v>#REF!</v>
      </c>
      <c r="U39" s="235" t="str">
        <f t="shared" si="78"/>
        <v>#REF!</v>
      </c>
      <c r="V39" s="235" t="str">
        <f t="shared" si="78"/>
        <v>#REF!</v>
      </c>
      <c r="W39" s="235" t="str">
        <f t="shared" si="78"/>
        <v>#REF!</v>
      </c>
      <c r="X39" s="235" t="str">
        <f t="shared" si="78"/>
        <v>#REF!</v>
      </c>
    </row>
    <row r="40">
      <c r="A40" s="235" t="str">
        <f t="shared" ref="A40:O40" si="79">'Municipality Case Trends'!A44</f>
        <v>#REF!</v>
      </c>
      <c r="B40" s="235" t="str">
        <f t="shared" si="79"/>
        <v>#REF!</v>
      </c>
      <c r="C40" s="235" t="str">
        <f t="shared" si="79"/>
        <v>#REF!</v>
      </c>
      <c r="D40" s="235" t="str">
        <f t="shared" si="79"/>
        <v>#REF!</v>
      </c>
      <c r="E40" s="235" t="str">
        <f t="shared" si="79"/>
        <v>#REF!</v>
      </c>
      <c r="F40" s="235" t="str">
        <f t="shared" si="79"/>
        <v>#REF!</v>
      </c>
      <c r="G40" s="235" t="str">
        <f t="shared" si="79"/>
        <v>#REF!</v>
      </c>
      <c r="H40" s="235" t="str">
        <f t="shared" si="79"/>
        <v>#REF!</v>
      </c>
      <c r="I40" s="235" t="str">
        <f t="shared" si="79"/>
        <v>#REF!</v>
      </c>
      <c r="J40" s="235" t="str">
        <f t="shared" si="79"/>
        <v>#REF!</v>
      </c>
      <c r="K40" s="235" t="str">
        <f t="shared" si="79"/>
        <v>#REF!</v>
      </c>
      <c r="L40" s="235" t="str">
        <f t="shared" si="79"/>
        <v>#REF!</v>
      </c>
      <c r="M40" s="235" t="str">
        <f t="shared" si="79"/>
        <v>#REF!</v>
      </c>
      <c r="N40" s="235" t="str">
        <f t="shared" si="79"/>
        <v>#REF!</v>
      </c>
      <c r="O40" s="235" t="str">
        <f t="shared" si="79"/>
        <v>#REF!</v>
      </c>
      <c r="P40" s="235" t="str">
        <f t="shared" ref="P40:X40" si="80">#REF!</f>
        <v>#REF!</v>
      </c>
      <c r="Q40" s="235" t="str">
        <f t="shared" si="80"/>
        <v>#REF!</v>
      </c>
      <c r="R40" s="235" t="str">
        <f t="shared" si="80"/>
        <v>#REF!</v>
      </c>
      <c r="S40" s="235" t="str">
        <f t="shared" si="80"/>
        <v>#REF!</v>
      </c>
      <c r="T40" s="235" t="str">
        <f t="shared" si="80"/>
        <v>#REF!</v>
      </c>
      <c r="U40" s="235" t="str">
        <f t="shared" si="80"/>
        <v>#REF!</v>
      </c>
      <c r="V40" s="235" t="str">
        <f t="shared" si="80"/>
        <v>#REF!</v>
      </c>
      <c r="W40" s="235" t="str">
        <f t="shared" si="80"/>
        <v>#REF!</v>
      </c>
      <c r="X40" s="235" t="str">
        <f t="shared" si="80"/>
        <v>#REF!</v>
      </c>
    </row>
    <row r="41">
      <c r="A41" s="235" t="str">
        <f t="shared" ref="A41:O41" si="81">'Municipality Case Trends'!A45</f>
        <v>#REF!</v>
      </c>
      <c r="B41" s="235" t="str">
        <f t="shared" si="81"/>
        <v>#REF!</v>
      </c>
      <c r="C41" s="235" t="str">
        <f t="shared" si="81"/>
        <v>#REF!</v>
      </c>
      <c r="D41" s="235" t="str">
        <f t="shared" si="81"/>
        <v>#REF!</v>
      </c>
      <c r="E41" s="235" t="str">
        <f t="shared" si="81"/>
        <v>#REF!</v>
      </c>
      <c r="F41" s="235" t="str">
        <f t="shared" si="81"/>
        <v>#REF!</v>
      </c>
      <c r="G41" s="235" t="str">
        <f t="shared" si="81"/>
        <v>#REF!</v>
      </c>
      <c r="H41" s="235" t="str">
        <f t="shared" si="81"/>
        <v>#REF!</v>
      </c>
      <c r="I41" s="235" t="str">
        <f t="shared" si="81"/>
        <v>#REF!</v>
      </c>
      <c r="J41" s="235" t="str">
        <f t="shared" si="81"/>
        <v>#REF!</v>
      </c>
      <c r="K41" s="235" t="str">
        <f t="shared" si="81"/>
        <v>#REF!</v>
      </c>
      <c r="L41" s="235" t="str">
        <f t="shared" si="81"/>
        <v>#REF!</v>
      </c>
      <c r="M41" s="235" t="str">
        <f t="shared" si="81"/>
        <v>#REF!</v>
      </c>
      <c r="N41" s="235" t="str">
        <f t="shared" si="81"/>
        <v>#REF!</v>
      </c>
      <c r="O41" s="235" t="str">
        <f t="shared" si="81"/>
        <v>#REF!</v>
      </c>
      <c r="P41" s="235" t="str">
        <f t="shared" ref="P41:X41" si="82">#REF!</f>
        <v>#REF!</v>
      </c>
      <c r="Q41" s="235" t="str">
        <f t="shared" si="82"/>
        <v>#REF!</v>
      </c>
      <c r="R41" s="235" t="str">
        <f t="shared" si="82"/>
        <v>#REF!</v>
      </c>
      <c r="S41" s="235" t="str">
        <f t="shared" si="82"/>
        <v>#REF!</v>
      </c>
      <c r="T41" s="235" t="str">
        <f t="shared" si="82"/>
        <v>#REF!</v>
      </c>
      <c r="U41" s="235" t="str">
        <f t="shared" si="82"/>
        <v>#REF!</v>
      </c>
      <c r="V41" s="235" t="str">
        <f t="shared" si="82"/>
        <v>#REF!</v>
      </c>
      <c r="W41" s="235" t="str">
        <f t="shared" si="82"/>
        <v>#REF!</v>
      </c>
      <c r="X41" s="235" t="str">
        <f t="shared" si="82"/>
        <v>#REF!</v>
      </c>
    </row>
    <row r="42">
      <c r="A42" s="235" t="str">
        <f t="shared" ref="A42:O42" si="83">'Municipality Case Trends'!A46</f>
        <v>#REF!</v>
      </c>
      <c r="B42" s="235" t="str">
        <f t="shared" si="83"/>
        <v>#REF!</v>
      </c>
      <c r="C42" s="235" t="str">
        <f t="shared" si="83"/>
        <v>#REF!</v>
      </c>
      <c r="D42" s="235" t="str">
        <f t="shared" si="83"/>
        <v>#REF!</v>
      </c>
      <c r="E42" s="235" t="str">
        <f t="shared" si="83"/>
        <v>#REF!</v>
      </c>
      <c r="F42" s="235" t="str">
        <f t="shared" si="83"/>
        <v>#REF!</v>
      </c>
      <c r="G42" s="235" t="str">
        <f t="shared" si="83"/>
        <v>#REF!</v>
      </c>
      <c r="H42" s="235" t="str">
        <f t="shared" si="83"/>
        <v>#REF!</v>
      </c>
      <c r="I42" s="235" t="str">
        <f t="shared" si="83"/>
        <v>#REF!</v>
      </c>
      <c r="J42" s="235" t="str">
        <f t="shared" si="83"/>
        <v>#REF!</v>
      </c>
      <c r="K42" s="235" t="str">
        <f t="shared" si="83"/>
        <v>#REF!</v>
      </c>
      <c r="L42" s="235" t="str">
        <f t="shared" si="83"/>
        <v>#REF!</v>
      </c>
      <c r="M42" s="235" t="str">
        <f t="shared" si="83"/>
        <v>#REF!</v>
      </c>
      <c r="N42" s="235" t="str">
        <f t="shared" si="83"/>
        <v>#REF!</v>
      </c>
      <c r="O42" s="235" t="str">
        <f t="shared" si="83"/>
        <v>#REF!</v>
      </c>
      <c r="P42" s="235" t="str">
        <f t="shared" ref="P42:X42" si="84">#REF!</f>
        <v>#REF!</v>
      </c>
      <c r="Q42" s="235" t="str">
        <f t="shared" si="84"/>
        <v>#REF!</v>
      </c>
      <c r="R42" s="235" t="str">
        <f t="shared" si="84"/>
        <v>#REF!</v>
      </c>
      <c r="S42" s="235" t="str">
        <f t="shared" si="84"/>
        <v>#REF!</v>
      </c>
      <c r="T42" s="235" t="str">
        <f t="shared" si="84"/>
        <v>#REF!</v>
      </c>
      <c r="U42" s="235" t="str">
        <f t="shared" si="84"/>
        <v>#REF!</v>
      </c>
      <c r="V42" s="235" t="str">
        <f t="shared" si="84"/>
        <v>#REF!</v>
      </c>
      <c r="W42" s="235" t="str">
        <f t="shared" si="84"/>
        <v>#REF!</v>
      </c>
      <c r="X42" s="235" t="str">
        <f t="shared" si="84"/>
        <v>#REF!</v>
      </c>
    </row>
    <row r="43">
      <c r="A43" s="235" t="str">
        <f>#REF!</f>
        <v>#REF!</v>
      </c>
    </row>
    <row r="44">
      <c r="A44" s="235" t="str">
        <f>'Municipality Case Trends'!A4</f>
        <v>#REF!</v>
      </c>
    </row>
    <row r="45">
      <c r="A45" s="235" t="str">
        <f t="shared" ref="A45:A57" si="85">#REF!</f>
        <v>#REF!</v>
      </c>
    </row>
    <row r="46">
      <c r="A46" s="235" t="str">
        <f t="shared" si="85"/>
        <v>#REF!</v>
      </c>
    </row>
    <row r="47">
      <c r="A47" s="235" t="str">
        <f t="shared" si="85"/>
        <v>#REF!</v>
      </c>
    </row>
    <row r="48">
      <c r="A48" s="235" t="str">
        <f t="shared" si="85"/>
        <v>#REF!</v>
      </c>
    </row>
    <row r="49">
      <c r="A49" s="235" t="str">
        <f t="shared" si="85"/>
        <v>#REF!</v>
      </c>
    </row>
    <row r="50">
      <c r="A50" s="235" t="str">
        <f t="shared" si="85"/>
        <v>#REF!</v>
      </c>
    </row>
    <row r="51">
      <c r="A51" s="235" t="str">
        <f t="shared" si="85"/>
        <v>#REF!</v>
      </c>
    </row>
    <row r="52">
      <c r="A52" s="235" t="str">
        <f t="shared" si="85"/>
        <v>#REF!</v>
      </c>
    </row>
    <row r="53">
      <c r="A53" s="235" t="str">
        <f t="shared" si="85"/>
        <v>#REF!</v>
      </c>
    </row>
    <row r="54">
      <c r="A54" s="235" t="str">
        <f t="shared" si="85"/>
        <v>#REF!</v>
      </c>
    </row>
    <row r="55">
      <c r="A55" s="235" t="str">
        <f t="shared" si="85"/>
        <v>#REF!</v>
      </c>
    </row>
    <row r="56">
      <c r="A56" s="235" t="str">
        <f t="shared" si="85"/>
        <v>#REF!</v>
      </c>
    </row>
    <row r="57">
      <c r="A57" s="23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221254.0</v>
      </c>
      <c r="C3" s="42">
        <v>0.55</v>
      </c>
      <c r="D3" s="43">
        <v>19452.0</v>
      </c>
      <c r="E3" s="44">
        <v>0.54</v>
      </c>
      <c r="F3" s="45">
        <v>1732.0</v>
      </c>
      <c r="G3" s="42">
        <v>0.48</v>
      </c>
      <c r="H3" s="45">
        <v>652.0</v>
      </c>
      <c r="I3" s="46">
        <v>0.53</v>
      </c>
    </row>
    <row r="4" ht="14.25" customHeight="1">
      <c r="A4" s="40" t="s">
        <v>41</v>
      </c>
      <c r="B4" s="41">
        <v>180619.0</v>
      </c>
      <c r="C4" s="42">
        <v>0.45</v>
      </c>
      <c r="D4" s="43">
        <v>16445.0</v>
      </c>
      <c r="E4" s="44">
        <v>0.46</v>
      </c>
      <c r="F4" s="45">
        <v>1849.0</v>
      </c>
      <c r="G4" s="42">
        <v>0.52</v>
      </c>
      <c r="H4" s="45">
        <v>580.0</v>
      </c>
      <c r="I4" s="46">
        <v>0.47</v>
      </c>
    </row>
    <row r="5" ht="14.25" customHeight="1">
      <c r="A5" s="40" t="s">
        <v>42</v>
      </c>
      <c r="B5" s="41">
        <v>82.0</v>
      </c>
      <c r="C5" s="47" t="s">
        <v>43</v>
      </c>
      <c r="D5" s="43">
        <v>30.0</v>
      </c>
      <c r="E5" s="47" t="s">
        <v>43</v>
      </c>
      <c r="F5" s="45">
        <v>5.0</v>
      </c>
      <c r="G5" s="48" t="s">
        <v>43</v>
      </c>
      <c r="H5" s="45">
        <v>0.0</v>
      </c>
      <c r="I5" s="46">
        <v>0.0</v>
      </c>
    </row>
    <row r="6" ht="14.25" customHeight="1">
      <c r="A6" s="40" t="s">
        <v>44</v>
      </c>
      <c r="B6" s="41">
        <v>26559.0</v>
      </c>
      <c r="C6" s="47" t="s">
        <v>30</v>
      </c>
      <c r="D6" s="43">
        <v>448.0</v>
      </c>
      <c r="E6" s="47" t="s">
        <v>30</v>
      </c>
      <c r="F6" s="49">
        <v>9.0</v>
      </c>
      <c r="G6" s="48" t="s">
        <v>30</v>
      </c>
      <c r="H6" s="45">
        <v>0.0</v>
      </c>
      <c r="I6" s="50" t="s">
        <v>30</v>
      </c>
    </row>
    <row r="7" ht="15.0" customHeight="1">
      <c r="A7" s="51" t="s">
        <v>45</v>
      </c>
      <c r="B7" s="52"/>
      <c r="C7" s="53"/>
      <c r="D7" s="54"/>
      <c r="E7" s="55"/>
      <c r="F7" s="56"/>
      <c r="G7" s="57"/>
      <c r="H7" s="56"/>
      <c r="I7" s="57"/>
    </row>
    <row r="8" ht="15.0" customHeight="1">
      <c r="A8" s="40" t="s">
        <v>46</v>
      </c>
      <c r="B8" s="41">
        <v>10244.0</v>
      </c>
      <c r="C8" s="42">
        <v>0.02</v>
      </c>
      <c r="D8" s="58">
        <v>624.0</v>
      </c>
      <c r="E8" s="44">
        <v>0.02</v>
      </c>
      <c r="F8" s="59">
        <v>27.0</v>
      </c>
      <c r="G8" s="60">
        <v>0.01</v>
      </c>
      <c r="H8" s="59">
        <v>0.0</v>
      </c>
      <c r="I8" s="60">
        <v>0.0</v>
      </c>
    </row>
    <row r="9" ht="15.0" customHeight="1">
      <c r="A9" s="61">
        <v>43960.0</v>
      </c>
      <c r="B9" s="41">
        <v>12731.0</v>
      </c>
      <c r="C9" s="42">
        <v>0.03</v>
      </c>
      <c r="D9" s="58">
        <v>736.0</v>
      </c>
      <c r="E9" s="44">
        <v>0.02</v>
      </c>
      <c r="F9" s="59">
        <v>11.0</v>
      </c>
      <c r="G9" s="62" t="s">
        <v>43</v>
      </c>
      <c r="H9" s="59">
        <v>0.0</v>
      </c>
      <c r="I9" s="46">
        <v>0.0</v>
      </c>
    </row>
    <row r="10" ht="15.0" customHeight="1">
      <c r="A10" s="61">
        <v>44118.0</v>
      </c>
      <c r="B10" s="41">
        <v>12640.0</v>
      </c>
      <c r="C10" s="42">
        <v>0.03</v>
      </c>
      <c r="D10" s="58">
        <v>952.0</v>
      </c>
      <c r="E10" s="44">
        <v>0.02</v>
      </c>
      <c r="F10" s="59">
        <v>17.0</v>
      </c>
      <c r="G10" s="62" t="s">
        <v>43</v>
      </c>
      <c r="H10" s="59" t="s">
        <v>47</v>
      </c>
      <c r="I10" s="50" t="s">
        <v>30</v>
      </c>
    </row>
    <row r="11" ht="14.25" customHeight="1">
      <c r="A11" s="40" t="s">
        <v>48</v>
      </c>
      <c r="B11" s="41">
        <v>20606.0</v>
      </c>
      <c r="C11" s="42">
        <v>0.05</v>
      </c>
      <c r="D11" s="58">
        <v>1538.0</v>
      </c>
      <c r="E11" s="44">
        <v>0.04</v>
      </c>
      <c r="F11" s="59">
        <v>23.0</v>
      </c>
      <c r="G11" s="60">
        <v>0.01</v>
      </c>
      <c r="H11" s="59">
        <v>0.0</v>
      </c>
      <c r="I11" s="46">
        <v>0.0</v>
      </c>
    </row>
    <row r="12" ht="14.25" customHeight="1">
      <c r="A12" s="40" t="s">
        <v>49</v>
      </c>
      <c r="B12" s="41">
        <v>53611.0</v>
      </c>
      <c r="C12" s="42">
        <v>0.13</v>
      </c>
      <c r="D12" s="58">
        <v>4296.0</v>
      </c>
      <c r="E12" s="44">
        <v>0.12</v>
      </c>
      <c r="F12" s="59">
        <v>102.0</v>
      </c>
      <c r="G12" s="60">
        <v>0.03</v>
      </c>
      <c r="H12" s="59" t="s">
        <v>47</v>
      </c>
      <c r="I12" s="62" t="s">
        <v>30</v>
      </c>
    </row>
    <row r="13" ht="14.25" customHeight="1">
      <c r="A13" s="40" t="s">
        <v>50</v>
      </c>
      <c r="B13" s="41">
        <v>37854.0</v>
      </c>
      <c r="C13" s="42">
        <v>0.09</v>
      </c>
      <c r="D13" s="58">
        <v>3340.0</v>
      </c>
      <c r="E13" s="44">
        <v>0.09</v>
      </c>
      <c r="F13" s="59">
        <v>125.0</v>
      </c>
      <c r="G13" s="60">
        <v>0.03</v>
      </c>
      <c r="H13" s="59" t="s">
        <v>47</v>
      </c>
      <c r="I13" s="62" t="s">
        <v>30</v>
      </c>
    </row>
    <row r="14" ht="14.25" customHeight="1">
      <c r="A14" s="40" t="s">
        <v>51</v>
      </c>
      <c r="B14" s="41">
        <v>65893.0</v>
      </c>
      <c r="C14" s="42">
        <v>0.15</v>
      </c>
      <c r="D14" s="58">
        <v>5845.0</v>
      </c>
      <c r="E14" s="44">
        <v>0.16</v>
      </c>
      <c r="F14" s="59">
        <v>255.0</v>
      </c>
      <c r="G14" s="60">
        <v>0.07</v>
      </c>
      <c r="H14" s="59">
        <v>7.0</v>
      </c>
      <c r="I14" s="60">
        <v>0.01</v>
      </c>
    </row>
    <row r="15" ht="14.25" customHeight="1">
      <c r="A15" s="40" t="s">
        <v>52</v>
      </c>
      <c r="B15" s="41">
        <v>52796.0</v>
      </c>
      <c r="C15" s="42">
        <v>0.12</v>
      </c>
      <c r="D15" s="58">
        <v>5178.0</v>
      </c>
      <c r="E15" s="44">
        <v>0.14</v>
      </c>
      <c r="F15" s="59">
        <v>391.0</v>
      </c>
      <c r="G15" s="60">
        <v>0.11</v>
      </c>
      <c r="H15" s="59">
        <v>16.0</v>
      </c>
      <c r="I15" s="60">
        <v>0.01</v>
      </c>
    </row>
    <row r="16" ht="14.25" customHeight="1">
      <c r="A16" s="40" t="s">
        <v>53</v>
      </c>
      <c r="B16" s="41">
        <v>62145.0</v>
      </c>
      <c r="C16" s="42">
        <v>0.15</v>
      </c>
      <c r="D16" s="58">
        <v>5296.0</v>
      </c>
      <c r="E16" s="44">
        <v>0.14</v>
      </c>
      <c r="F16" s="59">
        <v>553.0</v>
      </c>
      <c r="G16" s="60">
        <v>0.15</v>
      </c>
      <c r="H16" s="59">
        <v>53.0</v>
      </c>
      <c r="I16" s="60">
        <v>0.04</v>
      </c>
    </row>
    <row r="17" ht="14.25" customHeight="1">
      <c r="A17" s="40" t="s">
        <v>54</v>
      </c>
      <c r="B17" s="41">
        <v>50657.0</v>
      </c>
      <c r="C17" s="42">
        <v>0.12</v>
      </c>
      <c r="D17" s="58">
        <v>3661.0</v>
      </c>
      <c r="E17" s="44">
        <v>0.1</v>
      </c>
      <c r="F17" s="59">
        <v>700.0</v>
      </c>
      <c r="G17" s="60">
        <v>0.19</v>
      </c>
      <c r="H17" s="59">
        <v>135.0</v>
      </c>
      <c r="I17" s="60">
        <v>0.11</v>
      </c>
    </row>
    <row r="18" ht="15.0" customHeight="1">
      <c r="A18" s="40" t="s">
        <v>55</v>
      </c>
      <c r="B18" s="41">
        <v>27120.0</v>
      </c>
      <c r="C18" s="42">
        <v>0.06</v>
      </c>
      <c r="D18" s="58">
        <v>2184.0</v>
      </c>
      <c r="E18" s="44">
        <v>0.06</v>
      </c>
      <c r="F18" s="59">
        <v>686.0</v>
      </c>
      <c r="G18" s="60">
        <v>0.19</v>
      </c>
      <c r="H18" s="59">
        <v>282.0</v>
      </c>
      <c r="I18" s="60">
        <v>0.23</v>
      </c>
    </row>
    <row r="19" ht="14.25" customHeight="1">
      <c r="A19" s="40" t="s">
        <v>56</v>
      </c>
      <c r="B19" s="41">
        <v>13386.0</v>
      </c>
      <c r="C19" s="42">
        <v>0.03</v>
      </c>
      <c r="D19" s="58">
        <v>1650.0</v>
      </c>
      <c r="E19" s="44">
        <v>0.05</v>
      </c>
      <c r="F19" s="59">
        <v>486.0</v>
      </c>
      <c r="G19" s="60">
        <v>0.14</v>
      </c>
      <c r="H19" s="59">
        <v>400.0</v>
      </c>
      <c r="I19" s="60">
        <v>0.32</v>
      </c>
    </row>
    <row r="20" ht="14.25" customHeight="1">
      <c r="A20" s="40" t="s">
        <v>57</v>
      </c>
      <c r="B20" s="41">
        <v>6228.0</v>
      </c>
      <c r="C20" s="42">
        <v>0.01</v>
      </c>
      <c r="D20" s="58">
        <v>1072.0</v>
      </c>
      <c r="E20" s="44">
        <v>0.03</v>
      </c>
      <c r="F20" s="59">
        <v>218.0</v>
      </c>
      <c r="G20" s="60">
        <v>0.06</v>
      </c>
      <c r="H20" s="59">
        <v>334.0</v>
      </c>
      <c r="I20" s="60">
        <v>0.27</v>
      </c>
    </row>
    <row r="21" ht="14.25" customHeight="1">
      <c r="A21" s="40" t="s">
        <v>44</v>
      </c>
      <c r="B21" s="41">
        <v>2603.0</v>
      </c>
      <c r="C21" s="47" t="s">
        <v>30</v>
      </c>
      <c r="D21" s="58" t="s">
        <v>47</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28855.0</v>
      </c>
      <c r="C23" s="42">
        <v>0.17</v>
      </c>
      <c r="D23" s="58">
        <v>12382.0</v>
      </c>
      <c r="E23" s="44">
        <v>0.42</v>
      </c>
      <c r="F23" s="45">
        <v>1007.0</v>
      </c>
      <c r="G23" s="46">
        <v>0.35</v>
      </c>
      <c r="H23" s="45">
        <v>117.0</v>
      </c>
      <c r="I23" s="46">
        <v>0.12</v>
      </c>
    </row>
    <row r="24" ht="14.25" customHeight="1">
      <c r="A24" s="63" t="s">
        <v>60</v>
      </c>
      <c r="B24" s="41">
        <v>3941.0</v>
      </c>
      <c r="C24" s="42">
        <v>0.02</v>
      </c>
      <c r="D24" s="58">
        <v>102.0</v>
      </c>
      <c r="E24" s="47" t="s">
        <v>43</v>
      </c>
      <c r="F24" s="45">
        <v>6.0</v>
      </c>
      <c r="G24" s="50" t="s">
        <v>43</v>
      </c>
      <c r="H24" s="45" t="s">
        <v>47</v>
      </c>
      <c r="I24" s="50" t="s">
        <v>30</v>
      </c>
    </row>
    <row r="25" ht="14.25" customHeight="1">
      <c r="A25" s="63" t="s">
        <v>61</v>
      </c>
      <c r="B25" s="41">
        <v>4005.0</v>
      </c>
      <c r="C25" s="42">
        <v>0.02</v>
      </c>
      <c r="D25" s="58">
        <v>555.0</v>
      </c>
      <c r="E25" s="44">
        <v>0.02</v>
      </c>
      <c r="F25" s="45">
        <v>56.0</v>
      </c>
      <c r="G25" s="46">
        <v>0.02</v>
      </c>
      <c r="H25" s="45">
        <v>14.0</v>
      </c>
      <c r="I25" s="46">
        <v>0.01</v>
      </c>
    </row>
    <row r="26" ht="14.25" customHeight="1">
      <c r="A26" s="63" t="s">
        <v>62</v>
      </c>
      <c r="B26" s="41">
        <v>11910.0</v>
      </c>
      <c r="C26" s="42">
        <v>0.07</v>
      </c>
      <c r="D26" s="58">
        <v>3226.0</v>
      </c>
      <c r="E26" s="44">
        <v>0.11</v>
      </c>
      <c r="F26" s="45">
        <v>344.0</v>
      </c>
      <c r="G26" s="46">
        <v>0.12</v>
      </c>
      <c r="H26" s="45">
        <v>66.0</v>
      </c>
      <c r="I26" s="46">
        <v>0.06</v>
      </c>
    </row>
    <row r="27" ht="14.25" customHeight="1">
      <c r="A27" s="63" t="s">
        <v>63</v>
      </c>
      <c r="B27" s="41">
        <v>499.0</v>
      </c>
      <c r="C27" s="48" t="s">
        <v>43</v>
      </c>
      <c r="D27" s="58">
        <v>0.0</v>
      </c>
      <c r="E27" s="44">
        <v>0.0</v>
      </c>
      <c r="F27" s="45">
        <v>0.0</v>
      </c>
      <c r="G27" s="46">
        <v>0.0</v>
      </c>
      <c r="H27" s="45">
        <v>0.0</v>
      </c>
      <c r="I27" s="46">
        <v>0.0</v>
      </c>
    </row>
    <row r="28" ht="14.25" customHeight="1">
      <c r="A28" s="63" t="s">
        <v>64</v>
      </c>
      <c r="B28" s="41">
        <v>102220.0</v>
      </c>
      <c r="C28" s="42">
        <v>0.61</v>
      </c>
      <c r="D28" s="58">
        <v>12518.0</v>
      </c>
      <c r="E28" s="44">
        <v>0.42</v>
      </c>
      <c r="F28" s="45">
        <v>1389.0</v>
      </c>
      <c r="G28" s="46">
        <v>0.48</v>
      </c>
      <c r="H28" s="45">
        <v>820.0</v>
      </c>
      <c r="I28" s="46">
        <v>0.81</v>
      </c>
    </row>
    <row r="29" ht="14.25" customHeight="1">
      <c r="A29" s="63" t="s">
        <v>65</v>
      </c>
      <c r="B29" s="41">
        <v>14651.0</v>
      </c>
      <c r="C29" s="42">
        <v>0.09</v>
      </c>
      <c r="D29" s="58">
        <v>497.0</v>
      </c>
      <c r="E29" s="44">
        <v>0.02</v>
      </c>
      <c r="F29" s="45">
        <v>62.0</v>
      </c>
      <c r="G29" s="46">
        <v>0.02</v>
      </c>
      <c r="H29" s="45">
        <v>0.0</v>
      </c>
      <c r="I29" s="46">
        <v>0.0</v>
      </c>
    </row>
    <row r="30" ht="14.25" customHeight="1">
      <c r="A30" s="63" t="s">
        <v>66</v>
      </c>
      <c r="B30" s="41">
        <v>141.0</v>
      </c>
      <c r="C30" s="47" t="s">
        <v>43</v>
      </c>
      <c r="D30" s="58">
        <v>251.0</v>
      </c>
      <c r="E30" s="44">
        <v>0.01</v>
      </c>
      <c r="F30" s="45">
        <v>12.0</v>
      </c>
      <c r="G30" s="48" t="s">
        <v>43</v>
      </c>
      <c r="H30" s="45">
        <v>0.0</v>
      </c>
      <c r="I30" s="46">
        <v>0.0</v>
      </c>
    </row>
    <row r="31" ht="14.25" customHeight="1">
      <c r="A31" s="63" t="s">
        <v>67</v>
      </c>
      <c r="B31" s="41">
        <v>3345.0</v>
      </c>
      <c r="C31" s="47" t="s">
        <v>30</v>
      </c>
      <c r="D31" s="58">
        <v>350.0</v>
      </c>
      <c r="E31" s="47" t="s">
        <v>30</v>
      </c>
      <c r="F31" s="45">
        <v>11.0</v>
      </c>
      <c r="G31" s="48" t="s">
        <v>30</v>
      </c>
      <c r="H31" s="45">
        <v>0.0</v>
      </c>
      <c r="I31" s="50" t="s">
        <v>30</v>
      </c>
    </row>
    <row r="32" ht="14.25" customHeight="1">
      <c r="A32" s="63" t="s">
        <v>68</v>
      </c>
      <c r="B32" s="41">
        <v>258947.0</v>
      </c>
      <c r="C32" s="47" t="s">
        <v>30</v>
      </c>
      <c r="D32" s="58">
        <v>6494.0</v>
      </c>
      <c r="E32" s="47" t="s">
        <v>30</v>
      </c>
      <c r="F32" s="45">
        <v>708.0</v>
      </c>
      <c r="G32" s="48" t="s">
        <v>30</v>
      </c>
      <c r="H32" s="45">
        <v>214.0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44146.0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44146.0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47</v>
      </c>
      <c r="F8" s="50">
        <v>0.0</v>
      </c>
      <c r="G8" s="50">
        <v>0.0</v>
      </c>
      <c r="H8" s="50">
        <v>0.0</v>
      </c>
      <c r="I8" s="50" t="s">
        <v>47</v>
      </c>
      <c r="J8" s="50">
        <v>0.0</v>
      </c>
      <c r="K8" s="50" t="s">
        <v>47</v>
      </c>
      <c r="L8" s="50">
        <v>0.0</v>
      </c>
      <c r="M8" s="50">
        <v>0.0</v>
      </c>
      <c r="N8" s="50" t="s">
        <v>47</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47</v>
      </c>
      <c r="C9" s="50" t="s">
        <v>47</v>
      </c>
      <c r="D9" s="50">
        <v>0.0</v>
      </c>
      <c r="E9" s="50" t="s">
        <v>47</v>
      </c>
      <c r="F9" s="50">
        <v>0.0</v>
      </c>
      <c r="G9" s="50" t="s">
        <v>47</v>
      </c>
      <c r="H9" s="50" t="s">
        <v>47</v>
      </c>
      <c r="I9" s="50" t="s">
        <v>47</v>
      </c>
      <c r="J9" s="50" t="s">
        <v>47</v>
      </c>
      <c r="K9" s="50" t="s">
        <v>47</v>
      </c>
      <c r="L9" s="50" t="s">
        <v>47</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47</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47</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47</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416.0</v>
      </c>
      <c r="K15" s="50">
        <v>277.0</v>
      </c>
      <c r="L15" s="50">
        <v>201.0</v>
      </c>
      <c r="M15" s="50">
        <v>295.0</v>
      </c>
      <c r="N15" s="96">
        <v>2527.0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314.0</v>
      </c>
      <c r="J16" s="50">
        <v>291.0</v>
      </c>
      <c r="K16" s="50">
        <v>199.0</v>
      </c>
      <c r="L16" s="50">
        <v>150.0</v>
      </c>
      <c r="M16" s="50">
        <v>217.0</v>
      </c>
      <c r="N16" s="96">
        <v>1992.0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252.0</v>
      </c>
      <c r="K17" s="50">
        <v>192.0</v>
      </c>
      <c r="L17" s="50">
        <v>147.0</v>
      </c>
      <c r="M17" s="50">
        <v>296.0</v>
      </c>
      <c r="N17" s="96">
        <v>1850.0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184.0</v>
      </c>
      <c r="I19" s="50">
        <v>174.0</v>
      </c>
      <c r="J19" s="50">
        <v>126.0</v>
      </c>
      <c r="K19" s="50">
        <v>112.0</v>
      </c>
      <c r="L19" s="50">
        <v>73.0</v>
      </c>
      <c r="M19" s="50">
        <v>112.0</v>
      </c>
      <c r="N19" s="96">
        <v>1092.0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47</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47</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47</v>
      </c>
      <c r="C26" s="50" t="s">
        <v>47</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75.0</v>
      </c>
      <c r="J37" s="97">
        <v>89.0</v>
      </c>
      <c r="K37" s="97">
        <v>50.0</v>
      </c>
      <c r="L37" s="97">
        <v>37.0</v>
      </c>
      <c r="M37" s="97">
        <v>49.0</v>
      </c>
      <c r="N37" s="97">
        <v>713.0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66.0</v>
      </c>
      <c r="L38" s="97">
        <v>37.0</v>
      </c>
      <c r="M38" s="97">
        <v>46.0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262.0</v>
      </c>
      <c r="G39" s="97">
        <v>106.0</v>
      </c>
      <c r="H39" s="97">
        <v>168.0</v>
      </c>
      <c r="I39" s="97">
        <v>152.0</v>
      </c>
      <c r="J39" s="97">
        <v>193.0</v>
      </c>
      <c r="K39" s="97">
        <v>106.0</v>
      </c>
      <c r="L39" s="97">
        <v>42.0</v>
      </c>
      <c r="M39" s="97">
        <v>38.0</v>
      </c>
      <c r="N39" s="97">
        <v>1225.0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231.0</v>
      </c>
      <c r="I40" s="97">
        <v>203.0</v>
      </c>
      <c r="J40" s="97">
        <v>236.0</v>
      </c>
      <c r="K40" s="97">
        <v>172.0</v>
      </c>
      <c r="L40" s="97">
        <v>66.0</v>
      </c>
      <c r="M40" s="97">
        <v>50.0</v>
      </c>
      <c r="N40" s="97">
        <v>1539.0</v>
      </c>
    </row>
    <row r="41">
      <c r="A41" s="94" t="s">
        <v>112</v>
      </c>
      <c r="B41" s="97">
        <v>43.0</v>
      </c>
      <c r="C41" s="97">
        <v>60.0</v>
      </c>
      <c r="D41" s="97">
        <v>93.0</v>
      </c>
      <c r="E41" s="97">
        <v>120.0</v>
      </c>
      <c r="F41" s="97">
        <v>279.0</v>
      </c>
      <c r="G41" s="97">
        <v>273.0</v>
      </c>
      <c r="H41" s="97">
        <v>485.0</v>
      </c>
      <c r="I41" s="97">
        <v>384.0</v>
      </c>
      <c r="J41" s="97">
        <v>347.0</v>
      </c>
      <c r="K41" s="97">
        <v>240.0</v>
      </c>
      <c r="L41" s="97">
        <v>115.0</v>
      </c>
      <c r="M41" s="97">
        <v>65.0</v>
      </c>
      <c r="N41" s="97">
        <v>2504.0</v>
      </c>
    </row>
    <row r="42">
      <c r="A42" s="94" t="s">
        <v>113</v>
      </c>
      <c r="B42" s="97">
        <v>60.0</v>
      </c>
      <c r="C42" s="97">
        <v>72.0</v>
      </c>
      <c r="D42" s="97">
        <v>122.0</v>
      </c>
      <c r="E42" s="97">
        <v>141.0</v>
      </c>
      <c r="F42" s="97">
        <v>314.0</v>
      </c>
      <c r="G42" s="97">
        <v>268.0</v>
      </c>
      <c r="H42" s="97">
        <v>459.0</v>
      </c>
      <c r="I42" s="97">
        <v>451.0</v>
      </c>
      <c r="J42" s="97">
        <v>417.0</v>
      </c>
      <c r="K42" s="97">
        <v>292.0</v>
      </c>
      <c r="L42" s="97">
        <v>154.0</v>
      </c>
      <c r="M42" s="97">
        <v>95.0</v>
      </c>
      <c r="N42" s="97">
        <v>2845.0</v>
      </c>
    </row>
    <row r="43">
      <c r="A43" s="94" t="s">
        <v>114</v>
      </c>
      <c r="B43" s="97">
        <v>65.0</v>
      </c>
      <c r="C43" s="97">
        <v>116.0</v>
      </c>
      <c r="D43" s="97">
        <v>152.0</v>
      </c>
      <c r="E43" s="97">
        <v>196.0</v>
      </c>
      <c r="F43" s="97">
        <v>398.0</v>
      </c>
      <c r="G43" s="97">
        <v>346.0</v>
      </c>
      <c r="H43" s="97">
        <v>595.0</v>
      </c>
      <c r="I43" s="97">
        <v>491.0</v>
      </c>
      <c r="J43" s="97">
        <v>583.0</v>
      </c>
      <c r="K43" s="97">
        <v>391.0</v>
      </c>
      <c r="L43" s="97">
        <v>207.0</v>
      </c>
      <c r="M43" s="97">
        <v>188.0</v>
      </c>
      <c r="N43" s="97">
        <v>3728.0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115</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116</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44146.0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117</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118</v>
      </c>
      <c r="F9" s="50">
        <v>0.0</v>
      </c>
      <c r="G9" s="50">
        <v>0.0</v>
      </c>
      <c r="H9" s="50">
        <v>0.0</v>
      </c>
      <c r="I9" s="50" t="s">
        <v>118</v>
      </c>
      <c r="J9" s="50">
        <v>0.0</v>
      </c>
      <c r="K9" s="50" t="s">
        <v>118</v>
      </c>
      <c r="L9" s="50">
        <v>0.0</v>
      </c>
      <c r="M9" s="50">
        <v>0.0</v>
      </c>
      <c r="N9" s="50" t="s">
        <v>118</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118</v>
      </c>
      <c r="C10" s="50" t="s">
        <v>118</v>
      </c>
      <c r="D10" s="50">
        <v>0.0</v>
      </c>
      <c r="E10" s="50" t="s">
        <v>118</v>
      </c>
      <c r="F10" s="50">
        <v>0.0</v>
      </c>
      <c r="G10" s="50" t="s">
        <v>118</v>
      </c>
      <c r="H10" s="50" t="s">
        <v>118</v>
      </c>
      <c r="I10" s="50" t="s">
        <v>118</v>
      </c>
      <c r="J10" s="50" t="s">
        <v>118</v>
      </c>
      <c r="K10" s="50" t="s">
        <v>118</v>
      </c>
      <c r="L10" s="50" t="s">
        <v>118</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118</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118</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118</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445.0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136.0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118</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118</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118</v>
      </c>
      <c r="C27" s="50" t="s">
        <v>118</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60.0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51.0</v>
      </c>
      <c r="L39" s="97">
        <v>49.0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276.0</v>
      </c>
      <c r="G40" s="97">
        <v>138.0</v>
      </c>
      <c r="H40" s="97">
        <v>124.0</v>
      </c>
      <c r="I40" s="97">
        <v>122.0</v>
      </c>
      <c r="J40" s="97">
        <v>128.0</v>
      </c>
      <c r="K40" s="97">
        <v>82.0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171.0</v>
      </c>
      <c r="I41" s="97">
        <v>163.0</v>
      </c>
      <c r="J41" s="97">
        <v>157.0</v>
      </c>
      <c r="K41" s="97">
        <v>132.0</v>
      </c>
      <c r="L41" s="97">
        <v>88.0</v>
      </c>
      <c r="M41" s="97">
        <v>103.0</v>
      </c>
      <c r="N41" s="97">
        <v>146.0</v>
      </c>
    </row>
    <row r="42">
      <c r="A42" s="94" t="s">
        <v>112</v>
      </c>
      <c r="B42" s="97">
        <v>79.0</v>
      </c>
      <c r="C42" s="97">
        <v>109.0</v>
      </c>
      <c r="D42" s="97">
        <v>158.0</v>
      </c>
      <c r="E42" s="97">
        <v>224.0</v>
      </c>
      <c r="F42" s="97">
        <v>294.0</v>
      </c>
      <c r="G42" s="97">
        <v>356.0</v>
      </c>
      <c r="H42" s="97">
        <v>358.0</v>
      </c>
      <c r="I42" s="97">
        <v>308.0</v>
      </c>
      <c r="J42" s="97">
        <v>231.0</v>
      </c>
      <c r="K42" s="97">
        <v>185.0</v>
      </c>
      <c r="L42" s="97">
        <v>153.0</v>
      </c>
      <c r="M42" s="97">
        <v>133.0</v>
      </c>
      <c r="N42" s="97">
        <v>237.0</v>
      </c>
    </row>
    <row r="43">
      <c r="A43" s="94" t="s">
        <v>113</v>
      </c>
      <c r="B43" s="97">
        <v>110.0</v>
      </c>
      <c r="C43" s="97">
        <v>131.0</v>
      </c>
      <c r="D43" s="97">
        <v>207.0</v>
      </c>
      <c r="E43" s="97">
        <v>264.0</v>
      </c>
      <c r="F43" s="97">
        <v>331.0</v>
      </c>
      <c r="G43" s="97">
        <v>350.0</v>
      </c>
      <c r="H43" s="97">
        <v>339.0</v>
      </c>
      <c r="I43" s="97">
        <v>361.0</v>
      </c>
      <c r="J43" s="97">
        <v>277.0</v>
      </c>
      <c r="K43" s="97">
        <v>225.0</v>
      </c>
      <c r="L43" s="97">
        <v>204.0</v>
      </c>
      <c r="M43" s="97">
        <v>195.0</v>
      </c>
      <c r="N43" s="97">
        <v>269.0</v>
      </c>
    </row>
    <row r="44">
      <c r="A44" s="94" t="s">
        <v>114</v>
      </c>
      <c r="B44" s="97">
        <v>119.0</v>
      </c>
      <c r="C44" s="97">
        <v>211.0</v>
      </c>
      <c r="D44" s="97">
        <v>257.0</v>
      </c>
      <c r="E44" s="97">
        <v>366.0</v>
      </c>
      <c r="F44" s="97">
        <v>420.0</v>
      </c>
      <c r="G44" s="97">
        <v>452.0</v>
      </c>
      <c r="H44" s="97">
        <v>440.0</v>
      </c>
      <c r="I44" s="97">
        <v>394.0</v>
      </c>
      <c r="J44" s="97">
        <v>388.0</v>
      </c>
      <c r="K44" s="97">
        <v>301.0</v>
      </c>
      <c r="L44" s="97">
        <v>275.0</v>
      </c>
      <c r="M44" s="97">
        <v>386.0</v>
      </c>
      <c r="N44" s="97">
        <v>353.0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119</v>
      </c>
      <c r="H1" s="76"/>
      <c r="I1" s="76"/>
      <c r="J1" s="76"/>
      <c r="K1" s="76"/>
      <c r="L1" s="77"/>
    </row>
    <row r="2">
      <c r="A2" s="81" t="s">
        <v>74</v>
      </c>
      <c r="F2" s="78"/>
      <c r="G2" s="78"/>
      <c r="H2" s="78"/>
      <c r="I2" s="78"/>
      <c r="J2" s="78"/>
      <c r="K2" s="78"/>
      <c r="L2" s="82"/>
    </row>
    <row r="3">
      <c r="A3" s="81" t="s">
        <v>0</v>
      </c>
      <c r="B3" s="83">
        <v>44146.0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120</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121</v>
      </c>
      <c r="G7" s="104" t="s">
        <v>64</v>
      </c>
      <c r="H7" s="104" t="s">
        <v>65</v>
      </c>
      <c r="I7" s="104" t="s">
        <v>66</v>
      </c>
      <c r="J7" s="104" t="s">
        <v>67</v>
      </c>
      <c r="K7" s="104" t="s">
        <v>68</v>
      </c>
      <c r="L7" s="104" t="s">
        <v>78</v>
      </c>
    </row>
    <row r="8">
      <c r="A8" s="94" t="s">
        <v>79</v>
      </c>
      <c r="B8" s="50">
        <v>0.0</v>
      </c>
      <c r="C8" s="50">
        <v>0.0</v>
      </c>
      <c r="D8" s="50">
        <v>0.0</v>
      </c>
      <c r="E8" s="50">
        <v>0.0</v>
      </c>
      <c r="F8" s="50">
        <v>0.0</v>
      </c>
      <c r="G8" s="50" t="s">
        <v>47</v>
      </c>
      <c r="H8" s="50" t="s">
        <v>47</v>
      </c>
      <c r="I8" s="50">
        <v>0.0</v>
      </c>
      <c r="J8" s="50">
        <v>0.0</v>
      </c>
      <c r="K8" s="50">
        <v>0.0</v>
      </c>
      <c r="L8" s="50" t="s">
        <v>47</v>
      </c>
    </row>
    <row r="9">
      <c r="A9" s="94" t="s">
        <v>80</v>
      </c>
      <c r="B9" s="50" t="s">
        <v>47</v>
      </c>
      <c r="C9" s="50">
        <v>0.0</v>
      </c>
      <c r="D9" s="50" t="s">
        <v>47</v>
      </c>
      <c r="E9" s="50">
        <v>0.0</v>
      </c>
      <c r="F9" s="50">
        <v>0.0</v>
      </c>
      <c r="G9" s="50">
        <v>9.0</v>
      </c>
      <c r="H9" s="50" t="s">
        <v>47</v>
      </c>
      <c r="I9" s="50">
        <v>0.0</v>
      </c>
      <c r="J9" s="50">
        <v>0.0</v>
      </c>
      <c r="K9" s="50" t="s">
        <v>47</v>
      </c>
      <c r="L9" s="50">
        <v>16.0</v>
      </c>
    </row>
    <row r="10">
      <c r="A10" s="94" t="s">
        <v>81</v>
      </c>
      <c r="B10" s="50">
        <v>5.0</v>
      </c>
      <c r="C10" s="50">
        <v>0.0</v>
      </c>
      <c r="D10" s="50">
        <v>0.0</v>
      </c>
      <c r="E10" s="50" t="s">
        <v>47</v>
      </c>
      <c r="F10" s="50">
        <v>0.0</v>
      </c>
      <c r="G10" s="50">
        <v>26.0</v>
      </c>
      <c r="H10" s="50">
        <v>0.0</v>
      </c>
      <c r="I10" s="50">
        <v>0.0</v>
      </c>
      <c r="J10" s="50">
        <v>0.0</v>
      </c>
      <c r="K10" s="50">
        <v>33.0</v>
      </c>
      <c r="L10" s="50">
        <v>66.0</v>
      </c>
    </row>
    <row r="11">
      <c r="A11" s="94" t="s">
        <v>82</v>
      </c>
      <c r="B11" s="50">
        <v>26.0</v>
      </c>
      <c r="C11" s="50" t="s">
        <v>47</v>
      </c>
      <c r="D11" s="50" t="s">
        <v>47</v>
      </c>
      <c r="E11" s="50">
        <v>17.0</v>
      </c>
      <c r="F11" s="50">
        <v>0.0</v>
      </c>
      <c r="G11" s="50">
        <v>85.0</v>
      </c>
      <c r="H11" s="50" t="s">
        <v>47</v>
      </c>
      <c r="I11" s="50">
        <v>0.0</v>
      </c>
      <c r="J11" s="50" t="s">
        <v>47</v>
      </c>
      <c r="K11" s="50">
        <v>78.0</v>
      </c>
      <c r="L11" s="50">
        <v>213.0</v>
      </c>
    </row>
    <row r="12">
      <c r="A12" s="94" t="s">
        <v>83</v>
      </c>
      <c r="B12" s="50">
        <v>85.0</v>
      </c>
      <c r="C12" s="50" t="s">
        <v>47</v>
      </c>
      <c r="D12" s="50" t="s">
        <v>47</v>
      </c>
      <c r="E12" s="50">
        <v>56.0</v>
      </c>
      <c r="F12" s="50">
        <v>0.0</v>
      </c>
      <c r="G12" s="50">
        <v>256.0</v>
      </c>
      <c r="H12" s="50">
        <v>5.0</v>
      </c>
      <c r="I12" s="50" t="s">
        <v>47</v>
      </c>
      <c r="J12" s="50" t="s">
        <v>47</v>
      </c>
      <c r="K12" s="50">
        <v>216.0</v>
      </c>
      <c r="L12" s="50">
        <v>625.0</v>
      </c>
    </row>
    <row r="13">
      <c r="A13" s="94" t="s">
        <v>84</v>
      </c>
      <c r="B13" s="50">
        <v>502.0</v>
      </c>
      <c r="C13" s="50">
        <v>8.0</v>
      </c>
      <c r="D13" s="50">
        <v>28.0</v>
      </c>
      <c r="E13" s="50">
        <v>165.0</v>
      </c>
      <c r="F13" s="50">
        <v>0.0</v>
      </c>
      <c r="G13" s="50">
        <v>764.0</v>
      </c>
      <c r="H13" s="50">
        <v>10.0</v>
      </c>
      <c r="I13" s="50">
        <v>5.0</v>
      </c>
      <c r="J13" s="50">
        <v>13.0</v>
      </c>
      <c r="K13" s="50">
        <v>335.0</v>
      </c>
      <c r="L13" s="96">
        <v>1830.0</v>
      </c>
    </row>
    <row r="14">
      <c r="A14" s="94" t="s">
        <v>85</v>
      </c>
      <c r="B14" s="50">
        <v>743.0</v>
      </c>
      <c r="C14" s="50">
        <v>11.0</v>
      </c>
      <c r="D14" s="50">
        <v>24.0</v>
      </c>
      <c r="E14" s="50">
        <v>219.0</v>
      </c>
      <c r="F14" s="50">
        <v>0.0</v>
      </c>
      <c r="G14" s="50">
        <v>604.0</v>
      </c>
      <c r="H14" s="50">
        <v>10.0</v>
      </c>
      <c r="I14" s="50">
        <v>10.0</v>
      </c>
      <c r="J14" s="50">
        <v>24.0</v>
      </c>
      <c r="K14" s="50">
        <v>290.0</v>
      </c>
      <c r="L14" s="96">
        <v>1935.0</v>
      </c>
    </row>
    <row r="15">
      <c r="A15" s="94" t="s">
        <v>86</v>
      </c>
      <c r="B15" s="50">
        <v>946.0</v>
      </c>
      <c r="C15" s="50">
        <v>10.0</v>
      </c>
      <c r="D15" s="50">
        <v>23.0</v>
      </c>
      <c r="E15" s="50">
        <v>278.0</v>
      </c>
      <c r="F15" s="50">
        <v>0.0</v>
      </c>
      <c r="G15" s="50">
        <v>720.0</v>
      </c>
      <c r="H15" s="50">
        <v>21.0</v>
      </c>
      <c r="I15" s="50">
        <v>14.0</v>
      </c>
      <c r="J15" s="50">
        <v>37.0</v>
      </c>
      <c r="K15" s="50">
        <v>478.0</v>
      </c>
      <c r="L15" s="96">
        <v>2527.0</v>
      </c>
    </row>
    <row r="16">
      <c r="A16" s="94" t="s">
        <v>87</v>
      </c>
      <c r="B16" s="50">
        <v>748.0</v>
      </c>
      <c r="C16" s="50">
        <v>6.0</v>
      </c>
      <c r="D16" s="50">
        <v>42.0</v>
      </c>
      <c r="E16" s="50">
        <v>230.0</v>
      </c>
      <c r="F16" s="50">
        <v>0.0</v>
      </c>
      <c r="G16" s="50">
        <v>480.0</v>
      </c>
      <c r="H16" s="50">
        <v>18.0</v>
      </c>
      <c r="I16" s="50">
        <v>7.0</v>
      </c>
      <c r="J16" s="50">
        <v>26.0</v>
      </c>
      <c r="K16" s="50">
        <v>435.0</v>
      </c>
      <c r="L16" s="96">
        <v>1992.0</v>
      </c>
    </row>
    <row r="17">
      <c r="A17" s="94" t="s">
        <v>88</v>
      </c>
      <c r="B17" s="50">
        <v>702.0</v>
      </c>
      <c r="C17" s="50">
        <v>8.0</v>
      </c>
      <c r="D17" s="50">
        <v>26.0</v>
      </c>
      <c r="E17" s="50">
        <v>203.0</v>
      </c>
      <c r="F17" s="50">
        <v>0.0</v>
      </c>
      <c r="G17" s="50">
        <v>571.0</v>
      </c>
      <c r="H17" s="50">
        <v>26.0</v>
      </c>
      <c r="I17" s="50" t="s">
        <v>47</v>
      </c>
      <c r="J17" s="50">
        <v>19.0</v>
      </c>
      <c r="K17" s="50">
        <v>292.0</v>
      </c>
      <c r="L17" s="96">
        <v>1850.0</v>
      </c>
    </row>
    <row r="18">
      <c r="A18" s="94" t="s">
        <v>89</v>
      </c>
      <c r="B18" s="50">
        <v>619.0</v>
      </c>
      <c r="C18" s="50" t="s">
        <v>47</v>
      </c>
      <c r="D18" s="50">
        <v>37.0</v>
      </c>
      <c r="E18" s="50">
        <v>165.0</v>
      </c>
      <c r="F18" s="50">
        <v>0.0</v>
      </c>
      <c r="G18" s="50">
        <v>406.0</v>
      </c>
      <c r="H18" s="50">
        <v>26.0</v>
      </c>
      <c r="I18" s="50">
        <v>5.0</v>
      </c>
      <c r="J18" s="50">
        <v>9.0</v>
      </c>
      <c r="K18" s="50">
        <v>183.0</v>
      </c>
      <c r="L18" s="96">
        <v>1453.0</v>
      </c>
    </row>
    <row r="19">
      <c r="A19" s="94" t="s">
        <v>90</v>
      </c>
      <c r="B19" s="50">
        <v>495.0</v>
      </c>
      <c r="C19" s="50" t="s">
        <v>47</v>
      </c>
      <c r="D19" s="50">
        <v>27.0</v>
      </c>
      <c r="E19" s="50">
        <v>122.0</v>
      </c>
      <c r="F19" s="50">
        <v>0.0</v>
      </c>
      <c r="G19" s="50">
        <v>300.0</v>
      </c>
      <c r="H19" s="50">
        <v>19.0</v>
      </c>
      <c r="I19" s="50">
        <v>6.0</v>
      </c>
      <c r="J19" s="50">
        <v>6.0</v>
      </c>
      <c r="K19" s="50">
        <v>116.0</v>
      </c>
      <c r="L19" s="96">
        <v>1092.0</v>
      </c>
    </row>
    <row r="20">
      <c r="A20" s="94" t="s">
        <v>91</v>
      </c>
      <c r="B20" s="50">
        <v>417.0</v>
      </c>
      <c r="C20" s="50" t="s">
        <v>47</v>
      </c>
      <c r="D20" s="50">
        <v>13.0</v>
      </c>
      <c r="E20" s="50">
        <v>97.0</v>
      </c>
      <c r="F20" s="50">
        <v>0.0</v>
      </c>
      <c r="G20" s="50">
        <v>187.0</v>
      </c>
      <c r="H20" s="50">
        <v>10.0</v>
      </c>
      <c r="I20" s="50">
        <v>6.0</v>
      </c>
      <c r="J20" s="50" t="s">
        <v>47</v>
      </c>
      <c r="K20" s="50">
        <v>96.0</v>
      </c>
      <c r="L20" s="50">
        <v>834.0</v>
      </c>
    </row>
    <row r="21">
      <c r="A21" s="94" t="s">
        <v>92</v>
      </c>
      <c r="B21" s="50">
        <v>326.0</v>
      </c>
      <c r="C21" s="50">
        <v>0.0</v>
      </c>
      <c r="D21" s="50">
        <v>8.0</v>
      </c>
      <c r="E21" s="50">
        <v>74.0</v>
      </c>
      <c r="F21" s="50">
        <v>0.0</v>
      </c>
      <c r="G21" s="50">
        <v>127.0</v>
      </c>
      <c r="H21" s="50" t="s">
        <v>47</v>
      </c>
      <c r="I21" s="50" t="s">
        <v>47</v>
      </c>
      <c r="J21" s="50" t="s">
        <v>47</v>
      </c>
      <c r="K21" s="50">
        <v>67.0</v>
      </c>
      <c r="L21" s="50">
        <v>610.0</v>
      </c>
    </row>
    <row r="22">
      <c r="A22" s="94" t="s">
        <v>93</v>
      </c>
      <c r="B22" s="50">
        <v>195.0</v>
      </c>
      <c r="C22" s="50" t="s">
        <v>47</v>
      </c>
      <c r="D22" s="50">
        <v>13.0</v>
      </c>
      <c r="E22" s="50">
        <v>48.0</v>
      </c>
      <c r="F22" s="50">
        <v>0.0</v>
      </c>
      <c r="G22" s="50">
        <v>135.0</v>
      </c>
      <c r="H22" s="50">
        <v>8.0</v>
      </c>
      <c r="I22" s="50" t="s">
        <v>47</v>
      </c>
      <c r="J22" s="50" t="s">
        <v>47</v>
      </c>
      <c r="K22" s="50">
        <v>53.0</v>
      </c>
      <c r="L22" s="50">
        <v>460.0</v>
      </c>
    </row>
    <row r="23">
      <c r="A23" s="94" t="s">
        <v>94</v>
      </c>
      <c r="B23" s="50">
        <v>157.0</v>
      </c>
      <c r="C23" s="50" t="s">
        <v>47</v>
      </c>
      <c r="D23" s="50" t="s">
        <v>47</v>
      </c>
      <c r="E23" s="50">
        <v>33.0</v>
      </c>
      <c r="F23" s="50">
        <v>0.0</v>
      </c>
      <c r="G23" s="50">
        <v>107.0</v>
      </c>
      <c r="H23" s="50" t="s">
        <v>47</v>
      </c>
      <c r="I23" s="50">
        <v>0.0</v>
      </c>
      <c r="J23" s="50" t="s">
        <v>47</v>
      </c>
      <c r="K23" s="50">
        <v>48.0</v>
      </c>
      <c r="L23" s="50">
        <v>353.0</v>
      </c>
    </row>
    <row r="24">
      <c r="A24" s="94" t="s">
        <v>95</v>
      </c>
      <c r="B24" s="50">
        <v>141.0</v>
      </c>
      <c r="C24" s="50" t="s">
        <v>47</v>
      </c>
      <c r="D24" s="50" t="s">
        <v>47</v>
      </c>
      <c r="E24" s="50">
        <v>48.0</v>
      </c>
      <c r="F24" s="50">
        <v>0.0</v>
      </c>
      <c r="G24" s="50">
        <v>118.0</v>
      </c>
      <c r="H24" s="50" t="s">
        <v>47</v>
      </c>
      <c r="I24" s="50">
        <v>6.0</v>
      </c>
      <c r="J24" s="50" t="s">
        <v>47</v>
      </c>
      <c r="K24" s="50">
        <v>32.0</v>
      </c>
      <c r="L24" s="50">
        <v>354.0</v>
      </c>
    </row>
    <row r="25">
      <c r="A25" s="94" t="s">
        <v>96</v>
      </c>
      <c r="B25" s="50">
        <v>107.0</v>
      </c>
      <c r="C25" s="50" t="s">
        <v>47</v>
      </c>
      <c r="D25" s="50">
        <v>11.0</v>
      </c>
      <c r="E25" s="50">
        <v>27.0</v>
      </c>
      <c r="F25" s="50">
        <v>0.0</v>
      </c>
      <c r="G25" s="50">
        <v>99.0</v>
      </c>
      <c r="H25" s="50" t="s">
        <v>47</v>
      </c>
      <c r="I25" s="50">
        <v>5.0</v>
      </c>
      <c r="J25" s="50" t="s">
        <v>47</v>
      </c>
      <c r="K25" s="50">
        <v>16.0</v>
      </c>
      <c r="L25" s="50">
        <v>271.0</v>
      </c>
    </row>
    <row r="26">
      <c r="A26" s="94" t="s">
        <v>97</v>
      </c>
      <c r="B26" s="50">
        <v>117.0</v>
      </c>
      <c r="C26" s="50" t="s">
        <v>47</v>
      </c>
      <c r="D26" s="50">
        <v>9.0</v>
      </c>
      <c r="E26" s="50">
        <v>29.0</v>
      </c>
      <c r="F26" s="50">
        <v>0.0</v>
      </c>
      <c r="G26" s="50">
        <v>156.0</v>
      </c>
      <c r="H26" s="50">
        <v>6.0</v>
      </c>
      <c r="I26" s="50" t="s">
        <v>47</v>
      </c>
      <c r="J26" s="50" t="s">
        <v>47</v>
      </c>
      <c r="K26" s="50">
        <v>18.0</v>
      </c>
      <c r="L26" s="50">
        <v>342.0</v>
      </c>
    </row>
    <row r="27">
      <c r="A27" s="94" t="s">
        <v>98</v>
      </c>
      <c r="B27" s="50">
        <v>141.0</v>
      </c>
      <c r="C27" s="50" t="s">
        <v>47</v>
      </c>
      <c r="D27" s="50">
        <v>6.0</v>
      </c>
      <c r="E27" s="50">
        <v>61.0</v>
      </c>
      <c r="F27" s="50">
        <v>0.0</v>
      </c>
      <c r="G27" s="50">
        <v>168.0</v>
      </c>
      <c r="H27" s="50">
        <v>8.0</v>
      </c>
      <c r="I27" s="50">
        <v>11.0</v>
      </c>
      <c r="J27" s="50">
        <v>5.0</v>
      </c>
      <c r="K27" s="50">
        <v>34.0</v>
      </c>
      <c r="L27" s="50">
        <v>436.0</v>
      </c>
    </row>
    <row r="28">
      <c r="A28" s="94" t="s">
        <v>99</v>
      </c>
      <c r="B28" s="50">
        <v>241.0</v>
      </c>
      <c r="C28" s="50" t="s">
        <v>47</v>
      </c>
      <c r="D28" s="50">
        <v>13.0</v>
      </c>
      <c r="E28" s="50">
        <v>89.0</v>
      </c>
      <c r="F28" s="50">
        <v>0.0</v>
      </c>
      <c r="G28" s="50">
        <v>212.0</v>
      </c>
      <c r="H28" s="50">
        <v>22.0</v>
      </c>
      <c r="I28" s="50">
        <v>12.0</v>
      </c>
      <c r="J28" s="50">
        <v>10.0</v>
      </c>
      <c r="K28" s="50">
        <v>47.0</v>
      </c>
      <c r="L28" s="50">
        <v>647.0</v>
      </c>
    </row>
    <row r="29">
      <c r="A29" s="94" t="s">
        <v>100</v>
      </c>
      <c r="B29" s="50">
        <v>308.0</v>
      </c>
      <c r="C29" s="50" t="s">
        <v>47</v>
      </c>
      <c r="D29" s="50">
        <v>19.0</v>
      </c>
      <c r="E29" s="50">
        <v>75.0</v>
      </c>
      <c r="F29" s="50">
        <v>0.0</v>
      </c>
      <c r="G29" s="50">
        <v>204.0</v>
      </c>
      <c r="H29" s="50">
        <v>15.0</v>
      </c>
      <c r="I29" s="50">
        <v>9.0</v>
      </c>
      <c r="J29" s="50">
        <v>7.0</v>
      </c>
      <c r="K29" s="50">
        <v>47.0</v>
      </c>
      <c r="L29" s="50">
        <v>685.0</v>
      </c>
    </row>
    <row r="30">
      <c r="A30" s="94" t="s">
        <v>101</v>
      </c>
      <c r="B30" s="50">
        <v>324.0</v>
      </c>
      <c r="C30" s="50" t="s">
        <v>47</v>
      </c>
      <c r="D30" s="50">
        <v>15.0</v>
      </c>
      <c r="E30" s="50">
        <v>82.0</v>
      </c>
      <c r="F30" s="50">
        <v>0.0</v>
      </c>
      <c r="G30" s="50">
        <v>202.0</v>
      </c>
      <c r="H30" s="50">
        <v>7.0</v>
      </c>
      <c r="I30" s="50">
        <v>8.0</v>
      </c>
      <c r="J30" s="50" t="s">
        <v>47</v>
      </c>
      <c r="K30" s="50">
        <v>53.0</v>
      </c>
      <c r="L30" s="50">
        <v>697.0</v>
      </c>
    </row>
    <row r="31">
      <c r="A31" s="94" t="s">
        <v>102</v>
      </c>
      <c r="B31" s="50">
        <v>304.0</v>
      </c>
      <c r="C31" s="50">
        <v>0.0</v>
      </c>
      <c r="D31" s="50">
        <v>8.0</v>
      </c>
      <c r="E31" s="50">
        <v>41.0</v>
      </c>
      <c r="F31" s="50">
        <v>0.0</v>
      </c>
      <c r="G31" s="50">
        <v>189.0</v>
      </c>
      <c r="H31" s="50">
        <v>9.0</v>
      </c>
      <c r="I31" s="50">
        <v>7.0</v>
      </c>
      <c r="J31" s="50" t="s">
        <v>47</v>
      </c>
      <c r="K31" s="50">
        <v>51.0</v>
      </c>
      <c r="L31" s="50">
        <v>612.0</v>
      </c>
    </row>
    <row r="32">
      <c r="A32" s="94" t="s">
        <v>103</v>
      </c>
      <c r="B32" s="50">
        <v>302.0</v>
      </c>
      <c r="C32" s="50" t="s">
        <v>47</v>
      </c>
      <c r="D32" s="50">
        <v>11.0</v>
      </c>
      <c r="E32" s="50">
        <v>44.0</v>
      </c>
      <c r="F32" s="50">
        <v>0.0</v>
      </c>
      <c r="G32" s="50">
        <v>234.0</v>
      </c>
      <c r="H32" s="50">
        <v>9.0</v>
      </c>
      <c r="I32" s="50">
        <v>13.0</v>
      </c>
      <c r="J32" s="50" t="s">
        <v>47</v>
      </c>
      <c r="K32" s="50">
        <v>55.0</v>
      </c>
      <c r="L32" s="50">
        <v>671.0</v>
      </c>
    </row>
    <row r="33">
      <c r="A33" s="94" t="s">
        <v>104</v>
      </c>
      <c r="B33" s="50">
        <v>231.0</v>
      </c>
      <c r="C33" s="50" t="s">
        <v>47</v>
      </c>
      <c r="D33" s="50">
        <v>9.0</v>
      </c>
      <c r="E33" s="50">
        <v>32.0</v>
      </c>
      <c r="F33" s="50">
        <v>0.0</v>
      </c>
      <c r="G33" s="50">
        <v>179.0</v>
      </c>
      <c r="H33" s="50">
        <v>6.0</v>
      </c>
      <c r="I33" s="50">
        <v>10.0</v>
      </c>
      <c r="J33" s="50" t="s">
        <v>47</v>
      </c>
      <c r="K33" s="50">
        <v>68.0</v>
      </c>
      <c r="L33" s="50">
        <v>540.0</v>
      </c>
    </row>
    <row r="34">
      <c r="A34" s="94" t="s">
        <v>105</v>
      </c>
      <c r="B34" s="97">
        <v>209.0</v>
      </c>
      <c r="C34" s="97" t="s">
        <v>47</v>
      </c>
      <c r="D34" s="97">
        <v>16.0</v>
      </c>
      <c r="E34" s="97">
        <v>52.0</v>
      </c>
      <c r="F34" s="97">
        <v>0.0</v>
      </c>
      <c r="G34" s="97">
        <v>146.0</v>
      </c>
      <c r="H34" s="97">
        <v>8.0</v>
      </c>
      <c r="I34" s="97" t="s">
        <v>47</v>
      </c>
      <c r="J34" s="97">
        <v>7.0</v>
      </c>
      <c r="K34" s="97">
        <v>41.0</v>
      </c>
      <c r="L34" s="97">
        <v>483.0</v>
      </c>
    </row>
    <row r="35">
      <c r="A35" s="94" t="s">
        <v>106</v>
      </c>
      <c r="B35" s="97">
        <v>173.0</v>
      </c>
      <c r="C35" s="97" t="s">
        <v>47</v>
      </c>
      <c r="D35" s="97">
        <v>5.0</v>
      </c>
      <c r="E35" s="97">
        <v>63.0</v>
      </c>
      <c r="F35" s="97">
        <v>0.0</v>
      </c>
      <c r="G35" s="97">
        <v>224.0</v>
      </c>
      <c r="H35" s="97">
        <v>10.0</v>
      </c>
      <c r="I35" s="97" t="s">
        <v>47</v>
      </c>
      <c r="J35" s="97" t="s">
        <v>47</v>
      </c>
      <c r="K35" s="97">
        <v>59.0</v>
      </c>
      <c r="L35" s="97">
        <v>542.0</v>
      </c>
    </row>
    <row r="36">
      <c r="A36" s="94" t="s">
        <v>107</v>
      </c>
      <c r="B36" s="97">
        <v>231.0</v>
      </c>
      <c r="C36" s="97" t="s">
        <v>47</v>
      </c>
      <c r="D36" s="97">
        <v>9.0</v>
      </c>
      <c r="E36" s="97">
        <v>45.0</v>
      </c>
      <c r="F36" s="97">
        <v>0.0</v>
      </c>
      <c r="G36" s="97">
        <v>355.0</v>
      </c>
      <c r="H36" s="97">
        <v>16.0</v>
      </c>
      <c r="I36" s="97">
        <v>7.0</v>
      </c>
      <c r="J36" s="97">
        <v>5.0</v>
      </c>
      <c r="K36" s="97">
        <v>52.0</v>
      </c>
      <c r="L36" s="97">
        <v>723.0</v>
      </c>
    </row>
    <row r="37">
      <c r="A37" s="94" t="s">
        <v>108</v>
      </c>
      <c r="B37" s="105">
        <v>225.0</v>
      </c>
      <c r="C37" s="105" t="s">
        <v>47</v>
      </c>
      <c r="D37" s="105">
        <v>8.0</v>
      </c>
      <c r="E37" s="105">
        <v>69.0</v>
      </c>
      <c r="F37" s="105">
        <v>0.0</v>
      </c>
      <c r="G37" s="105">
        <v>323.0</v>
      </c>
      <c r="H37" s="105">
        <v>13.0</v>
      </c>
      <c r="I37" s="105">
        <v>11.0</v>
      </c>
      <c r="J37" s="105">
        <v>7.0</v>
      </c>
      <c r="K37" s="105">
        <v>56.0</v>
      </c>
      <c r="L37" s="105">
        <v>713.0</v>
      </c>
    </row>
    <row r="38">
      <c r="A38" s="94" t="s">
        <v>109</v>
      </c>
      <c r="B38" s="105">
        <v>275.0</v>
      </c>
      <c r="C38" s="105" t="s">
        <v>47</v>
      </c>
      <c r="D38" s="105">
        <v>8.0</v>
      </c>
      <c r="E38" s="105">
        <v>90.0</v>
      </c>
      <c r="F38" s="105">
        <v>0.0</v>
      </c>
      <c r="G38" s="105">
        <v>458.0</v>
      </c>
      <c r="H38" s="105">
        <v>23.0</v>
      </c>
      <c r="I38" s="105">
        <v>13.0</v>
      </c>
      <c r="J38" s="105">
        <v>7.0</v>
      </c>
      <c r="K38" s="105">
        <v>84.0</v>
      </c>
      <c r="L38" s="105">
        <v>959.0</v>
      </c>
    </row>
    <row r="39">
      <c r="A39" s="94" t="s">
        <v>110</v>
      </c>
      <c r="B39" s="105">
        <v>340.0</v>
      </c>
      <c r="C39" s="105">
        <v>6.0</v>
      </c>
      <c r="D39" s="105">
        <v>9.0</v>
      </c>
      <c r="E39" s="105">
        <v>103.0</v>
      </c>
      <c r="F39" s="105">
        <v>0.0</v>
      </c>
      <c r="G39" s="105">
        <v>599.0</v>
      </c>
      <c r="H39" s="105">
        <v>19.0</v>
      </c>
      <c r="I39" s="105">
        <v>11.0</v>
      </c>
      <c r="J39" s="105">
        <v>16.0</v>
      </c>
      <c r="K39" s="105">
        <v>122.0</v>
      </c>
      <c r="L39" s="105">
        <v>1225.0</v>
      </c>
    </row>
    <row r="40">
      <c r="A40" s="94" t="s">
        <v>111</v>
      </c>
      <c r="B40" s="105">
        <v>431.0</v>
      </c>
      <c r="C40" s="105">
        <v>5.0</v>
      </c>
      <c r="D40" s="105">
        <v>13.0</v>
      </c>
      <c r="E40" s="105">
        <v>91.0</v>
      </c>
      <c r="F40" s="105">
        <v>0.0</v>
      </c>
      <c r="G40" s="105">
        <v>645.0</v>
      </c>
      <c r="H40" s="105">
        <v>23.0</v>
      </c>
      <c r="I40" s="105">
        <v>10.0</v>
      </c>
      <c r="J40" s="105">
        <v>15.0</v>
      </c>
      <c r="K40" s="105">
        <v>306.0</v>
      </c>
      <c r="L40" s="105">
        <v>1539.0</v>
      </c>
    </row>
    <row r="41">
      <c r="A41" s="94" t="s">
        <v>112</v>
      </c>
      <c r="B41" s="105">
        <v>714.0</v>
      </c>
      <c r="C41" s="105" t="s">
        <v>47</v>
      </c>
      <c r="D41" s="105">
        <v>32.0</v>
      </c>
      <c r="E41" s="105">
        <v>148.0</v>
      </c>
      <c r="F41" s="105">
        <v>0.0</v>
      </c>
      <c r="G41" s="105">
        <v>921.0</v>
      </c>
      <c r="H41" s="105">
        <v>33.0</v>
      </c>
      <c r="I41" s="105">
        <v>17.0</v>
      </c>
      <c r="J41" s="105">
        <v>30.0</v>
      </c>
      <c r="K41" s="105">
        <v>606.0</v>
      </c>
      <c r="L41" s="105">
        <v>2504.0</v>
      </c>
    </row>
    <row r="42">
      <c r="A42" s="94" t="s">
        <v>113</v>
      </c>
      <c r="B42" s="105">
        <v>766.0</v>
      </c>
      <c r="C42" s="105">
        <v>5.0</v>
      </c>
      <c r="D42" s="105">
        <v>38.0</v>
      </c>
      <c r="E42" s="105">
        <v>149.0</v>
      </c>
      <c r="F42" s="105">
        <v>0.0</v>
      </c>
      <c r="G42" s="105">
        <v>1023.0</v>
      </c>
      <c r="H42" s="105">
        <v>42.0</v>
      </c>
      <c r="I42" s="105">
        <v>14.0</v>
      </c>
      <c r="J42" s="105">
        <v>23.0</v>
      </c>
      <c r="K42" s="105">
        <v>785.0</v>
      </c>
      <c r="L42" s="105">
        <v>2845.0</v>
      </c>
    </row>
    <row r="43">
      <c r="A43" s="94" t="s">
        <v>114</v>
      </c>
      <c r="B43" s="105">
        <v>835.0</v>
      </c>
      <c r="C43" s="105">
        <v>7.0</v>
      </c>
      <c r="D43" s="105">
        <v>64.0</v>
      </c>
      <c r="E43" s="105">
        <v>179.0</v>
      </c>
      <c r="F43" s="105">
        <v>0.0</v>
      </c>
      <c r="G43" s="105">
        <v>1284.0</v>
      </c>
      <c r="H43" s="105">
        <v>58.0</v>
      </c>
      <c r="I43" s="105">
        <v>16.0</v>
      </c>
      <c r="J43" s="105">
        <v>47.0</v>
      </c>
      <c r="K43" s="105">
        <v>1238.0</v>
      </c>
      <c r="L43" s="105">
        <v>3728.0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122</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123</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44146.0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124</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121</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117</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118</v>
      </c>
      <c r="H9" s="50" t="s">
        <v>118</v>
      </c>
      <c r="I9" s="50">
        <v>0.0</v>
      </c>
      <c r="J9" s="50" t="s">
        <v>118</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118</v>
      </c>
      <c r="C10" s="50">
        <v>0.0</v>
      </c>
      <c r="D10" s="50" t="s">
        <v>118</v>
      </c>
      <c r="E10" s="50">
        <v>0.0</v>
      </c>
      <c r="F10" s="50">
        <v>0.0</v>
      </c>
      <c r="G10" s="50">
        <v>1.0</v>
      </c>
      <c r="H10" s="50" t="s">
        <v>118</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118</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118</v>
      </c>
      <c r="D12" s="50" t="s">
        <v>118</v>
      </c>
      <c r="E12" s="50">
        <v>29.0</v>
      </c>
      <c r="F12" s="50">
        <v>0.0</v>
      </c>
      <c r="G12" s="50">
        <v>11.0</v>
      </c>
      <c r="H12" s="50" t="s">
        <v>118</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118</v>
      </c>
      <c r="D13" s="50" t="s">
        <v>118</v>
      </c>
      <c r="E13" s="50">
        <v>95.0</v>
      </c>
      <c r="F13" s="50">
        <v>0.0</v>
      </c>
      <c r="G13" s="50">
        <v>33.0</v>
      </c>
      <c r="H13" s="50">
        <v>71.0</v>
      </c>
      <c r="I13" s="50" t="s">
        <v>118</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390.0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118</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118</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312.0</v>
      </c>
      <c r="C20" s="50" t="s">
        <v>118</v>
      </c>
      <c r="D20" s="50">
        <v>77.0</v>
      </c>
      <c r="E20" s="50">
        <v>207.0</v>
      </c>
      <c r="F20" s="50">
        <v>0.0</v>
      </c>
      <c r="G20" s="50">
        <v>39.0</v>
      </c>
      <c r="H20" s="50">
        <v>268.0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118</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118</v>
      </c>
      <c r="I22" s="50" t="s">
        <v>118</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118</v>
      </c>
      <c r="D23" s="50">
        <v>37.0</v>
      </c>
      <c r="E23" s="50">
        <v>81.0</v>
      </c>
      <c r="F23" s="50">
        <v>0.0</v>
      </c>
      <c r="G23" s="50">
        <v>18.0</v>
      </c>
      <c r="H23" s="50">
        <v>113.0</v>
      </c>
      <c r="I23" s="50" t="s">
        <v>118</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118</v>
      </c>
      <c r="D24" s="50" t="s">
        <v>118</v>
      </c>
      <c r="E24" s="50">
        <v>56.0</v>
      </c>
      <c r="F24" s="50">
        <v>0.0</v>
      </c>
      <c r="G24" s="50">
        <v>14.0</v>
      </c>
      <c r="H24" s="50" t="s">
        <v>118</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118</v>
      </c>
      <c r="D25" s="50" t="s">
        <v>118</v>
      </c>
      <c r="E25" s="50">
        <v>81.0</v>
      </c>
      <c r="F25" s="50">
        <v>0.0</v>
      </c>
      <c r="G25" s="50">
        <v>15.0</v>
      </c>
      <c r="H25" s="50" t="s">
        <v>118</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118</v>
      </c>
      <c r="D26" s="50">
        <v>31.0</v>
      </c>
      <c r="E26" s="50">
        <v>46.0</v>
      </c>
      <c r="F26" s="50">
        <v>0.0</v>
      </c>
      <c r="G26" s="50">
        <v>13.0</v>
      </c>
      <c r="H26" s="50" t="s">
        <v>118</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118</v>
      </c>
      <c r="D27" s="50">
        <v>26.0</v>
      </c>
      <c r="E27" s="50">
        <v>49.0</v>
      </c>
      <c r="F27" s="50">
        <v>0.0</v>
      </c>
      <c r="G27" s="50">
        <v>20.0</v>
      </c>
      <c r="H27" s="50">
        <v>85.0</v>
      </c>
      <c r="I27" s="50" t="s">
        <v>118</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118</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118</v>
      </c>
      <c r="D29" s="50">
        <v>37.0</v>
      </c>
      <c r="E29" s="50">
        <v>151.0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118</v>
      </c>
      <c r="D30" s="50">
        <v>54.0</v>
      </c>
      <c r="E30" s="50">
        <v>127.0</v>
      </c>
      <c r="F30" s="50">
        <v>0.0</v>
      </c>
      <c r="G30" s="50">
        <v>27.0</v>
      </c>
      <c r="H30" s="50">
        <v>212.0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118</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118</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118</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118</v>
      </c>
      <c r="D35" s="97">
        <v>46.0</v>
      </c>
      <c r="E35" s="97">
        <v>88.0</v>
      </c>
      <c r="F35" s="97">
        <v>0.0</v>
      </c>
      <c r="G35" s="97">
        <v>19.0</v>
      </c>
      <c r="H35" s="97">
        <v>113.0</v>
      </c>
      <c r="I35" s="97" t="s">
        <v>118</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118</v>
      </c>
      <c r="D36" s="97">
        <v>14.0</v>
      </c>
      <c r="E36" s="97">
        <v>107.0</v>
      </c>
      <c r="F36" s="97">
        <v>0.0</v>
      </c>
      <c r="G36" s="97">
        <v>29.0</v>
      </c>
      <c r="H36" s="97">
        <v>141.0</v>
      </c>
      <c r="I36" s="97" t="s">
        <v>118</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118</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118</v>
      </c>
      <c r="D38" s="105">
        <v>23.0</v>
      </c>
      <c r="E38" s="105">
        <v>117.0</v>
      </c>
      <c r="F38" s="105">
        <v>0.0</v>
      </c>
      <c r="G38" s="105">
        <v>42.0</v>
      </c>
      <c r="H38" s="105">
        <v>183.0</v>
      </c>
      <c r="I38" s="105">
        <v>45.0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173.0</v>
      </c>
      <c r="C39" s="105" t="s">
        <v>118</v>
      </c>
      <c r="D39" s="105">
        <v>23.0</v>
      </c>
      <c r="E39" s="105">
        <v>153.0</v>
      </c>
      <c r="F39" s="105">
        <v>0.0</v>
      </c>
      <c r="G39" s="105">
        <v>60.0</v>
      </c>
      <c r="H39" s="105">
        <v>324.0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214.0</v>
      </c>
      <c r="C40" s="105">
        <v>162.0</v>
      </c>
      <c r="D40" s="105">
        <v>26.0</v>
      </c>
      <c r="E40" s="105">
        <v>175.0</v>
      </c>
      <c r="F40" s="105">
        <v>0.0</v>
      </c>
      <c r="G40" s="105">
        <v>78.0</v>
      </c>
      <c r="H40" s="105">
        <v>268.0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271.0</v>
      </c>
      <c r="C41" s="105">
        <v>135.0</v>
      </c>
      <c r="D41" s="105">
        <v>37.0</v>
      </c>
      <c r="E41" s="105">
        <v>154.0</v>
      </c>
      <c r="F41" s="105">
        <v>0.0</v>
      </c>
      <c r="G41" s="105">
        <v>84.0</v>
      </c>
      <c r="H41" s="105">
        <v>324.0</v>
      </c>
      <c r="I41" s="105">
        <v>41.0</v>
      </c>
      <c r="J41" s="105">
        <v>146.0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449.0</v>
      </c>
      <c r="C42" s="105" t="s">
        <v>118</v>
      </c>
      <c r="D42" s="105">
        <v>91.0</v>
      </c>
      <c r="E42" s="105">
        <v>251.0</v>
      </c>
      <c r="F42" s="105">
        <v>0.0</v>
      </c>
      <c r="G42" s="105">
        <v>120.0</v>
      </c>
      <c r="H42" s="105">
        <v>465.0</v>
      </c>
      <c r="I42" s="105">
        <v>70.0</v>
      </c>
      <c r="J42" s="105">
        <v>237.0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482.0</v>
      </c>
      <c r="C43" s="105">
        <v>135.0</v>
      </c>
      <c r="D43" s="105">
        <v>108.0</v>
      </c>
      <c r="E43" s="105">
        <v>253.0</v>
      </c>
      <c r="F43" s="105">
        <v>0.0</v>
      </c>
      <c r="G43" s="105">
        <v>133.0</v>
      </c>
      <c r="H43" s="105">
        <v>592.0</v>
      </c>
      <c r="I43" s="105">
        <v>57.0</v>
      </c>
      <c r="J43" s="105">
        <v>269.0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94" t="s">
        <v>114</v>
      </c>
      <c r="B44" s="105">
        <v>526.0</v>
      </c>
      <c r="C44" s="105">
        <v>189.0</v>
      </c>
      <c r="D44" s="105">
        <v>182.0</v>
      </c>
      <c r="E44" s="105">
        <v>303.0</v>
      </c>
      <c r="F44" s="105">
        <v>0.0</v>
      </c>
      <c r="G44" s="105">
        <v>167.0</v>
      </c>
      <c r="H44" s="105">
        <v>818.0</v>
      </c>
      <c r="I44" s="105">
        <v>66.0</v>
      </c>
      <c r="J44" s="105">
        <v>353.0</v>
      </c>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125</v>
      </c>
      <c r="B1" s="115" t="s">
        <v>126</v>
      </c>
      <c r="C1" s="115" t="s">
        <v>127</v>
      </c>
      <c r="D1" s="115" t="s">
        <v>128</v>
      </c>
      <c r="E1" s="115" t="s">
        <v>129</v>
      </c>
      <c r="F1" s="115" t="s">
        <v>25</v>
      </c>
      <c r="G1" s="115" t="s">
        <v>130</v>
      </c>
    </row>
    <row r="2" ht="14.25" customHeight="1">
      <c r="A2" s="116" t="s">
        <v>131</v>
      </c>
      <c r="B2" s="117">
        <v>172.0</v>
      </c>
      <c r="C2" s="118">
        <v>1063.0</v>
      </c>
      <c r="D2" s="119">
        <v>16.0</v>
      </c>
      <c r="E2" s="118">
        <v>99.0</v>
      </c>
      <c r="F2" s="118">
        <v>0.0</v>
      </c>
      <c r="G2" s="118">
        <v>0.0</v>
      </c>
    </row>
    <row r="3" ht="14.25" customHeight="1">
      <c r="A3" s="116" t="s">
        <v>132</v>
      </c>
      <c r="B3" s="117">
        <v>448.0</v>
      </c>
      <c r="C3" s="118">
        <v>2015.0</v>
      </c>
      <c r="D3" s="119">
        <v>25.0</v>
      </c>
      <c r="E3" s="118">
        <v>112.0</v>
      </c>
      <c r="F3" s="118">
        <v>9.0</v>
      </c>
      <c r="G3" s="118">
        <v>40.0</v>
      </c>
    </row>
    <row r="4" ht="14.25" customHeight="1">
      <c r="A4" s="116" t="s">
        <v>133</v>
      </c>
      <c r="B4" s="117">
        <v>264.0</v>
      </c>
      <c r="C4" s="118">
        <v>1605.0</v>
      </c>
      <c r="D4" s="119">
        <v>23.0</v>
      </c>
      <c r="E4" s="118">
        <v>140.0</v>
      </c>
      <c r="F4" s="118">
        <v>23.0</v>
      </c>
      <c r="G4" s="118">
        <v>140.0</v>
      </c>
    </row>
    <row r="5" ht="14.25" customHeight="1">
      <c r="A5" s="116" t="s">
        <v>134</v>
      </c>
      <c r="B5" s="117">
        <v>2032.0</v>
      </c>
      <c r="C5" s="118">
        <v>10484.0</v>
      </c>
      <c r="D5" s="119">
        <v>124.0</v>
      </c>
      <c r="E5" s="118">
        <v>640.0</v>
      </c>
      <c r="F5" s="118">
        <v>12.0</v>
      </c>
      <c r="G5" s="118">
        <v>62.0</v>
      </c>
    </row>
    <row r="6" ht="14.25" customHeight="1">
      <c r="A6" s="116" t="s">
        <v>135</v>
      </c>
      <c r="B6" s="117">
        <v>65.0</v>
      </c>
      <c r="C6" s="118">
        <v>835.0</v>
      </c>
      <c r="D6" s="119">
        <v>6.0</v>
      </c>
      <c r="E6" s="118">
        <v>77.0</v>
      </c>
      <c r="F6" s="118" t="s">
        <v>47</v>
      </c>
      <c r="G6" s="118" t="s">
        <v>30</v>
      </c>
    </row>
    <row r="7" ht="14.25" customHeight="1">
      <c r="A7" s="116" t="s">
        <v>136</v>
      </c>
      <c r="B7" s="117">
        <v>627.0</v>
      </c>
      <c r="C7" s="118">
        <v>1813.0</v>
      </c>
      <c r="D7" s="119">
        <v>54.0</v>
      </c>
      <c r="E7" s="118">
        <v>156.0</v>
      </c>
      <c r="F7" s="118">
        <v>24.0</v>
      </c>
      <c r="G7" s="118">
        <v>69.0</v>
      </c>
    </row>
    <row r="8" ht="14.25" customHeight="1">
      <c r="A8" s="116" t="s">
        <v>137</v>
      </c>
      <c r="B8" s="117">
        <v>2758.0</v>
      </c>
      <c r="C8" s="118">
        <v>3397.0</v>
      </c>
      <c r="D8" s="119">
        <v>231.0</v>
      </c>
      <c r="E8" s="118">
        <v>284.0</v>
      </c>
      <c r="F8" s="118">
        <v>36.0</v>
      </c>
      <c r="G8" s="118">
        <v>44.0</v>
      </c>
    </row>
    <row r="9" ht="14.25" customHeight="1">
      <c r="A9" s="116" t="s">
        <v>138</v>
      </c>
      <c r="B9" s="117">
        <v>825.0</v>
      </c>
      <c r="C9" s="118">
        <v>2381.0</v>
      </c>
      <c r="D9" s="119">
        <v>86.0</v>
      </c>
      <c r="E9" s="118">
        <v>248.0</v>
      </c>
      <c r="F9" s="118">
        <v>42.0</v>
      </c>
      <c r="G9" s="118">
        <v>121.0</v>
      </c>
    </row>
    <row r="10" ht="14.25" customHeight="1">
      <c r="A10" s="116" t="s">
        <v>139</v>
      </c>
      <c r="B10" s="117">
        <v>289.0</v>
      </c>
      <c r="C10" s="118">
        <v>2211.0</v>
      </c>
      <c r="D10" s="119">
        <v>18.0</v>
      </c>
      <c r="E10" s="118">
        <v>138.0</v>
      </c>
      <c r="F10" s="118" t="s">
        <v>47</v>
      </c>
      <c r="G10" s="118" t="s">
        <v>30</v>
      </c>
    </row>
    <row r="11" ht="14.25" customHeight="1">
      <c r="A11" s="116" t="s">
        <v>140</v>
      </c>
      <c r="B11" s="117">
        <v>1320.0</v>
      </c>
      <c r="C11" s="118">
        <v>2782.0</v>
      </c>
      <c r="D11" s="119">
        <v>120.0</v>
      </c>
      <c r="E11" s="118">
        <v>253.0</v>
      </c>
      <c r="F11" s="118">
        <v>115.0</v>
      </c>
      <c r="G11" s="118">
        <v>242.0</v>
      </c>
    </row>
    <row r="12" ht="14.25" customHeight="1">
      <c r="A12" s="116" t="s">
        <v>141</v>
      </c>
      <c r="B12" s="117">
        <v>77.0</v>
      </c>
      <c r="C12" s="118">
        <v>1135.0</v>
      </c>
      <c r="D12" s="119">
        <v>8.0</v>
      </c>
      <c r="E12" s="118">
        <v>118.0</v>
      </c>
      <c r="F12" s="118" t="s">
        <v>47</v>
      </c>
      <c r="G12" s="118" t="s">
        <v>30</v>
      </c>
    </row>
    <row r="13" ht="14.25" customHeight="1">
      <c r="A13" s="116" t="s">
        <v>142</v>
      </c>
      <c r="B13" s="117">
        <v>67.0</v>
      </c>
      <c r="C13" s="118">
        <v>1429.0</v>
      </c>
      <c r="D13" s="119" t="s">
        <v>47</v>
      </c>
      <c r="E13" s="118" t="s">
        <v>30</v>
      </c>
      <c r="F13" s="118">
        <v>0.0</v>
      </c>
      <c r="G13" s="118">
        <v>0.0</v>
      </c>
    </row>
    <row r="14" ht="14.25" customHeight="1">
      <c r="A14" s="116" t="s">
        <v>143</v>
      </c>
      <c r="B14" s="117">
        <v>133.0</v>
      </c>
      <c r="C14" s="118">
        <v>1322.0</v>
      </c>
      <c r="D14" s="119">
        <v>11.0</v>
      </c>
      <c r="E14" s="118">
        <v>109.0</v>
      </c>
      <c r="F14" s="118" t="s">
        <v>47</v>
      </c>
      <c r="G14" s="118" t="s">
        <v>30</v>
      </c>
    </row>
    <row r="15" ht="14.25" customHeight="1">
      <c r="A15" s="116" t="s">
        <v>144</v>
      </c>
      <c r="B15" s="117">
        <v>36.0</v>
      </c>
      <c r="C15" s="118">
        <v>444.0</v>
      </c>
      <c r="D15" s="119">
        <v>5.0</v>
      </c>
      <c r="E15" s="118">
        <v>62.0</v>
      </c>
      <c r="F15" s="118" t="s">
        <v>47</v>
      </c>
      <c r="G15" s="118" t="s">
        <v>30</v>
      </c>
    </row>
    <row r="16" ht="14.25" customHeight="1">
      <c r="A16" s="116" t="s">
        <v>145</v>
      </c>
      <c r="B16" s="117">
        <v>60.0</v>
      </c>
      <c r="C16" s="118">
        <v>1092.0</v>
      </c>
      <c r="D16" s="119" t="s">
        <v>47</v>
      </c>
      <c r="E16" s="118" t="s">
        <v>30</v>
      </c>
      <c r="F16" s="118">
        <v>0.0</v>
      </c>
      <c r="G16" s="118">
        <v>0.0</v>
      </c>
    </row>
    <row r="17" ht="14.25" customHeight="1">
      <c r="A17" s="116" t="s">
        <v>146</v>
      </c>
      <c r="B17" s="117">
        <v>1146.0</v>
      </c>
      <c r="C17" s="118">
        <v>3920.0</v>
      </c>
      <c r="D17" s="119">
        <v>99.0</v>
      </c>
      <c r="E17" s="118">
        <v>339.0</v>
      </c>
      <c r="F17" s="118">
        <v>96.0</v>
      </c>
      <c r="G17" s="118">
        <v>328.0</v>
      </c>
    </row>
    <row r="18" ht="14.25" customHeight="1">
      <c r="A18" s="116" t="s">
        <v>147</v>
      </c>
      <c r="B18" s="117">
        <v>570.0</v>
      </c>
      <c r="C18" s="118">
        <v>2634.0</v>
      </c>
      <c r="D18" s="119">
        <v>48.0</v>
      </c>
      <c r="E18" s="118">
        <v>222.0</v>
      </c>
      <c r="F18" s="118">
        <v>37.0</v>
      </c>
      <c r="G18" s="118">
        <v>171.0</v>
      </c>
    </row>
    <row r="19" ht="14.25" customHeight="1">
      <c r="A19" s="116" t="s">
        <v>148</v>
      </c>
      <c r="B19" s="117">
        <v>29.0</v>
      </c>
      <c r="C19" s="118">
        <v>827.0</v>
      </c>
      <c r="D19" s="119">
        <v>0.0</v>
      </c>
      <c r="E19" s="118">
        <v>0.0</v>
      </c>
      <c r="F19" s="118" t="s">
        <v>47</v>
      </c>
      <c r="G19" s="118" t="s">
        <v>30</v>
      </c>
    </row>
    <row r="20" ht="14.25" customHeight="1">
      <c r="A20" s="116" t="s">
        <v>149</v>
      </c>
      <c r="B20" s="117">
        <v>149.0</v>
      </c>
      <c r="C20" s="118">
        <v>927.0</v>
      </c>
      <c r="D20" s="119">
        <v>10.0</v>
      </c>
      <c r="E20" s="118">
        <v>62.0</v>
      </c>
      <c r="F20" s="118" t="s">
        <v>47</v>
      </c>
      <c r="G20" s="118" t="s">
        <v>30</v>
      </c>
    </row>
    <row r="21" ht="14.25" customHeight="1">
      <c r="A21" s="116" t="s">
        <v>150</v>
      </c>
      <c r="B21" s="117">
        <v>406.0</v>
      </c>
      <c r="C21" s="118">
        <v>2611.0</v>
      </c>
      <c r="D21" s="119">
        <v>9.0</v>
      </c>
      <c r="E21" s="118">
        <v>58.0</v>
      </c>
      <c r="F21" s="118" t="s">
        <v>47</v>
      </c>
      <c r="G21" s="118" t="s">
        <v>30</v>
      </c>
    </row>
    <row r="22" ht="14.25" customHeight="1">
      <c r="A22" s="116" t="s">
        <v>151</v>
      </c>
      <c r="B22" s="117">
        <v>11.0</v>
      </c>
      <c r="C22" s="118">
        <v>1330.0</v>
      </c>
      <c r="D22" s="119">
        <v>0.0</v>
      </c>
      <c r="E22" s="118">
        <v>0.0</v>
      </c>
      <c r="F22" s="118">
        <v>0.0</v>
      </c>
      <c r="G22" s="118">
        <v>0.0</v>
      </c>
    </row>
    <row r="23" ht="14.25" customHeight="1">
      <c r="A23" s="116" t="s">
        <v>152</v>
      </c>
      <c r="B23" s="117">
        <v>279.0</v>
      </c>
      <c r="C23" s="118">
        <v>1127.0</v>
      </c>
      <c r="D23" s="119">
        <v>21.0</v>
      </c>
      <c r="E23" s="118">
        <v>85.0</v>
      </c>
      <c r="F23" s="118" t="s">
        <v>47</v>
      </c>
      <c r="G23" s="118" t="s">
        <v>30</v>
      </c>
    </row>
    <row r="24" ht="14.25" customHeight="1">
      <c r="A24" s="116" t="s">
        <v>153</v>
      </c>
      <c r="B24" s="117">
        <v>494.0</v>
      </c>
      <c r="C24" s="118">
        <v>1885.0</v>
      </c>
      <c r="D24" s="119">
        <v>45.0</v>
      </c>
      <c r="E24" s="118">
        <v>172.0</v>
      </c>
      <c r="F24" s="118">
        <v>53.0</v>
      </c>
      <c r="G24" s="118">
        <v>202.0</v>
      </c>
    </row>
    <row r="25" ht="15.75" customHeight="1">
      <c r="A25" s="116" t="s">
        <v>154</v>
      </c>
      <c r="B25" s="117">
        <v>1485.0</v>
      </c>
      <c r="C25" s="118">
        <v>4575.0</v>
      </c>
      <c r="D25" s="119">
        <v>155.0</v>
      </c>
      <c r="E25" s="118">
        <v>478.0</v>
      </c>
      <c r="F25" s="118">
        <v>84.0</v>
      </c>
      <c r="G25" s="118">
        <v>259.0</v>
      </c>
    </row>
    <row r="26" ht="14.25" customHeight="1">
      <c r="A26" s="116" t="s">
        <v>155</v>
      </c>
      <c r="B26" s="117">
        <v>277.0</v>
      </c>
      <c r="C26" s="118">
        <v>2243.0</v>
      </c>
      <c r="D26" s="119">
        <v>25.0</v>
      </c>
      <c r="E26" s="118">
        <v>202.0</v>
      </c>
      <c r="F26" s="118">
        <v>28.0</v>
      </c>
      <c r="G26" s="118">
        <v>227.0</v>
      </c>
    </row>
    <row r="27" ht="14.25" customHeight="1">
      <c r="A27" s="116" t="s">
        <v>156</v>
      </c>
      <c r="B27" s="117">
        <v>3632.0</v>
      </c>
      <c r="C27" s="118">
        <v>5062.0</v>
      </c>
      <c r="D27" s="119">
        <v>176.0</v>
      </c>
      <c r="E27" s="118">
        <v>245.0</v>
      </c>
      <c r="F27" s="118">
        <v>56.0</v>
      </c>
      <c r="G27" s="118">
        <v>78.0</v>
      </c>
    </row>
    <row r="28" ht="14.25" customHeight="1">
      <c r="A28" s="116" t="s">
        <v>157</v>
      </c>
      <c r="B28" s="117">
        <v>154.0</v>
      </c>
      <c r="C28" s="118">
        <v>884.0</v>
      </c>
      <c r="D28" s="119" t="s">
        <v>47</v>
      </c>
      <c r="E28" s="118" t="s">
        <v>30</v>
      </c>
      <c r="F28" s="118">
        <v>0.0</v>
      </c>
      <c r="G28" s="118">
        <v>0.0</v>
      </c>
    </row>
    <row r="29" ht="14.25" customHeight="1">
      <c r="A29" s="116" t="s">
        <v>158</v>
      </c>
      <c r="B29" s="117">
        <v>11365.0</v>
      </c>
      <c r="C29" s="118">
        <v>6334.0</v>
      </c>
      <c r="D29" s="119">
        <v>1057.0</v>
      </c>
      <c r="E29" s="118">
        <v>589.0</v>
      </c>
      <c r="F29" s="118">
        <v>311.0</v>
      </c>
      <c r="G29" s="118">
        <v>173.0</v>
      </c>
    </row>
    <row r="30" ht="14.25" customHeight="1">
      <c r="A30" s="116" t="s">
        <v>159</v>
      </c>
      <c r="B30" s="117">
        <v>52.0</v>
      </c>
      <c r="C30" s="118">
        <v>682.0</v>
      </c>
      <c r="D30" s="119">
        <v>7.0</v>
      </c>
      <c r="E30" s="118">
        <v>92.0</v>
      </c>
      <c r="F30" s="118">
        <v>0.0</v>
      </c>
      <c r="G30" s="118">
        <v>0.0</v>
      </c>
    </row>
    <row r="31" ht="14.25" customHeight="1">
      <c r="A31" s="116" t="s">
        <v>160</v>
      </c>
      <c r="B31" s="117">
        <v>137.0</v>
      </c>
      <c r="C31" s="118">
        <v>1292.0</v>
      </c>
      <c r="D31" s="119" t="s">
        <v>47</v>
      </c>
      <c r="E31" s="118" t="s">
        <v>30</v>
      </c>
      <c r="F31" s="118" t="s">
        <v>47</v>
      </c>
      <c r="G31" s="118" t="s">
        <v>30</v>
      </c>
    </row>
    <row r="32" ht="14.25" customHeight="1">
      <c r="A32" s="116" t="s">
        <v>161</v>
      </c>
      <c r="B32" s="117">
        <v>575.0</v>
      </c>
      <c r="C32" s="118">
        <v>2658.0</v>
      </c>
      <c r="D32" s="119">
        <v>80.0</v>
      </c>
      <c r="E32" s="118">
        <v>370.0</v>
      </c>
      <c r="F32" s="118">
        <v>58.0</v>
      </c>
      <c r="G32" s="118">
        <v>268.0</v>
      </c>
    </row>
    <row r="33" ht="14.25" customHeight="1">
      <c r="A33" s="116" t="s">
        <v>162</v>
      </c>
      <c r="B33" s="117">
        <v>237.0</v>
      </c>
      <c r="C33" s="118">
        <v>771.0</v>
      </c>
      <c r="D33" s="119">
        <v>18.0</v>
      </c>
      <c r="E33" s="118">
        <v>59.0</v>
      </c>
      <c r="F33" s="118">
        <v>19.0</v>
      </c>
      <c r="G33" s="118">
        <v>62.0</v>
      </c>
    </row>
    <row r="34" ht="14.25" customHeight="1">
      <c r="A34" s="116" t="s">
        <v>163</v>
      </c>
      <c r="B34" s="117">
        <v>235.0</v>
      </c>
      <c r="C34" s="118">
        <v>1486.0</v>
      </c>
      <c r="D34" s="119" t="s">
        <v>47</v>
      </c>
      <c r="E34" s="118" t="s">
        <v>30</v>
      </c>
      <c r="F34" s="118">
        <v>5.0</v>
      </c>
      <c r="G34" s="118">
        <v>32.0</v>
      </c>
    </row>
    <row r="35" ht="14.25" customHeight="1">
      <c r="A35" s="116" t="s">
        <v>164</v>
      </c>
      <c r="B35" s="117">
        <v>232.0</v>
      </c>
      <c r="C35" s="118">
        <v>2212.0</v>
      </c>
      <c r="D35" s="119">
        <v>26.0</v>
      </c>
      <c r="E35" s="118">
        <v>248.0</v>
      </c>
      <c r="F35" s="118">
        <v>14.0</v>
      </c>
      <c r="G35" s="118">
        <v>133.0</v>
      </c>
    </row>
    <row r="36" ht="14.25" customHeight="1">
      <c r="A36" s="116" t="s">
        <v>165</v>
      </c>
      <c r="B36" s="117">
        <v>1667.0</v>
      </c>
      <c r="C36" s="118">
        <v>2056.0</v>
      </c>
      <c r="D36" s="119">
        <v>122.0</v>
      </c>
      <c r="E36" s="118">
        <v>150.0</v>
      </c>
      <c r="F36" s="118">
        <v>81.0</v>
      </c>
      <c r="G36" s="118">
        <v>100.0</v>
      </c>
    </row>
    <row r="37" ht="14.25" customHeight="1">
      <c r="A37" s="116" t="s">
        <v>166</v>
      </c>
      <c r="B37" s="117">
        <v>83.0</v>
      </c>
      <c r="C37" s="118">
        <v>1343.0</v>
      </c>
      <c r="D37" s="119" t="s">
        <v>47</v>
      </c>
      <c r="E37" s="118" t="s">
        <v>30</v>
      </c>
      <c r="F37" s="118">
        <v>0.0</v>
      </c>
      <c r="G37" s="118">
        <v>0.0</v>
      </c>
    </row>
    <row r="38" ht="14.25" customHeight="1">
      <c r="A38" s="116" t="s">
        <v>167</v>
      </c>
      <c r="B38" s="117">
        <v>702.0</v>
      </c>
      <c r="C38" s="118">
        <v>2424.0</v>
      </c>
      <c r="D38" s="119">
        <v>60.0</v>
      </c>
      <c r="E38" s="118">
        <v>207.0</v>
      </c>
      <c r="F38" s="118">
        <v>22.0</v>
      </c>
      <c r="G38" s="118">
        <v>76.0</v>
      </c>
    </row>
    <row r="39" ht="14.25" customHeight="1">
      <c r="A39" s="116" t="s">
        <v>168</v>
      </c>
      <c r="B39" s="117">
        <v>224.0</v>
      </c>
      <c r="C39" s="118">
        <v>990.0</v>
      </c>
      <c r="D39" s="119">
        <v>12.0</v>
      </c>
      <c r="E39" s="118">
        <v>53.0</v>
      </c>
      <c r="F39" s="118" t="s">
        <v>47</v>
      </c>
      <c r="G39" s="118" t="s">
        <v>30</v>
      </c>
    </row>
    <row r="40" ht="14.25" customHeight="1">
      <c r="A40" s="116" t="s">
        <v>169</v>
      </c>
      <c r="B40" s="117">
        <v>1222.0</v>
      </c>
      <c r="C40" s="118">
        <v>2942.0</v>
      </c>
      <c r="D40" s="119">
        <v>137.0</v>
      </c>
      <c r="E40" s="118">
        <v>330.0</v>
      </c>
      <c r="F40" s="118">
        <v>88.0</v>
      </c>
      <c r="G40" s="118">
        <v>212.0</v>
      </c>
    </row>
    <row r="41" ht="14.25" customHeight="1">
      <c r="A41" s="116" t="s">
        <v>44</v>
      </c>
      <c r="B41" s="117">
        <v>1839.0</v>
      </c>
      <c r="C41" s="118" t="s">
        <v>30</v>
      </c>
      <c r="D41" s="119">
        <v>148.0</v>
      </c>
      <c r="E41" s="118" t="s">
        <v>30</v>
      </c>
      <c r="F41" s="118" t="s">
        <v>47</v>
      </c>
      <c r="G41" s="118" t="s">
        <v>30</v>
      </c>
    </row>
    <row r="42" ht="14.25" customHeight="1">
      <c r="A42" s="120" t="s">
        <v>170</v>
      </c>
      <c r="B42" s="118">
        <v>36375.0</v>
      </c>
      <c r="C42" s="118">
        <v>3443.0</v>
      </c>
      <c r="D42" s="118">
        <v>2982.0</v>
      </c>
      <c r="E42" s="118">
        <v>282.0</v>
      </c>
      <c r="F42" s="118">
        <v>1232.0</v>
      </c>
      <c r="G42" s="118">
        <v>117.0</v>
      </c>
    </row>
    <row r="43" ht="14.25" customHeight="1">
      <c r="A43" s="121" t="s">
        <v>171</v>
      </c>
      <c r="D43" s="122"/>
      <c r="E43" s="122"/>
      <c r="F43" s="122"/>
      <c r="G43" s="122"/>
    </row>
    <row r="44" ht="15.0" customHeight="1">
      <c r="A44" s="123" t="s">
        <v>172</v>
      </c>
    </row>
    <row r="45" ht="14.25" customHeight="1"/>
    <row r="46" ht="14.25" customHeight="1"/>
    <row r="47" ht="14.25" customHeight="1">
      <c r="A47" s="71" t="s">
        <v>0</v>
      </c>
      <c r="B47" s="72">
        <v>44146.0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173</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174</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44146.0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175</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176</v>
      </c>
      <c r="C8" s="130" t="s">
        <v>177</v>
      </c>
      <c r="D8" s="130" t="s">
        <v>178</v>
      </c>
      <c r="E8" s="130" t="s">
        <v>179</v>
      </c>
      <c r="F8" s="130" t="s">
        <v>180</v>
      </c>
      <c r="G8" s="130" t="s">
        <v>181</v>
      </c>
      <c r="H8" s="130" t="s">
        <v>182</v>
      </c>
      <c r="I8" s="130" t="s">
        <v>183</v>
      </c>
      <c r="J8" s="130" t="s">
        <v>184</v>
      </c>
      <c r="K8" s="130" t="s">
        <v>185</v>
      </c>
      <c r="L8" s="130" t="s">
        <v>186</v>
      </c>
      <c r="M8" s="130" t="s">
        <v>187</v>
      </c>
      <c r="N8" s="130" t="s">
        <v>188</v>
      </c>
      <c r="O8" s="130" t="s">
        <v>189</v>
      </c>
      <c r="P8" s="130" t="s">
        <v>190</v>
      </c>
      <c r="Q8" s="130" t="s">
        <v>191</v>
      </c>
      <c r="R8" s="130" t="s">
        <v>192</v>
      </c>
      <c r="S8" s="130" t="s">
        <v>193</v>
      </c>
      <c r="T8" s="130" t="s">
        <v>194</v>
      </c>
      <c r="U8" s="130" t="s">
        <v>195</v>
      </c>
      <c r="V8" s="130" t="s">
        <v>196</v>
      </c>
      <c r="W8" s="130" t="s">
        <v>197</v>
      </c>
      <c r="X8" s="130" t="s">
        <v>198</v>
      </c>
      <c r="Y8" s="130" t="s">
        <v>199</v>
      </c>
      <c r="Z8" s="130" t="s">
        <v>200</v>
      </c>
      <c r="AA8" s="130" t="s">
        <v>201</v>
      </c>
      <c r="AB8" s="130" t="s">
        <v>202</v>
      </c>
      <c r="AC8" s="130" t="s">
        <v>203</v>
      </c>
      <c r="AD8" s="130" t="s">
        <v>204</v>
      </c>
      <c r="AE8" s="130" t="s">
        <v>205</v>
      </c>
      <c r="AF8" s="130" t="s">
        <v>206</v>
      </c>
      <c r="AG8" s="130" t="s">
        <v>207</v>
      </c>
      <c r="AH8" s="130" t="s">
        <v>208</v>
      </c>
      <c r="AI8" s="130" t="s">
        <v>209</v>
      </c>
      <c r="AJ8" s="130" t="s">
        <v>210</v>
      </c>
      <c r="AK8" s="130" t="s">
        <v>211</v>
      </c>
      <c r="AL8" s="130" t="s">
        <v>212</v>
      </c>
      <c r="AM8" s="130" t="s">
        <v>213</v>
      </c>
      <c r="AN8" s="130" t="s">
        <v>214</v>
      </c>
      <c r="AO8" s="130" t="s">
        <v>215</v>
      </c>
      <c r="AP8" s="130" t="s">
        <v>170</v>
      </c>
    </row>
    <row r="9">
      <c r="A9" s="94" t="s">
        <v>79</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94" t="s">
        <v>80</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94" t="s">
        <v>81</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25.0</v>
      </c>
      <c r="AD11" s="48">
        <v>0.0</v>
      </c>
      <c r="AE11" s="48" t="s">
        <v>47</v>
      </c>
      <c r="AF11" s="48">
        <v>0.0</v>
      </c>
      <c r="AG11" s="48" t="s">
        <v>47</v>
      </c>
      <c r="AH11" s="48">
        <v>0.0</v>
      </c>
      <c r="AI11" s="48" t="s">
        <v>47</v>
      </c>
      <c r="AJ11" s="48" t="s">
        <v>47</v>
      </c>
      <c r="AK11" s="48">
        <v>0.0</v>
      </c>
      <c r="AL11" s="48">
        <v>0.0</v>
      </c>
      <c r="AM11" s="48" t="s">
        <v>47</v>
      </c>
      <c r="AN11" s="48">
        <v>0.0</v>
      </c>
      <c r="AO11" s="48" t="s">
        <v>47</v>
      </c>
      <c r="AP11" s="50">
        <v>66.0</v>
      </c>
    </row>
    <row r="12">
      <c r="A12" s="94" t="s">
        <v>82</v>
      </c>
      <c r="B12" s="48">
        <v>5.0</v>
      </c>
      <c r="C12" s="48" t="s">
        <v>47</v>
      </c>
      <c r="D12" s="48">
        <v>5.0</v>
      </c>
      <c r="E12" s="48" t="s">
        <v>47</v>
      </c>
      <c r="F12" s="48" t="s">
        <v>47</v>
      </c>
      <c r="G12" s="48" t="s">
        <v>47</v>
      </c>
      <c r="H12" s="48">
        <v>27.0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199.0</v>
      </c>
    </row>
    <row r="13">
      <c r="A13" s="94" t="s">
        <v>83</v>
      </c>
      <c r="B13" s="48" t="s">
        <v>47</v>
      </c>
      <c r="C13" s="48">
        <v>6.0</v>
      </c>
      <c r="D13" s="48">
        <v>6.0</v>
      </c>
      <c r="E13" s="48">
        <v>10.0</v>
      </c>
      <c r="F13" s="48" t="s">
        <v>47</v>
      </c>
      <c r="G13" s="48">
        <v>12.0</v>
      </c>
      <c r="H13" s="48">
        <v>42.0</v>
      </c>
      <c r="I13" s="48">
        <v>17.0</v>
      </c>
      <c r="J13" s="48">
        <v>5.0</v>
      </c>
      <c r="K13" s="48">
        <v>15.0</v>
      </c>
      <c r="L13" s="48" t="s">
        <v>47</v>
      </c>
      <c r="M13" s="48">
        <v>0.0</v>
      </c>
      <c r="N13" s="48" t="s">
        <v>47</v>
      </c>
      <c r="O13" s="48" t="s">
        <v>47</v>
      </c>
      <c r="P13" s="48" t="s">
        <v>47</v>
      </c>
      <c r="Q13" s="48">
        <v>11.0</v>
      </c>
      <c r="R13" s="48">
        <v>9.0</v>
      </c>
      <c r="S13" s="48" t="s">
        <v>47</v>
      </c>
      <c r="T13" s="48" t="s">
        <v>47</v>
      </c>
      <c r="U13" s="48" t="s">
        <v>47</v>
      </c>
      <c r="V13" s="48" t="s">
        <v>47</v>
      </c>
      <c r="W13" s="48">
        <v>6.0</v>
      </c>
      <c r="X13" s="48">
        <v>8.0</v>
      </c>
      <c r="Y13" s="48">
        <v>26.0</v>
      </c>
      <c r="Z13" s="48" t="s">
        <v>47</v>
      </c>
      <c r="AA13" s="48">
        <v>55.0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94" t="s">
        <v>84</v>
      </c>
      <c r="B14" s="48">
        <v>6.0</v>
      </c>
      <c r="C14" s="48">
        <v>9.0</v>
      </c>
      <c r="D14" s="48">
        <v>14.0</v>
      </c>
      <c r="E14" s="48">
        <v>48.0</v>
      </c>
      <c r="F14" s="48" t="s">
        <v>47</v>
      </c>
      <c r="G14" s="48">
        <v>23.0</v>
      </c>
      <c r="H14" s="48">
        <v>109.0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59.0</v>
      </c>
      <c r="Z14" s="48">
        <v>5.0</v>
      </c>
      <c r="AA14" s="48">
        <v>144.0</v>
      </c>
      <c r="AB14" s="48" t="s">
        <v>47</v>
      </c>
      <c r="AC14" s="48">
        <v>525.0</v>
      </c>
      <c r="AD14" s="48" t="s">
        <v>47</v>
      </c>
      <c r="AE14" s="48">
        <v>6.0</v>
      </c>
      <c r="AF14" s="48">
        <v>18.0</v>
      </c>
      <c r="AG14" s="48">
        <v>19.0</v>
      </c>
      <c r="AH14" s="48">
        <v>14.0</v>
      </c>
      <c r="AI14" s="48" t="s">
        <v>47</v>
      </c>
      <c r="AJ14" s="48">
        <v>66.0</v>
      </c>
      <c r="AK14" s="48">
        <v>5.0</v>
      </c>
      <c r="AL14" s="48">
        <v>21.0</v>
      </c>
      <c r="AM14" s="48">
        <v>8.0</v>
      </c>
      <c r="AN14" s="48">
        <v>38.0</v>
      </c>
      <c r="AO14" s="48">
        <v>57.0</v>
      </c>
      <c r="AP14" s="96">
        <v>1443.0</v>
      </c>
    </row>
    <row r="15">
      <c r="A15" s="94" t="s">
        <v>85</v>
      </c>
      <c r="B15" s="48" t="s">
        <v>47</v>
      </c>
      <c r="C15" s="48">
        <v>12.0</v>
      </c>
      <c r="D15" s="48">
        <v>8.0</v>
      </c>
      <c r="E15" s="48">
        <v>112.0</v>
      </c>
      <c r="F15" s="48" t="s">
        <v>47</v>
      </c>
      <c r="G15" s="48">
        <v>18.0</v>
      </c>
      <c r="H15" s="48">
        <v>138.0</v>
      </c>
      <c r="I15" s="48">
        <v>28.0</v>
      </c>
      <c r="J15" s="48">
        <v>5.0</v>
      </c>
      <c r="K15" s="48">
        <v>54.0</v>
      </c>
      <c r="L15" s="48" t="s">
        <v>47</v>
      </c>
      <c r="M15" s="48" t="s">
        <v>47</v>
      </c>
      <c r="N15" s="48">
        <v>6.0</v>
      </c>
      <c r="O15" s="48">
        <v>0.0</v>
      </c>
      <c r="P15" s="48" t="s">
        <v>47</v>
      </c>
      <c r="Q15" s="48">
        <v>39.0</v>
      </c>
      <c r="R15" s="48">
        <v>20.0</v>
      </c>
      <c r="S15" s="48" t="s">
        <v>47</v>
      </c>
      <c r="T15" s="48" t="s">
        <v>47</v>
      </c>
      <c r="U15" s="48" t="s">
        <v>47</v>
      </c>
      <c r="V15" s="48">
        <v>0.0</v>
      </c>
      <c r="W15" s="48">
        <v>0.0</v>
      </c>
      <c r="X15" s="48">
        <v>6.0</v>
      </c>
      <c r="Y15" s="48">
        <v>84.0</v>
      </c>
      <c r="Z15" s="48" t="s">
        <v>47</v>
      </c>
      <c r="AA15" s="48">
        <v>207.0</v>
      </c>
      <c r="AB15" s="48" t="s">
        <v>47</v>
      </c>
      <c r="AC15" s="48">
        <v>626.0</v>
      </c>
      <c r="AD15" s="48" t="s">
        <v>47</v>
      </c>
      <c r="AE15" s="48">
        <v>6.0</v>
      </c>
      <c r="AF15" s="48">
        <v>7.0</v>
      </c>
      <c r="AG15" s="48">
        <v>10.0</v>
      </c>
      <c r="AH15" s="48">
        <v>8.0</v>
      </c>
      <c r="AI15" s="48" t="s">
        <v>47</v>
      </c>
      <c r="AJ15" s="48">
        <v>62.0</v>
      </c>
      <c r="AK15" s="48" t="s">
        <v>47</v>
      </c>
      <c r="AL15" s="48">
        <v>31.0</v>
      </c>
      <c r="AM15" s="48">
        <v>6.0</v>
      </c>
      <c r="AN15" s="48">
        <v>48.0</v>
      </c>
      <c r="AO15" s="48">
        <v>34.0</v>
      </c>
      <c r="AP15" s="96">
        <v>1613.0</v>
      </c>
    </row>
    <row r="16">
      <c r="A16" s="94" t="s">
        <v>86</v>
      </c>
      <c r="B16" s="48">
        <v>6.0</v>
      </c>
      <c r="C16" s="48">
        <v>12.0</v>
      </c>
      <c r="D16" s="48">
        <v>10.0</v>
      </c>
      <c r="E16" s="48">
        <v>175.0</v>
      </c>
      <c r="F16" s="48" t="s">
        <v>47</v>
      </c>
      <c r="G16" s="48">
        <v>16.0</v>
      </c>
      <c r="H16" s="48">
        <v>124.0</v>
      </c>
      <c r="I16" s="48">
        <v>35.0</v>
      </c>
      <c r="J16" s="48">
        <v>12.0</v>
      </c>
      <c r="K16" s="48">
        <v>49.0</v>
      </c>
      <c r="L16" s="48">
        <v>5.0</v>
      </c>
      <c r="M16" s="48" t="s">
        <v>47</v>
      </c>
      <c r="N16" s="48">
        <v>7.0</v>
      </c>
      <c r="O16" s="48" t="s">
        <v>47</v>
      </c>
      <c r="P16" s="48" t="s">
        <v>47</v>
      </c>
      <c r="Q16" s="48">
        <v>44.0</v>
      </c>
      <c r="R16" s="48">
        <v>23.0</v>
      </c>
      <c r="S16" s="48">
        <v>0.0</v>
      </c>
      <c r="T16" s="48">
        <v>6.0</v>
      </c>
      <c r="U16" s="48">
        <v>10.0</v>
      </c>
      <c r="V16" s="48">
        <v>0.0</v>
      </c>
      <c r="W16" s="48">
        <v>9.0</v>
      </c>
      <c r="X16" s="48">
        <v>16.0</v>
      </c>
      <c r="Y16" s="48">
        <v>80.0</v>
      </c>
      <c r="Z16" s="48">
        <v>6.0</v>
      </c>
      <c r="AA16" s="48">
        <v>264.0</v>
      </c>
      <c r="AB16" s="48">
        <v>5.0</v>
      </c>
      <c r="AC16" s="48">
        <v>816.0</v>
      </c>
      <c r="AD16" s="48">
        <v>5.0</v>
      </c>
      <c r="AE16" s="48">
        <v>6.0</v>
      </c>
      <c r="AF16" s="48">
        <v>17.0</v>
      </c>
      <c r="AG16" s="48">
        <v>7.0</v>
      </c>
      <c r="AH16" s="48">
        <v>12.0</v>
      </c>
      <c r="AI16" s="48">
        <v>14.0</v>
      </c>
      <c r="AJ16" s="48">
        <v>59.0</v>
      </c>
      <c r="AK16" s="48" t="s">
        <v>47</v>
      </c>
      <c r="AL16" s="48">
        <v>34.0</v>
      </c>
      <c r="AM16" s="48">
        <v>15.0</v>
      </c>
      <c r="AN16" s="48">
        <v>50.0</v>
      </c>
      <c r="AO16" s="48">
        <v>42.0</v>
      </c>
      <c r="AP16" s="96">
        <v>2003.0</v>
      </c>
    </row>
    <row r="17">
      <c r="A17" s="94" t="s">
        <v>87</v>
      </c>
      <c r="B17" s="48" t="s">
        <v>47</v>
      </c>
      <c r="C17" s="48">
        <v>10.0</v>
      </c>
      <c r="D17" s="48">
        <v>10.0</v>
      </c>
      <c r="E17" s="48">
        <v>134.0</v>
      </c>
      <c r="F17" s="48" t="s">
        <v>47</v>
      </c>
      <c r="G17" s="48">
        <v>12.0</v>
      </c>
      <c r="H17" s="48">
        <v>109.0</v>
      </c>
      <c r="I17" s="48">
        <v>20.0</v>
      </c>
      <c r="J17" s="48">
        <v>10.0</v>
      </c>
      <c r="K17" s="48">
        <v>43.0</v>
      </c>
      <c r="L17" s="48" t="s">
        <v>47</v>
      </c>
      <c r="M17" s="48" t="s">
        <v>47</v>
      </c>
      <c r="N17" s="48" t="s">
        <v>47</v>
      </c>
      <c r="O17" s="48">
        <v>0.0</v>
      </c>
      <c r="P17" s="48">
        <v>0.0</v>
      </c>
      <c r="Q17" s="48">
        <v>25.0</v>
      </c>
      <c r="R17" s="48">
        <v>19.0</v>
      </c>
      <c r="S17" s="48">
        <v>0.0</v>
      </c>
      <c r="T17" s="48" t="s">
        <v>47</v>
      </c>
      <c r="U17" s="48" t="s">
        <v>47</v>
      </c>
      <c r="V17" s="48">
        <v>0.0</v>
      </c>
      <c r="W17" s="48">
        <v>8.0</v>
      </c>
      <c r="X17" s="48">
        <v>5.0</v>
      </c>
      <c r="Y17" s="48">
        <v>58.0</v>
      </c>
      <c r="Z17" s="48" t="s">
        <v>47</v>
      </c>
      <c r="AA17" s="48">
        <v>199.0</v>
      </c>
      <c r="AB17" s="48" t="s">
        <v>47</v>
      </c>
      <c r="AC17" s="48">
        <v>698.0</v>
      </c>
      <c r="AD17" s="48">
        <v>5.0</v>
      </c>
      <c r="AE17" s="48" t="s">
        <v>47</v>
      </c>
      <c r="AF17" s="48">
        <v>11.0</v>
      </c>
      <c r="AG17" s="48" t="s">
        <v>47</v>
      </c>
      <c r="AH17" s="48">
        <v>7.0</v>
      </c>
      <c r="AI17" s="48" t="s">
        <v>47</v>
      </c>
      <c r="AJ17" s="48">
        <v>58.0</v>
      </c>
      <c r="AK17" s="48" t="s">
        <v>47</v>
      </c>
      <c r="AL17" s="48">
        <v>25.0</v>
      </c>
      <c r="AM17" s="48">
        <v>7.0</v>
      </c>
      <c r="AN17" s="48">
        <v>54.0</v>
      </c>
      <c r="AO17" s="48">
        <v>75.0</v>
      </c>
      <c r="AP17" s="96">
        <v>1639.0</v>
      </c>
    </row>
    <row r="18">
      <c r="A18" s="94" t="s">
        <v>88</v>
      </c>
      <c r="B18" s="48" t="s">
        <v>47</v>
      </c>
      <c r="C18" s="48">
        <v>9.0</v>
      </c>
      <c r="D18" s="48" t="s">
        <v>47</v>
      </c>
      <c r="E18" s="48">
        <v>129.0</v>
      </c>
      <c r="F18" s="48" t="s">
        <v>47</v>
      </c>
      <c r="G18" s="48">
        <v>12.0</v>
      </c>
      <c r="H18" s="48">
        <v>82.0</v>
      </c>
      <c r="I18" s="48">
        <v>21.0</v>
      </c>
      <c r="J18" s="48">
        <v>7.0</v>
      </c>
      <c r="K18" s="48">
        <v>51.0</v>
      </c>
      <c r="L18" s="48">
        <v>6.0</v>
      </c>
      <c r="M18" s="48" t="s">
        <v>47</v>
      </c>
      <c r="N18" s="48" t="s">
        <v>47</v>
      </c>
      <c r="O18" s="48" t="s">
        <v>47</v>
      </c>
      <c r="P18" s="48" t="s">
        <v>47</v>
      </c>
      <c r="Q18" s="48">
        <v>33.0</v>
      </c>
      <c r="R18" s="48">
        <v>20.0</v>
      </c>
      <c r="S18" s="48" t="s">
        <v>47</v>
      </c>
      <c r="T18" s="48" t="s">
        <v>47</v>
      </c>
      <c r="U18" s="48" t="s">
        <v>47</v>
      </c>
      <c r="V18" s="48">
        <v>0.0</v>
      </c>
      <c r="W18" s="48">
        <v>8.0</v>
      </c>
      <c r="X18" s="48">
        <v>8.0</v>
      </c>
      <c r="Y18" s="48">
        <v>45.0</v>
      </c>
      <c r="Z18" s="48" t="s">
        <v>47</v>
      </c>
      <c r="AA18" s="48">
        <v>194.0</v>
      </c>
      <c r="AB18" s="48" t="s">
        <v>47</v>
      </c>
      <c r="AC18" s="48">
        <v>546.0</v>
      </c>
      <c r="AD18" s="48" t="s">
        <v>47</v>
      </c>
      <c r="AE18" s="48" t="s">
        <v>47</v>
      </c>
      <c r="AF18" s="48">
        <v>11.0</v>
      </c>
      <c r="AG18" s="48" t="s">
        <v>47</v>
      </c>
      <c r="AH18" s="48">
        <v>5.0</v>
      </c>
      <c r="AI18" s="48" t="s">
        <v>47</v>
      </c>
      <c r="AJ18" s="48">
        <v>45.0</v>
      </c>
      <c r="AK18" s="48">
        <v>0.0</v>
      </c>
      <c r="AL18" s="48">
        <v>28.0</v>
      </c>
      <c r="AM18" s="48" t="s">
        <v>47</v>
      </c>
      <c r="AN18" s="48">
        <v>57.0</v>
      </c>
      <c r="AO18" s="48">
        <v>30.0</v>
      </c>
      <c r="AP18" s="96">
        <v>1387.0</v>
      </c>
    </row>
    <row r="19">
      <c r="A19" s="94" t="s">
        <v>89</v>
      </c>
      <c r="B19" s="48">
        <v>7.0</v>
      </c>
      <c r="C19" s="48">
        <v>6.0</v>
      </c>
      <c r="D19" s="48" t="s">
        <v>47</v>
      </c>
      <c r="E19" s="48">
        <v>96.0</v>
      </c>
      <c r="F19" s="48">
        <v>0.0</v>
      </c>
      <c r="G19" s="48">
        <v>13.0</v>
      </c>
      <c r="H19" s="48">
        <v>76.0</v>
      </c>
      <c r="I19" s="48">
        <v>11.0</v>
      </c>
      <c r="J19" s="48">
        <v>6.0</v>
      </c>
      <c r="K19" s="48">
        <v>36.0</v>
      </c>
      <c r="L19" s="48" t="s">
        <v>47</v>
      </c>
      <c r="M19" s="48" t="s">
        <v>47</v>
      </c>
      <c r="N19" s="48">
        <v>9.0</v>
      </c>
      <c r="O19" s="48" t="s">
        <v>47</v>
      </c>
      <c r="P19" s="48">
        <v>0.0</v>
      </c>
      <c r="Q19" s="48">
        <v>23.0</v>
      </c>
      <c r="R19" s="48">
        <v>13.0</v>
      </c>
      <c r="S19" s="48">
        <v>0.0</v>
      </c>
      <c r="T19" s="48">
        <v>0.0</v>
      </c>
      <c r="U19" s="48" t="s">
        <v>47</v>
      </c>
      <c r="V19" s="48">
        <v>0.0</v>
      </c>
      <c r="W19" s="48" t="s">
        <v>47</v>
      </c>
      <c r="X19" s="48">
        <v>5.0</v>
      </c>
      <c r="Y19" s="48">
        <v>47.0</v>
      </c>
      <c r="Z19" s="48">
        <v>9.0</v>
      </c>
      <c r="AA19" s="48">
        <v>122.0</v>
      </c>
      <c r="AB19" s="48" t="s">
        <v>47</v>
      </c>
      <c r="AC19" s="48">
        <v>480.0</v>
      </c>
      <c r="AD19" s="48" t="s">
        <v>47</v>
      </c>
      <c r="AE19" s="48">
        <v>5.0</v>
      </c>
      <c r="AF19" s="48">
        <v>12.0</v>
      </c>
      <c r="AG19" s="48" t="s">
        <v>47</v>
      </c>
      <c r="AH19" s="48">
        <v>7.0</v>
      </c>
      <c r="AI19" s="48">
        <v>14.0</v>
      </c>
      <c r="AJ19" s="48">
        <v>35.0</v>
      </c>
      <c r="AK19" s="48" t="s">
        <v>47</v>
      </c>
      <c r="AL19" s="48">
        <v>12.0</v>
      </c>
      <c r="AM19" s="48">
        <v>0.0</v>
      </c>
      <c r="AN19" s="48">
        <v>43.0</v>
      </c>
      <c r="AO19" s="48">
        <v>13.0</v>
      </c>
      <c r="AP19" s="96">
        <v>1122.0</v>
      </c>
    </row>
    <row r="20">
      <c r="A20" s="94" t="s">
        <v>90</v>
      </c>
      <c r="B20" s="48">
        <v>7.0</v>
      </c>
      <c r="C20" s="48">
        <v>10.0</v>
      </c>
      <c r="D20" s="48">
        <v>9.0</v>
      </c>
      <c r="E20" s="48">
        <v>64.0</v>
      </c>
      <c r="F20" s="48">
        <v>0.0</v>
      </c>
      <c r="G20" s="48">
        <v>17.0</v>
      </c>
      <c r="H20" s="48">
        <v>74.0</v>
      </c>
      <c r="I20" s="48">
        <v>11.0</v>
      </c>
      <c r="J20" s="48" t="s">
        <v>47</v>
      </c>
      <c r="K20" s="48">
        <v>17.0</v>
      </c>
      <c r="L20" s="48" t="s">
        <v>47</v>
      </c>
      <c r="M20" s="48" t="s">
        <v>47</v>
      </c>
      <c r="N20" s="48" t="s">
        <v>47</v>
      </c>
      <c r="O20" s="48" t="s">
        <v>47</v>
      </c>
      <c r="P20" s="48" t="s">
        <v>47</v>
      </c>
      <c r="Q20" s="48">
        <v>19.0</v>
      </c>
      <c r="R20" s="48">
        <v>11.0</v>
      </c>
      <c r="S20" s="48" t="s">
        <v>47</v>
      </c>
      <c r="T20" s="48" t="s">
        <v>47</v>
      </c>
      <c r="U20" s="48" t="s">
        <v>47</v>
      </c>
      <c r="V20" s="48">
        <v>0.0</v>
      </c>
      <c r="W20" s="48" t="s">
        <v>47</v>
      </c>
      <c r="X20" s="48">
        <v>5.0</v>
      </c>
      <c r="Y20" s="48">
        <v>26.0</v>
      </c>
      <c r="Z20" s="48">
        <v>6.0</v>
      </c>
      <c r="AA20" s="48">
        <v>111.0</v>
      </c>
      <c r="AB20" s="48">
        <v>7.0</v>
      </c>
      <c r="AC20" s="48">
        <v>408.0</v>
      </c>
      <c r="AD20" s="48" t="s">
        <v>47</v>
      </c>
      <c r="AE20" s="48" t="s">
        <v>47</v>
      </c>
      <c r="AF20" s="48">
        <v>6.0</v>
      </c>
      <c r="AG20" s="48" t="s">
        <v>47</v>
      </c>
      <c r="AH20" s="48">
        <v>9.0</v>
      </c>
      <c r="AI20" s="48">
        <v>5.0</v>
      </c>
      <c r="AJ20" s="48">
        <v>36.0</v>
      </c>
      <c r="AK20" s="48" t="s">
        <v>47</v>
      </c>
      <c r="AL20" s="48">
        <v>12.0</v>
      </c>
      <c r="AM20" s="48" t="s">
        <v>47</v>
      </c>
      <c r="AN20" s="48">
        <v>37.0</v>
      </c>
      <c r="AO20" s="48">
        <v>17.0</v>
      </c>
      <c r="AP20" s="96">
        <v>958.0</v>
      </c>
    </row>
    <row r="21">
      <c r="A21" s="94" t="s">
        <v>91</v>
      </c>
      <c r="B21" s="48" t="s">
        <v>47</v>
      </c>
      <c r="C21" s="48">
        <v>9.0</v>
      </c>
      <c r="D21" s="48" t="s">
        <v>47</v>
      </c>
      <c r="E21" s="48">
        <v>31.0</v>
      </c>
      <c r="F21" s="48" t="s">
        <v>47</v>
      </c>
      <c r="G21" s="48">
        <v>10.0</v>
      </c>
      <c r="H21" s="48">
        <v>49.0</v>
      </c>
      <c r="I21" s="48">
        <v>6.0</v>
      </c>
      <c r="J21" s="48">
        <v>0.0</v>
      </c>
      <c r="K21" s="48">
        <v>21.0</v>
      </c>
      <c r="L21" s="48">
        <v>0.0</v>
      </c>
      <c r="M21" s="48" t="s">
        <v>47</v>
      </c>
      <c r="N21" s="48" t="s">
        <v>47</v>
      </c>
      <c r="O21" s="48">
        <v>0.0</v>
      </c>
      <c r="P21" s="48" t="s">
        <v>47</v>
      </c>
      <c r="Q21" s="48">
        <v>34.0</v>
      </c>
      <c r="R21" s="48">
        <v>9.0</v>
      </c>
      <c r="S21" s="48">
        <v>0.0</v>
      </c>
      <c r="T21" s="48" t="s">
        <v>47</v>
      </c>
      <c r="U21" s="48" t="s">
        <v>47</v>
      </c>
      <c r="V21" s="48">
        <v>0.0</v>
      </c>
      <c r="W21" s="48">
        <v>9.0</v>
      </c>
      <c r="X21" s="48">
        <v>6.0</v>
      </c>
      <c r="Y21" s="48">
        <v>17.0</v>
      </c>
      <c r="Z21" s="48" t="s">
        <v>47</v>
      </c>
      <c r="AA21" s="48">
        <v>71.0</v>
      </c>
      <c r="AB21" s="48">
        <v>6.0</v>
      </c>
      <c r="AC21" s="48">
        <v>332.0</v>
      </c>
      <c r="AD21" s="48" t="s">
        <v>47</v>
      </c>
      <c r="AE21" s="48" t="s">
        <v>47</v>
      </c>
      <c r="AF21" s="48">
        <v>0.0</v>
      </c>
      <c r="AG21" s="48">
        <v>0.0</v>
      </c>
      <c r="AH21" s="48" t="s">
        <v>47</v>
      </c>
      <c r="AI21" s="48">
        <v>0.0</v>
      </c>
      <c r="AJ21" s="48">
        <v>20.0</v>
      </c>
      <c r="AK21" s="48" t="s">
        <v>47</v>
      </c>
      <c r="AL21" s="48">
        <v>9.0</v>
      </c>
      <c r="AM21" s="48" t="s">
        <v>47</v>
      </c>
      <c r="AN21" s="48">
        <v>38.0</v>
      </c>
      <c r="AO21" s="48">
        <v>11.0</v>
      </c>
      <c r="AP21" s="50">
        <v>721.0</v>
      </c>
    </row>
    <row r="22">
      <c r="A22" s="94" t="s">
        <v>92</v>
      </c>
      <c r="B22" s="48" t="s">
        <v>47</v>
      </c>
      <c r="C22" s="48" t="s">
        <v>47</v>
      </c>
      <c r="D22" s="48" t="s">
        <v>47</v>
      </c>
      <c r="E22" s="48">
        <v>33.0</v>
      </c>
      <c r="F22" s="48">
        <v>0.0</v>
      </c>
      <c r="G22" s="48" t="s">
        <v>47</v>
      </c>
      <c r="H22" s="48">
        <v>35.0</v>
      </c>
      <c r="I22" s="48">
        <v>11.0</v>
      </c>
      <c r="J22" s="48" t="s">
        <v>47</v>
      </c>
      <c r="K22" s="48">
        <v>12.0</v>
      </c>
      <c r="L22" s="48" t="s">
        <v>47</v>
      </c>
      <c r="M22" s="48">
        <v>0.0</v>
      </c>
      <c r="N22" s="48" t="s">
        <v>47</v>
      </c>
      <c r="O22" s="48">
        <v>0.0</v>
      </c>
      <c r="P22" s="48" t="s">
        <v>47</v>
      </c>
      <c r="Q22" s="48">
        <v>12.0</v>
      </c>
      <c r="R22" s="48" t="s">
        <v>47</v>
      </c>
      <c r="S22" s="48">
        <v>0.0</v>
      </c>
      <c r="T22" s="48" t="s">
        <v>47</v>
      </c>
      <c r="U22" s="48" t="s">
        <v>47</v>
      </c>
      <c r="V22" s="48">
        <v>0.0</v>
      </c>
      <c r="W22" s="48" t="s">
        <v>47</v>
      </c>
      <c r="X22" s="48" t="s">
        <v>47</v>
      </c>
      <c r="Y22" s="48">
        <v>20.0</v>
      </c>
      <c r="Z22" s="48" t="s">
        <v>47</v>
      </c>
      <c r="AA22" s="48">
        <v>51.0</v>
      </c>
      <c r="AB22" s="48">
        <v>5.0</v>
      </c>
      <c r="AC22" s="48">
        <v>257.0</v>
      </c>
      <c r="AD22" s="48">
        <v>0.0</v>
      </c>
      <c r="AE22" s="48" t="s">
        <v>47</v>
      </c>
      <c r="AF22" s="48" t="s">
        <v>47</v>
      </c>
      <c r="AG22" s="48">
        <v>0.0</v>
      </c>
      <c r="AH22" s="48" t="s">
        <v>47</v>
      </c>
      <c r="AI22" s="48" t="s">
        <v>47</v>
      </c>
      <c r="AJ22" s="48">
        <v>19.0</v>
      </c>
      <c r="AK22" s="48">
        <v>0.0</v>
      </c>
      <c r="AL22" s="48">
        <v>9.0</v>
      </c>
      <c r="AM22" s="48">
        <v>0.0</v>
      </c>
      <c r="AN22" s="48">
        <v>25.0</v>
      </c>
      <c r="AO22" s="48">
        <v>5.0</v>
      </c>
      <c r="AP22" s="50">
        <v>531.0</v>
      </c>
    </row>
    <row r="23">
      <c r="A23" s="94" t="s">
        <v>93</v>
      </c>
      <c r="B23" s="48" t="s">
        <v>47</v>
      </c>
      <c r="C23" s="48" t="s">
        <v>47</v>
      </c>
      <c r="D23" s="48" t="s">
        <v>47</v>
      </c>
      <c r="E23" s="48">
        <v>23.0</v>
      </c>
      <c r="F23" s="48" t="s">
        <v>47</v>
      </c>
      <c r="G23" s="48" t="s">
        <v>47</v>
      </c>
      <c r="H23" s="48">
        <v>32.0</v>
      </c>
      <c r="I23" s="48">
        <v>9.0</v>
      </c>
      <c r="J23" s="48" t="s">
        <v>47</v>
      </c>
      <c r="K23" s="48">
        <v>12.0</v>
      </c>
      <c r="L23" s="48" t="s">
        <v>47</v>
      </c>
      <c r="M23" s="48">
        <v>0.0</v>
      </c>
      <c r="N23" s="48">
        <v>0.0</v>
      </c>
      <c r="O23" s="48">
        <v>0.0</v>
      </c>
      <c r="P23" s="48">
        <v>0.0</v>
      </c>
      <c r="Q23" s="48">
        <v>15.0</v>
      </c>
      <c r="R23" s="48">
        <v>6.0</v>
      </c>
      <c r="S23" s="48">
        <v>0.0</v>
      </c>
      <c r="T23" s="48" t="s">
        <v>47</v>
      </c>
      <c r="U23" s="48">
        <v>0.0</v>
      </c>
      <c r="V23" s="48">
        <v>0.0</v>
      </c>
      <c r="W23" s="48" t="s">
        <v>47</v>
      </c>
      <c r="X23" s="48" t="s">
        <v>47</v>
      </c>
      <c r="Y23" s="48">
        <v>9.0</v>
      </c>
      <c r="Z23" s="48">
        <v>7.0</v>
      </c>
      <c r="AA23" s="48">
        <v>41.0</v>
      </c>
      <c r="AB23" s="48">
        <v>0.0</v>
      </c>
      <c r="AC23" s="48">
        <v>159.0</v>
      </c>
      <c r="AD23" s="48">
        <v>0.0</v>
      </c>
      <c r="AE23" s="48" t="s">
        <v>47</v>
      </c>
      <c r="AF23" s="48" t="s">
        <v>47</v>
      </c>
      <c r="AG23" s="48" t="s">
        <v>47</v>
      </c>
      <c r="AH23" s="48" t="s">
        <v>47</v>
      </c>
      <c r="AI23" s="48" t="s">
        <v>47</v>
      </c>
      <c r="AJ23" s="48">
        <v>10.0</v>
      </c>
      <c r="AK23" s="48">
        <v>0.0</v>
      </c>
      <c r="AL23" s="48" t="s">
        <v>47</v>
      </c>
      <c r="AM23" s="48">
        <v>0.0</v>
      </c>
      <c r="AN23" s="48">
        <v>19.0</v>
      </c>
      <c r="AO23" s="48" t="s">
        <v>47</v>
      </c>
      <c r="AP23" s="50">
        <v>378.0</v>
      </c>
    </row>
    <row r="24">
      <c r="A24" s="94" t="s">
        <v>94</v>
      </c>
      <c r="B24" s="48">
        <v>0.0</v>
      </c>
      <c r="C24" s="48" t="s">
        <v>47</v>
      </c>
      <c r="D24" s="48" t="s">
        <v>47</v>
      </c>
      <c r="E24" s="48">
        <v>22.0</v>
      </c>
      <c r="F24" s="48" t="s">
        <v>47</v>
      </c>
      <c r="G24" s="48">
        <v>0.0</v>
      </c>
      <c r="H24" s="48">
        <v>18.0</v>
      </c>
      <c r="I24" s="48" t="s">
        <v>47</v>
      </c>
      <c r="J24" s="48" t="s">
        <v>47</v>
      </c>
      <c r="K24" s="48">
        <v>8.0</v>
      </c>
      <c r="L24" s="48">
        <v>0.0</v>
      </c>
      <c r="M24" s="48">
        <v>0.0</v>
      </c>
      <c r="N24" s="48">
        <v>0.0</v>
      </c>
      <c r="O24" s="48">
        <v>0.0</v>
      </c>
      <c r="P24" s="48" t="s">
        <v>47</v>
      </c>
      <c r="Q24" s="48">
        <v>6.0</v>
      </c>
      <c r="R24" s="48">
        <v>5.0</v>
      </c>
      <c r="S24" s="48">
        <v>0.0</v>
      </c>
      <c r="T24" s="48" t="s">
        <v>47</v>
      </c>
      <c r="U24" s="48" t="s">
        <v>47</v>
      </c>
      <c r="V24" s="48">
        <v>0.0</v>
      </c>
      <c r="W24" s="48">
        <v>7.0</v>
      </c>
      <c r="X24" s="48" t="s">
        <v>47</v>
      </c>
      <c r="Y24" s="48" t="s">
        <v>47</v>
      </c>
      <c r="Z24" s="48" t="s">
        <v>47</v>
      </c>
      <c r="AA24" s="48">
        <v>26.0</v>
      </c>
      <c r="AB24" s="48">
        <v>0.0</v>
      </c>
      <c r="AC24" s="48">
        <v>130.0</v>
      </c>
      <c r="AD24" s="48" t="s">
        <v>47</v>
      </c>
      <c r="AE24" s="48" t="s">
        <v>47</v>
      </c>
      <c r="AF24" s="48" t="s">
        <v>47</v>
      </c>
      <c r="AG24" s="48">
        <v>0.0</v>
      </c>
      <c r="AH24" s="48">
        <v>0.0</v>
      </c>
      <c r="AI24" s="48" t="s">
        <v>47</v>
      </c>
      <c r="AJ24" s="48">
        <v>11.0</v>
      </c>
      <c r="AK24" s="48">
        <v>0.0</v>
      </c>
      <c r="AL24" s="48">
        <v>10.0</v>
      </c>
      <c r="AM24" s="48" t="s">
        <v>47</v>
      </c>
      <c r="AN24" s="48">
        <v>15.0</v>
      </c>
      <c r="AO24" s="48">
        <v>5.0</v>
      </c>
      <c r="AP24" s="50">
        <v>292.0</v>
      </c>
    </row>
    <row r="25">
      <c r="A25" s="94" t="s">
        <v>95</v>
      </c>
      <c r="B25" s="48" t="s">
        <v>47</v>
      </c>
      <c r="C25" s="48" t="s">
        <v>47</v>
      </c>
      <c r="D25" s="48" t="s">
        <v>47</v>
      </c>
      <c r="E25" s="48">
        <v>12.0</v>
      </c>
      <c r="F25" s="48" t="s">
        <v>47</v>
      </c>
      <c r="G25" s="48" t="s">
        <v>47</v>
      </c>
      <c r="H25" s="48">
        <v>13.0</v>
      </c>
      <c r="I25" s="48">
        <v>9.0</v>
      </c>
      <c r="J25" s="48" t="s">
        <v>47</v>
      </c>
      <c r="K25" s="48">
        <v>7.0</v>
      </c>
      <c r="L25" s="48">
        <v>0.0</v>
      </c>
      <c r="M25" s="48" t="s">
        <v>47</v>
      </c>
      <c r="N25" s="48" t="s">
        <v>47</v>
      </c>
      <c r="O25" s="48" t="s">
        <v>47</v>
      </c>
      <c r="P25" s="48">
        <v>0.0</v>
      </c>
      <c r="Q25" s="48">
        <v>9.0</v>
      </c>
      <c r="R25" s="48">
        <v>5.0</v>
      </c>
      <c r="S25" s="48">
        <v>0.0</v>
      </c>
      <c r="T25" s="48">
        <v>6.0</v>
      </c>
      <c r="U25" s="48">
        <v>0.0</v>
      </c>
      <c r="V25" s="48">
        <v>0.0</v>
      </c>
      <c r="W25" s="48">
        <v>12.0</v>
      </c>
      <c r="X25" s="48" t="s">
        <v>47</v>
      </c>
      <c r="Y25" s="48">
        <v>12.0</v>
      </c>
      <c r="Z25" s="48" t="s">
        <v>47</v>
      </c>
      <c r="AA25" s="48">
        <v>40.0</v>
      </c>
      <c r="AB25" s="48" t="s">
        <v>47</v>
      </c>
      <c r="AC25" s="48">
        <v>118.0</v>
      </c>
      <c r="AD25" s="48">
        <v>0.0</v>
      </c>
      <c r="AE25" s="48" t="s">
        <v>47</v>
      </c>
      <c r="AF25" s="48" t="s">
        <v>47</v>
      </c>
      <c r="AG25" s="48" t="s">
        <v>47</v>
      </c>
      <c r="AH25" s="48" t="s">
        <v>47</v>
      </c>
      <c r="AI25" s="48" t="s">
        <v>47</v>
      </c>
      <c r="AJ25" s="48">
        <v>10.0</v>
      </c>
      <c r="AK25" s="48" t="s">
        <v>47</v>
      </c>
      <c r="AL25" s="48">
        <v>9.0</v>
      </c>
      <c r="AM25" s="48" t="s">
        <v>47</v>
      </c>
      <c r="AN25" s="48">
        <v>16.0</v>
      </c>
      <c r="AO25" s="48">
        <v>14.0</v>
      </c>
      <c r="AP25" s="50">
        <v>327.0</v>
      </c>
    </row>
    <row r="26">
      <c r="A26" s="94" t="s">
        <v>96</v>
      </c>
      <c r="B26" s="48" t="s">
        <v>47</v>
      </c>
      <c r="C26" s="48" t="s">
        <v>47</v>
      </c>
      <c r="D26" s="48" t="s">
        <v>47</v>
      </c>
      <c r="E26" s="48">
        <v>6.0</v>
      </c>
      <c r="F26" s="48" t="s">
        <v>47</v>
      </c>
      <c r="G26" s="48">
        <v>9.0</v>
      </c>
      <c r="H26" s="48">
        <v>32.0</v>
      </c>
      <c r="I26" s="48" t="s">
        <v>47</v>
      </c>
      <c r="J26" s="48" t="s">
        <v>47</v>
      </c>
      <c r="K26" s="48">
        <v>6.0</v>
      </c>
      <c r="L26" s="48">
        <v>0.0</v>
      </c>
      <c r="M26" s="48" t="s">
        <v>47</v>
      </c>
      <c r="N26" s="48" t="s">
        <v>47</v>
      </c>
      <c r="O26" s="48">
        <v>0.0</v>
      </c>
      <c r="P26" s="48" t="s">
        <v>47</v>
      </c>
      <c r="Q26" s="48">
        <v>9.0</v>
      </c>
      <c r="R26" s="48" t="s">
        <v>47</v>
      </c>
      <c r="S26" s="48" t="s">
        <v>47</v>
      </c>
      <c r="T26" s="48">
        <v>5.0</v>
      </c>
      <c r="U26" s="48">
        <v>0.0</v>
      </c>
      <c r="V26" s="48">
        <v>0.0</v>
      </c>
      <c r="W26" s="48">
        <v>9.0</v>
      </c>
      <c r="X26" s="48" t="s">
        <v>47</v>
      </c>
      <c r="Y26" s="48">
        <v>10.0</v>
      </c>
      <c r="Z26" s="48" t="s">
        <v>47</v>
      </c>
      <c r="AA26" s="48">
        <v>13.0</v>
      </c>
      <c r="AB26" s="48" t="s">
        <v>47</v>
      </c>
      <c r="AC26" s="48">
        <v>84.0</v>
      </c>
      <c r="AD26" s="48">
        <v>0.0</v>
      </c>
      <c r="AE26" s="48" t="s">
        <v>47</v>
      </c>
      <c r="AF26" s="48">
        <v>5.0</v>
      </c>
      <c r="AG26" s="48">
        <v>0.0</v>
      </c>
      <c r="AH26" s="48" t="s">
        <v>47</v>
      </c>
      <c r="AI26" s="48" t="s">
        <v>47</v>
      </c>
      <c r="AJ26" s="48">
        <v>10.0</v>
      </c>
      <c r="AK26" s="48">
        <v>0.0</v>
      </c>
      <c r="AL26" s="48">
        <v>8.0</v>
      </c>
      <c r="AM26" s="48">
        <v>5.0</v>
      </c>
      <c r="AN26" s="48">
        <v>7.0</v>
      </c>
      <c r="AO26" s="48">
        <v>9.0</v>
      </c>
      <c r="AP26" s="50">
        <v>260.0</v>
      </c>
    </row>
    <row r="27">
      <c r="A27" s="94" t="s">
        <v>97</v>
      </c>
      <c r="B27" s="48" t="s">
        <v>47</v>
      </c>
      <c r="C27" s="48">
        <v>7.0</v>
      </c>
      <c r="D27" s="48" t="s">
        <v>47</v>
      </c>
      <c r="E27" s="48">
        <v>15.0</v>
      </c>
      <c r="F27" s="48" t="s">
        <v>47</v>
      </c>
      <c r="G27" s="48">
        <v>9.0</v>
      </c>
      <c r="H27" s="48">
        <v>24.0</v>
      </c>
      <c r="I27" s="48" t="s">
        <v>47</v>
      </c>
      <c r="J27" s="48">
        <v>7.0</v>
      </c>
      <c r="K27" s="48">
        <v>7.0</v>
      </c>
      <c r="L27" s="48">
        <v>0.0</v>
      </c>
      <c r="M27" s="48">
        <v>0.0</v>
      </c>
      <c r="N27" s="48" t="s">
        <v>47</v>
      </c>
      <c r="O27" s="48" t="s">
        <v>47</v>
      </c>
      <c r="P27" s="48" t="s">
        <v>47</v>
      </c>
      <c r="Q27" s="48">
        <v>6.0</v>
      </c>
      <c r="R27" s="48">
        <v>6.0</v>
      </c>
      <c r="S27" s="48">
        <v>0.0</v>
      </c>
      <c r="T27" s="48">
        <v>8.0</v>
      </c>
      <c r="U27" s="48" t="s">
        <v>47</v>
      </c>
      <c r="V27" s="48" t="s">
        <v>47</v>
      </c>
      <c r="W27" s="48">
        <v>11.0</v>
      </c>
      <c r="X27" s="48">
        <v>0.0</v>
      </c>
      <c r="Y27" s="48">
        <v>16.0</v>
      </c>
      <c r="Z27" s="48">
        <v>5.0</v>
      </c>
      <c r="AA27" s="48">
        <v>28.0</v>
      </c>
      <c r="AB27" s="48" t="s">
        <v>47</v>
      </c>
      <c r="AC27" s="48">
        <v>102.0</v>
      </c>
      <c r="AD27" s="48">
        <v>0.0</v>
      </c>
      <c r="AE27" s="48" t="s">
        <v>47</v>
      </c>
      <c r="AF27" s="48">
        <v>5.0</v>
      </c>
      <c r="AG27" s="48" t="s">
        <v>47</v>
      </c>
      <c r="AH27" s="48" t="s">
        <v>47</v>
      </c>
      <c r="AI27" s="48" t="s">
        <v>47</v>
      </c>
      <c r="AJ27" s="48">
        <v>17.0</v>
      </c>
      <c r="AK27" s="48" t="s">
        <v>47</v>
      </c>
      <c r="AL27" s="48">
        <v>13.0</v>
      </c>
      <c r="AM27" s="48" t="s">
        <v>47</v>
      </c>
      <c r="AN27" s="48">
        <v>12.0</v>
      </c>
      <c r="AO27" s="48">
        <v>5.0</v>
      </c>
      <c r="AP27" s="50">
        <v>335.0</v>
      </c>
    </row>
    <row r="28">
      <c r="A28" s="94" t="s">
        <v>98</v>
      </c>
      <c r="B28" s="48" t="s">
        <v>47</v>
      </c>
      <c r="C28" s="48">
        <v>8.0</v>
      </c>
      <c r="D28" s="48" t="s">
        <v>47</v>
      </c>
      <c r="E28" s="48">
        <v>21.0</v>
      </c>
      <c r="F28" s="48" t="s">
        <v>47</v>
      </c>
      <c r="G28" s="48" t="s">
        <v>47</v>
      </c>
      <c r="H28" s="48">
        <v>35.0</v>
      </c>
      <c r="I28" s="48">
        <v>11.0</v>
      </c>
      <c r="J28" s="48" t="s">
        <v>47</v>
      </c>
      <c r="K28" s="48">
        <v>15.0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59.0</v>
      </c>
      <c r="AB28" s="48" t="s">
        <v>47</v>
      </c>
      <c r="AC28" s="48">
        <v>121.0</v>
      </c>
      <c r="AD28" s="48">
        <v>0.0</v>
      </c>
      <c r="AE28" s="48" t="s">
        <v>47</v>
      </c>
      <c r="AF28" s="48">
        <v>13.0</v>
      </c>
      <c r="AG28" s="48">
        <v>0.0</v>
      </c>
      <c r="AH28" s="48" t="s">
        <v>47</v>
      </c>
      <c r="AI28" s="48" t="s">
        <v>47</v>
      </c>
      <c r="AJ28" s="48">
        <v>20.0</v>
      </c>
      <c r="AK28" s="48">
        <v>0.0</v>
      </c>
      <c r="AL28" s="48">
        <v>9.0</v>
      </c>
      <c r="AM28" s="48" t="s">
        <v>47</v>
      </c>
      <c r="AN28" s="48">
        <v>16.0</v>
      </c>
      <c r="AO28" s="48">
        <v>18.0</v>
      </c>
      <c r="AP28" s="50">
        <v>417.0</v>
      </c>
    </row>
    <row r="29">
      <c r="A29" s="94" t="s">
        <v>99</v>
      </c>
      <c r="B29" s="48">
        <v>0.0</v>
      </c>
      <c r="C29" s="48">
        <v>8.0</v>
      </c>
      <c r="D29" s="48" t="s">
        <v>47</v>
      </c>
      <c r="E29" s="48">
        <v>35.0</v>
      </c>
      <c r="F29" s="48" t="s">
        <v>47</v>
      </c>
      <c r="G29" s="48">
        <v>11.0</v>
      </c>
      <c r="H29" s="48">
        <v>44.0</v>
      </c>
      <c r="I29" s="48">
        <v>10.0</v>
      </c>
      <c r="J29" s="48">
        <v>6.0</v>
      </c>
      <c r="K29" s="48">
        <v>20.0</v>
      </c>
      <c r="L29" s="48" t="s">
        <v>47</v>
      </c>
      <c r="M29" s="48">
        <v>0.0</v>
      </c>
      <c r="N29" s="48" t="s">
        <v>47</v>
      </c>
      <c r="O29" s="48" t="s">
        <v>47</v>
      </c>
      <c r="P29" s="48" t="s">
        <v>47</v>
      </c>
      <c r="Q29" s="48">
        <v>19.0</v>
      </c>
      <c r="R29" s="48">
        <v>5.0</v>
      </c>
      <c r="S29" s="48">
        <v>0.0</v>
      </c>
      <c r="T29" s="48" t="s">
        <v>47</v>
      </c>
      <c r="U29" s="48" t="s">
        <v>47</v>
      </c>
      <c r="V29" s="48" t="s">
        <v>47</v>
      </c>
      <c r="W29" s="48">
        <v>7.0</v>
      </c>
      <c r="X29" s="48">
        <v>5.0</v>
      </c>
      <c r="Y29" s="48">
        <v>33.0</v>
      </c>
      <c r="Z29" s="48" t="s">
        <v>47</v>
      </c>
      <c r="AA29" s="48">
        <v>93.0</v>
      </c>
      <c r="AB29" s="48" t="s">
        <v>47</v>
      </c>
      <c r="AC29" s="48">
        <v>168.0</v>
      </c>
      <c r="AD29" s="48">
        <v>0.0</v>
      </c>
      <c r="AE29" s="48" t="s">
        <v>47</v>
      </c>
      <c r="AF29" s="48">
        <v>9.0</v>
      </c>
      <c r="AG29" s="48">
        <v>0.0</v>
      </c>
      <c r="AH29" s="48" t="s">
        <v>47</v>
      </c>
      <c r="AI29" s="48">
        <v>9.0</v>
      </c>
      <c r="AJ29" s="48">
        <v>34.0</v>
      </c>
      <c r="AK29" s="48" t="s">
        <v>47</v>
      </c>
      <c r="AL29" s="48">
        <v>10.0</v>
      </c>
      <c r="AM29" s="48" t="s">
        <v>47</v>
      </c>
      <c r="AN29" s="48">
        <v>17.0</v>
      </c>
      <c r="AO29" s="48">
        <v>37.0</v>
      </c>
      <c r="AP29" s="50">
        <v>611.0</v>
      </c>
    </row>
    <row r="30">
      <c r="A30" s="131" t="s">
        <v>100</v>
      </c>
      <c r="B30" s="48" t="s">
        <v>47</v>
      </c>
      <c r="C30" s="48">
        <v>5.0</v>
      </c>
      <c r="D30" s="48">
        <v>7.0</v>
      </c>
      <c r="E30" s="132">
        <v>37.0</v>
      </c>
      <c r="F30" s="48" t="s">
        <v>47</v>
      </c>
      <c r="G30" s="48">
        <v>7.0</v>
      </c>
      <c r="H30" s="132">
        <v>77.0</v>
      </c>
      <c r="I30" s="48">
        <v>10.0</v>
      </c>
      <c r="J30" s="48">
        <v>7.0</v>
      </c>
      <c r="K30" s="48">
        <v>14.0</v>
      </c>
      <c r="L30" s="48" t="s">
        <v>47</v>
      </c>
      <c r="M30" s="48" t="s">
        <v>47</v>
      </c>
      <c r="N30" s="48" t="s">
        <v>47</v>
      </c>
      <c r="O30" s="48">
        <v>0.0</v>
      </c>
      <c r="P30" s="48" t="s">
        <v>47</v>
      </c>
      <c r="Q30" s="48">
        <v>10.0</v>
      </c>
      <c r="R30" s="48">
        <v>13.0</v>
      </c>
      <c r="S30" s="48">
        <v>0.0</v>
      </c>
      <c r="T30" s="48">
        <v>6.0</v>
      </c>
      <c r="U30" s="48">
        <v>0.0</v>
      </c>
      <c r="V30" s="48" t="s">
        <v>47</v>
      </c>
      <c r="W30" s="48">
        <v>7.0</v>
      </c>
      <c r="X30" s="48">
        <v>5.0</v>
      </c>
      <c r="Y30" s="48">
        <v>34.0</v>
      </c>
      <c r="Z30" s="48" t="s">
        <v>47</v>
      </c>
      <c r="AA30" s="132">
        <v>104.0</v>
      </c>
      <c r="AB30" s="48">
        <v>0.0</v>
      </c>
      <c r="AC30" s="132">
        <v>191.0</v>
      </c>
      <c r="AD30" s="48" t="s">
        <v>47</v>
      </c>
      <c r="AE30" s="48" t="s">
        <v>47</v>
      </c>
      <c r="AF30" s="48" t="s">
        <v>47</v>
      </c>
      <c r="AG30" s="48" t="s">
        <v>47</v>
      </c>
      <c r="AH30" s="48" t="s">
        <v>47</v>
      </c>
      <c r="AI30" s="48" t="s">
        <v>47</v>
      </c>
      <c r="AJ30" s="48">
        <v>36.0</v>
      </c>
      <c r="AK30" s="48" t="s">
        <v>47</v>
      </c>
      <c r="AL30" s="48">
        <v>21.0</v>
      </c>
      <c r="AM30" s="48" t="s">
        <v>47</v>
      </c>
      <c r="AN30" s="48">
        <v>20.0</v>
      </c>
      <c r="AO30" s="48">
        <v>30.0</v>
      </c>
      <c r="AP30" s="96">
        <v>671.0</v>
      </c>
    </row>
    <row r="31">
      <c r="A31" s="133" t="s">
        <v>101</v>
      </c>
      <c r="B31" s="48" t="s">
        <v>47</v>
      </c>
      <c r="C31" s="48">
        <v>5.0</v>
      </c>
      <c r="D31" s="48" t="s">
        <v>47</v>
      </c>
      <c r="E31" s="132">
        <v>38.0</v>
      </c>
      <c r="F31" s="48">
        <v>0.0</v>
      </c>
      <c r="G31" s="48">
        <v>8.0</v>
      </c>
      <c r="H31" s="132">
        <v>94.0</v>
      </c>
      <c r="I31" s="48">
        <v>11.0</v>
      </c>
      <c r="J31" s="48" t="s">
        <v>47</v>
      </c>
      <c r="K31" s="48">
        <v>19.0</v>
      </c>
      <c r="L31" s="48" t="s">
        <v>47</v>
      </c>
      <c r="M31" s="48" t="s">
        <v>47</v>
      </c>
      <c r="N31" s="48" t="s">
        <v>47</v>
      </c>
      <c r="O31" s="48" t="s">
        <v>47</v>
      </c>
      <c r="P31" s="48">
        <v>0.0</v>
      </c>
      <c r="Q31" s="48">
        <v>16.0</v>
      </c>
      <c r="R31" s="48">
        <v>14.0</v>
      </c>
      <c r="S31" s="48">
        <v>0.0</v>
      </c>
      <c r="T31" s="48" t="s">
        <v>47</v>
      </c>
      <c r="U31" s="48" t="s">
        <v>47</v>
      </c>
      <c r="V31" s="48" t="s">
        <v>47</v>
      </c>
      <c r="W31" s="48">
        <v>5.0</v>
      </c>
      <c r="X31" s="48">
        <v>7.0</v>
      </c>
      <c r="Y31" s="48">
        <v>27.0</v>
      </c>
      <c r="Z31" s="48" t="s">
        <v>47</v>
      </c>
      <c r="AA31" s="132">
        <v>83.0</v>
      </c>
      <c r="AB31" s="48" t="s">
        <v>47</v>
      </c>
      <c r="AC31" s="132">
        <v>222.0</v>
      </c>
      <c r="AD31" s="48" t="s">
        <v>47</v>
      </c>
      <c r="AE31" s="48">
        <v>5.0</v>
      </c>
      <c r="AF31" s="48">
        <v>7.0</v>
      </c>
      <c r="AG31" s="48" t="s">
        <v>47</v>
      </c>
      <c r="AH31" s="48">
        <v>0.0</v>
      </c>
      <c r="AI31" s="48">
        <v>0.0</v>
      </c>
      <c r="AJ31" s="48">
        <v>30.0</v>
      </c>
      <c r="AK31" s="48">
        <v>0.0</v>
      </c>
      <c r="AL31" s="48">
        <v>11.0</v>
      </c>
      <c r="AM31" s="48">
        <v>5.0</v>
      </c>
      <c r="AN31" s="48">
        <v>21.0</v>
      </c>
      <c r="AO31" s="48" t="s">
        <v>47</v>
      </c>
      <c r="AP31" s="96">
        <v>657.0</v>
      </c>
    </row>
    <row r="32">
      <c r="A32" s="133" t="s">
        <v>102</v>
      </c>
      <c r="B32" s="134" t="s">
        <v>47</v>
      </c>
      <c r="C32" s="134">
        <v>5.0</v>
      </c>
      <c r="D32" s="134" t="s">
        <v>47</v>
      </c>
      <c r="E32" s="135">
        <v>34.0</v>
      </c>
      <c r="F32" s="134" t="s">
        <v>47</v>
      </c>
      <c r="G32" s="134">
        <v>6.0</v>
      </c>
      <c r="H32" s="135">
        <v>34.0</v>
      </c>
      <c r="I32" s="134">
        <v>15.0</v>
      </c>
      <c r="J32" s="134">
        <v>5.0</v>
      </c>
      <c r="K32" s="134">
        <v>13.0</v>
      </c>
      <c r="L32" s="134" t="s">
        <v>47</v>
      </c>
      <c r="M32" s="134" t="s">
        <v>47</v>
      </c>
      <c r="N32" s="134" t="s">
        <v>47</v>
      </c>
      <c r="O32" s="134">
        <v>0.0</v>
      </c>
      <c r="P32" s="134" t="s">
        <v>47</v>
      </c>
      <c r="Q32" s="134">
        <v>11.0</v>
      </c>
      <c r="R32" s="134">
        <v>6.0</v>
      </c>
      <c r="S32" s="134">
        <v>0.0</v>
      </c>
      <c r="T32" s="134">
        <v>0.0</v>
      </c>
      <c r="U32" s="134">
        <v>18.0</v>
      </c>
      <c r="V32" s="134" t="s">
        <v>47</v>
      </c>
      <c r="W32" s="134" t="s">
        <v>47</v>
      </c>
      <c r="X32" s="134">
        <v>11.0</v>
      </c>
      <c r="Y32" s="134">
        <v>19.0</v>
      </c>
      <c r="Z32" s="134">
        <v>0.0</v>
      </c>
      <c r="AA32" s="135">
        <v>55.0</v>
      </c>
      <c r="AB32" s="134" t="s">
        <v>47</v>
      </c>
      <c r="AC32" s="135">
        <v>222.0</v>
      </c>
      <c r="AD32" s="134" t="s">
        <v>47</v>
      </c>
      <c r="AE32" s="134" t="s">
        <v>47</v>
      </c>
      <c r="AF32" s="134">
        <v>10.0</v>
      </c>
      <c r="AG32" s="134">
        <v>17.0</v>
      </c>
      <c r="AH32" s="134" t="s">
        <v>47</v>
      </c>
      <c r="AI32" s="134">
        <v>0.0</v>
      </c>
      <c r="AJ32" s="134">
        <v>20.0</v>
      </c>
      <c r="AK32" s="134" t="s">
        <v>47</v>
      </c>
      <c r="AL32" s="134">
        <v>15.0</v>
      </c>
      <c r="AM32" s="134">
        <v>0.0</v>
      </c>
      <c r="AN32" s="134">
        <v>21.0</v>
      </c>
      <c r="AO32" s="134" t="s">
        <v>47</v>
      </c>
      <c r="AP32" s="136">
        <v>569.0</v>
      </c>
    </row>
    <row r="33">
      <c r="A33" s="133" t="s">
        <v>103</v>
      </c>
      <c r="B33" s="134">
        <v>0.0</v>
      </c>
      <c r="C33" s="134">
        <v>15.0</v>
      </c>
      <c r="D33" s="134" t="s">
        <v>47</v>
      </c>
      <c r="E33" s="135">
        <v>36.0</v>
      </c>
      <c r="F33" s="134">
        <v>0.0</v>
      </c>
      <c r="G33" s="134">
        <v>9.0</v>
      </c>
      <c r="H33" s="135">
        <v>51.0</v>
      </c>
      <c r="I33" s="134">
        <v>21.0</v>
      </c>
      <c r="J33" s="134">
        <v>9.0</v>
      </c>
      <c r="K33" s="134">
        <v>13.0</v>
      </c>
      <c r="L33" s="134" t="s">
        <v>47</v>
      </c>
      <c r="M33" s="134" t="s">
        <v>47</v>
      </c>
      <c r="N33" s="134" t="s">
        <v>47</v>
      </c>
      <c r="O33" s="134" t="s">
        <v>47</v>
      </c>
      <c r="P33" s="134" t="s">
        <v>47</v>
      </c>
      <c r="Q33" s="134">
        <v>22.0</v>
      </c>
      <c r="R33" s="134">
        <v>9.0</v>
      </c>
      <c r="S33" s="134">
        <v>0.0</v>
      </c>
      <c r="T33" s="134">
        <v>7.0</v>
      </c>
      <c r="U33" s="134">
        <v>9.0</v>
      </c>
      <c r="V33" s="134">
        <v>0.0</v>
      </c>
      <c r="W33" s="134" t="s">
        <v>47</v>
      </c>
      <c r="X33" s="134">
        <v>22.0</v>
      </c>
      <c r="Y33" s="134">
        <v>19.0</v>
      </c>
      <c r="Z33" s="134" t="s">
        <v>47</v>
      </c>
      <c r="AA33" s="135">
        <v>54.0</v>
      </c>
      <c r="AB33" s="134" t="s">
        <v>47</v>
      </c>
      <c r="AC33" s="135">
        <v>219.0</v>
      </c>
      <c r="AD33" s="134">
        <v>0.0</v>
      </c>
      <c r="AE33" s="134" t="s">
        <v>47</v>
      </c>
      <c r="AF33" s="134">
        <v>9.0</v>
      </c>
      <c r="AG33" s="134">
        <v>7.0</v>
      </c>
      <c r="AH33" s="134">
        <v>7.0</v>
      </c>
      <c r="AI33" s="134" t="s">
        <v>47</v>
      </c>
      <c r="AJ33" s="134">
        <v>36.0</v>
      </c>
      <c r="AK33" s="134" t="s">
        <v>47</v>
      </c>
      <c r="AL33" s="134" t="s">
        <v>47</v>
      </c>
      <c r="AM33" s="134" t="s">
        <v>47</v>
      </c>
      <c r="AN33" s="134">
        <v>16.0</v>
      </c>
      <c r="AO33" s="134">
        <v>12.0</v>
      </c>
      <c r="AP33" s="136">
        <v>630.0</v>
      </c>
    </row>
    <row r="34">
      <c r="A34" s="133" t="s">
        <v>104</v>
      </c>
      <c r="B34" s="134" t="s">
        <v>47</v>
      </c>
      <c r="C34" s="134">
        <v>7.0</v>
      </c>
      <c r="D34" s="134" t="s">
        <v>47</v>
      </c>
      <c r="E34" s="135">
        <v>22.0</v>
      </c>
      <c r="F34" s="134" t="s">
        <v>47</v>
      </c>
      <c r="G34" s="134">
        <v>9.0</v>
      </c>
      <c r="H34" s="135">
        <v>42.0</v>
      </c>
      <c r="I34" s="134">
        <v>11.0</v>
      </c>
      <c r="J34" s="134">
        <v>8.0</v>
      </c>
      <c r="K34" s="134">
        <v>5.0</v>
      </c>
      <c r="L34" s="134">
        <v>0.0</v>
      </c>
      <c r="M34" s="134" t="s">
        <v>47</v>
      </c>
      <c r="N34" s="134" t="s">
        <v>47</v>
      </c>
      <c r="O34" s="134" t="s">
        <v>47</v>
      </c>
      <c r="P34" s="134">
        <v>0.0</v>
      </c>
      <c r="Q34" s="134">
        <v>14.0</v>
      </c>
      <c r="R34" s="134">
        <v>8.0</v>
      </c>
      <c r="S34" s="134">
        <v>0.0</v>
      </c>
      <c r="T34" s="134" t="s">
        <v>47</v>
      </c>
      <c r="U34" s="134">
        <v>6.0</v>
      </c>
      <c r="V34" s="134">
        <v>0.0</v>
      </c>
      <c r="W34" s="134">
        <v>5.0</v>
      </c>
      <c r="X34" s="134">
        <v>7.0</v>
      </c>
      <c r="Y34" s="134">
        <v>16.0</v>
      </c>
      <c r="Z34" s="134" t="s">
        <v>47</v>
      </c>
      <c r="AA34" s="135">
        <v>38.0</v>
      </c>
      <c r="AB34" s="134">
        <v>5.0</v>
      </c>
      <c r="AC34" s="135">
        <v>190.0</v>
      </c>
      <c r="AD34" s="134" t="s">
        <v>47</v>
      </c>
      <c r="AE34" s="134" t="s">
        <v>47</v>
      </c>
      <c r="AF34" s="134">
        <v>8.0</v>
      </c>
      <c r="AG34" s="134" t="s">
        <v>47</v>
      </c>
      <c r="AH34" s="134">
        <v>5.0</v>
      </c>
      <c r="AI34" s="134" t="s">
        <v>47</v>
      </c>
      <c r="AJ34" s="134">
        <v>14.0</v>
      </c>
      <c r="AK34" s="134" t="s">
        <v>47</v>
      </c>
      <c r="AL34" s="134">
        <v>6.0</v>
      </c>
      <c r="AM34" s="134" t="s">
        <v>47</v>
      </c>
      <c r="AN34" s="134">
        <v>18.0</v>
      </c>
      <c r="AO34" s="134">
        <v>25.0</v>
      </c>
      <c r="AP34" s="136">
        <v>490.0</v>
      </c>
    </row>
    <row r="35">
      <c r="A35" s="133" t="s">
        <v>105</v>
      </c>
      <c r="B35" s="134" t="s">
        <v>47</v>
      </c>
      <c r="C35" s="134" t="s">
        <v>47</v>
      </c>
      <c r="D35" s="134" t="s">
        <v>47</v>
      </c>
      <c r="E35" s="135">
        <v>5.0</v>
      </c>
      <c r="F35" s="134">
        <v>0.0</v>
      </c>
      <c r="G35" s="134" t="s">
        <v>47</v>
      </c>
      <c r="H35" s="135">
        <v>37.0</v>
      </c>
      <c r="I35" s="134">
        <v>15.0</v>
      </c>
      <c r="J35" s="134">
        <v>0.0</v>
      </c>
      <c r="K35" s="134">
        <v>10.0</v>
      </c>
      <c r="L35" s="134">
        <v>0.0</v>
      </c>
      <c r="M35" s="134" t="s">
        <v>47</v>
      </c>
      <c r="N35" s="134" t="s">
        <v>47</v>
      </c>
      <c r="O35" s="134">
        <v>0.0</v>
      </c>
      <c r="P35" s="134" t="s">
        <v>47</v>
      </c>
      <c r="Q35" s="134">
        <v>14.0</v>
      </c>
      <c r="R35" s="134">
        <v>6.0</v>
      </c>
      <c r="S35" s="134">
        <v>0.0</v>
      </c>
      <c r="T35" s="134" t="s">
        <v>47</v>
      </c>
      <c r="U35" s="134" t="s">
        <v>47</v>
      </c>
      <c r="V35" s="134">
        <v>0.0</v>
      </c>
      <c r="W35" s="134">
        <v>6.0</v>
      </c>
      <c r="X35" s="134">
        <v>6.0</v>
      </c>
      <c r="Y35" s="134">
        <v>29.0</v>
      </c>
      <c r="Z35" s="134" t="s">
        <v>47</v>
      </c>
      <c r="AA35" s="135">
        <v>38.0</v>
      </c>
      <c r="AB35" s="134" t="s">
        <v>47</v>
      </c>
      <c r="AC35" s="135">
        <v>179.0</v>
      </c>
      <c r="AD35" s="134">
        <v>0.0</v>
      </c>
      <c r="AE35" s="134" t="s">
        <v>47</v>
      </c>
      <c r="AF35" s="134">
        <v>6.0</v>
      </c>
      <c r="AG35" s="134">
        <v>0.0</v>
      </c>
      <c r="AH35" s="134">
        <v>6.0</v>
      </c>
      <c r="AI35" s="134" t="s">
        <v>47</v>
      </c>
      <c r="AJ35" s="134">
        <v>26.0</v>
      </c>
      <c r="AK35" s="134">
        <v>0.0</v>
      </c>
      <c r="AL35" s="134" t="s">
        <v>47</v>
      </c>
      <c r="AM35" s="134" t="s">
        <v>47</v>
      </c>
      <c r="AN35" s="134">
        <v>12.0</v>
      </c>
      <c r="AO35" s="134">
        <v>18.0</v>
      </c>
      <c r="AP35" s="136">
        <v>451.0</v>
      </c>
    </row>
    <row r="36">
      <c r="A36" s="133" t="s">
        <v>106</v>
      </c>
      <c r="B36" s="134">
        <v>5.0</v>
      </c>
      <c r="C36" s="134">
        <v>10.0</v>
      </c>
      <c r="D36" s="134">
        <v>7.0</v>
      </c>
      <c r="E36" s="135">
        <v>19.0</v>
      </c>
      <c r="F36" s="134" t="s">
        <v>47</v>
      </c>
      <c r="G36" s="134" t="s">
        <v>47</v>
      </c>
      <c r="H36" s="135">
        <v>31.0</v>
      </c>
      <c r="I36" s="134">
        <v>30.0</v>
      </c>
      <c r="J36" s="134" t="s">
        <v>47</v>
      </c>
      <c r="K36" s="134">
        <v>16.0</v>
      </c>
      <c r="L36" s="134">
        <v>0.0</v>
      </c>
      <c r="M36" s="134" t="s">
        <v>47</v>
      </c>
      <c r="N36" s="134">
        <v>0.0</v>
      </c>
      <c r="O36" s="134">
        <v>0.0</v>
      </c>
      <c r="P36" s="134">
        <v>0.0</v>
      </c>
      <c r="Q36" s="134">
        <v>9.0</v>
      </c>
      <c r="R36" s="134" t="s">
        <v>47</v>
      </c>
      <c r="S36" s="134">
        <v>0.0</v>
      </c>
      <c r="T36" s="134" t="s">
        <v>47</v>
      </c>
      <c r="U36" s="134">
        <v>5.0</v>
      </c>
      <c r="V36" s="134">
        <v>0.0</v>
      </c>
      <c r="W36" s="134">
        <v>13.0</v>
      </c>
      <c r="X36" s="134">
        <v>7.0</v>
      </c>
      <c r="Y36" s="134">
        <v>11.0</v>
      </c>
      <c r="Z36" s="134" t="s">
        <v>47</v>
      </c>
      <c r="AA36" s="135">
        <v>54.0</v>
      </c>
      <c r="AB36" s="134" t="s">
        <v>47</v>
      </c>
      <c r="AC36" s="135">
        <v>145.0</v>
      </c>
      <c r="AD36" s="134">
        <v>0.0</v>
      </c>
      <c r="AE36" s="134" t="s">
        <v>47</v>
      </c>
      <c r="AF36" s="134">
        <v>6.0</v>
      </c>
      <c r="AG36" s="134" t="s">
        <v>47</v>
      </c>
      <c r="AH36" s="134" t="s">
        <v>47</v>
      </c>
      <c r="AI36" s="134">
        <v>0.0</v>
      </c>
      <c r="AJ36" s="134">
        <v>22.0</v>
      </c>
      <c r="AK36" s="134" t="s">
        <v>47</v>
      </c>
      <c r="AL36" s="134">
        <v>11.0</v>
      </c>
      <c r="AM36" s="134">
        <v>5.0</v>
      </c>
      <c r="AN36" s="134">
        <v>16.0</v>
      </c>
      <c r="AO36" s="134">
        <v>11.0</v>
      </c>
      <c r="AP36" s="136">
        <v>459.0</v>
      </c>
    </row>
    <row r="37">
      <c r="A37" s="133" t="s">
        <v>107</v>
      </c>
      <c r="B37" s="134">
        <v>5.0</v>
      </c>
      <c r="C37" s="134">
        <v>7.0</v>
      </c>
      <c r="D37" s="134">
        <v>10.0</v>
      </c>
      <c r="E37" s="135">
        <v>22.0</v>
      </c>
      <c r="F37" s="134" t="s">
        <v>47</v>
      </c>
      <c r="G37" s="134">
        <v>21.0</v>
      </c>
      <c r="H37" s="135">
        <v>39.0</v>
      </c>
      <c r="I37" s="134">
        <v>15.0</v>
      </c>
      <c r="J37" s="134" t="s">
        <v>47</v>
      </c>
      <c r="K37" s="134">
        <v>9.0</v>
      </c>
      <c r="L37" s="134" t="s">
        <v>47</v>
      </c>
      <c r="M37" s="134">
        <v>0.0</v>
      </c>
      <c r="N37" s="134">
        <v>0.0</v>
      </c>
      <c r="O37" s="134">
        <v>0.0</v>
      </c>
      <c r="P37" s="134" t="s">
        <v>47</v>
      </c>
      <c r="Q37" s="134">
        <v>21.0</v>
      </c>
      <c r="R37" s="134">
        <v>5.0</v>
      </c>
      <c r="S37" s="134">
        <v>0.0</v>
      </c>
      <c r="T37" s="134">
        <v>0.0</v>
      </c>
      <c r="U37" s="134">
        <v>33.0</v>
      </c>
      <c r="V37" s="134">
        <v>0.0</v>
      </c>
      <c r="W37" s="134">
        <v>7.0</v>
      </c>
      <c r="X37" s="134">
        <v>5.0</v>
      </c>
      <c r="Y37" s="134">
        <v>21.0</v>
      </c>
      <c r="Z37" s="134">
        <v>6.0</v>
      </c>
      <c r="AA37" s="135">
        <v>40.0</v>
      </c>
      <c r="AB37" s="134" t="s">
        <v>47</v>
      </c>
      <c r="AC37" s="135">
        <v>281.0</v>
      </c>
      <c r="AD37" s="134">
        <v>0.0</v>
      </c>
      <c r="AE37" s="134" t="s">
        <v>47</v>
      </c>
      <c r="AF37" s="134">
        <v>10.0</v>
      </c>
      <c r="AG37" s="134">
        <v>7.0</v>
      </c>
      <c r="AH37" s="134">
        <v>5.0</v>
      </c>
      <c r="AI37" s="134" t="s">
        <v>47</v>
      </c>
      <c r="AJ37" s="134">
        <v>33.0</v>
      </c>
      <c r="AK37" s="134" t="s">
        <v>47</v>
      </c>
      <c r="AL37" s="134">
        <v>10.0</v>
      </c>
      <c r="AM37" s="134">
        <v>8.0</v>
      </c>
      <c r="AN37" s="134">
        <v>15.0</v>
      </c>
      <c r="AO37" s="134">
        <v>19.0</v>
      </c>
      <c r="AP37" s="136">
        <v>668.0</v>
      </c>
    </row>
    <row r="38">
      <c r="A38" s="133" t="s">
        <v>108</v>
      </c>
      <c r="B38" s="134" t="s">
        <v>47</v>
      </c>
      <c r="C38" s="134" t="s">
        <v>47</v>
      </c>
      <c r="D38" s="134">
        <v>7.0</v>
      </c>
      <c r="E38" s="135">
        <v>34.0</v>
      </c>
      <c r="F38" s="134" t="s">
        <v>47</v>
      </c>
      <c r="G38" s="134">
        <v>6.0</v>
      </c>
      <c r="H38" s="135">
        <v>42.0</v>
      </c>
      <c r="I38" s="134">
        <v>14.0</v>
      </c>
      <c r="J38" s="134" t="s">
        <v>47</v>
      </c>
      <c r="K38" s="134">
        <v>8.0</v>
      </c>
      <c r="L38" s="134" t="s">
        <v>47</v>
      </c>
      <c r="M38" s="134">
        <v>0.0</v>
      </c>
      <c r="N38" s="134" t="s">
        <v>47</v>
      </c>
      <c r="O38" s="134" t="s">
        <v>47</v>
      </c>
      <c r="P38" s="134" t="s">
        <v>47</v>
      </c>
      <c r="Q38" s="134">
        <v>28.0</v>
      </c>
      <c r="R38" s="134">
        <v>14.0</v>
      </c>
      <c r="S38" s="134">
        <v>0.0</v>
      </c>
      <c r="T38" s="134" t="s">
        <v>47</v>
      </c>
      <c r="U38" s="134">
        <v>30.0</v>
      </c>
      <c r="V38" s="134">
        <v>0.0</v>
      </c>
      <c r="W38" s="134" t="s">
        <v>47</v>
      </c>
      <c r="X38" s="134">
        <v>5.0</v>
      </c>
      <c r="Y38" s="134">
        <v>19.0</v>
      </c>
      <c r="Z38" s="134">
        <v>9.0</v>
      </c>
      <c r="AA38" s="135">
        <v>77.0</v>
      </c>
      <c r="AB38" s="134">
        <v>0.0</v>
      </c>
      <c r="AC38" s="135">
        <v>243.0</v>
      </c>
      <c r="AD38" s="134" t="s">
        <v>47</v>
      </c>
      <c r="AE38" s="134" t="s">
        <v>47</v>
      </c>
      <c r="AF38" s="134">
        <v>11.0</v>
      </c>
      <c r="AG38" s="134" t="s">
        <v>47</v>
      </c>
      <c r="AH38" s="134" t="s">
        <v>47</v>
      </c>
      <c r="AI38" s="134">
        <v>7.0</v>
      </c>
      <c r="AJ38" s="134">
        <v>23.0</v>
      </c>
      <c r="AK38" s="134" t="s">
        <v>47</v>
      </c>
      <c r="AL38" s="134">
        <v>9.0</v>
      </c>
      <c r="AM38" s="134">
        <v>10.0</v>
      </c>
      <c r="AN38" s="134">
        <v>11.0</v>
      </c>
      <c r="AO38" s="134">
        <v>17.0</v>
      </c>
      <c r="AP38" s="136">
        <v>656.0</v>
      </c>
    </row>
    <row r="39">
      <c r="A39" s="133" t="s">
        <v>109</v>
      </c>
      <c r="B39" s="134" t="s">
        <v>47</v>
      </c>
      <c r="C39" s="134">
        <v>9.0</v>
      </c>
      <c r="D39" s="134" t="s">
        <v>47</v>
      </c>
      <c r="E39" s="135">
        <v>32.0</v>
      </c>
      <c r="F39" s="134" t="s">
        <v>47</v>
      </c>
      <c r="G39" s="134">
        <v>14.0</v>
      </c>
      <c r="H39" s="135">
        <v>61.0</v>
      </c>
      <c r="I39" s="134">
        <v>23.0</v>
      </c>
      <c r="J39" s="134">
        <v>10.0</v>
      </c>
      <c r="K39" s="134">
        <v>32.0</v>
      </c>
      <c r="L39" s="134" t="s">
        <v>47</v>
      </c>
      <c r="M39" s="134" t="s">
        <v>47</v>
      </c>
      <c r="N39" s="134" t="s">
        <v>47</v>
      </c>
      <c r="O39" s="134">
        <v>0.0</v>
      </c>
      <c r="P39" s="134" t="s">
        <v>47</v>
      </c>
      <c r="Q39" s="134">
        <v>25.0</v>
      </c>
      <c r="R39" s="134">
        <v>16.0</v>
      </c>
      <c r="S39" s="134" t="s">
        <v>47</v>
      </c>
      <c r="T39" s="134" t="s">
        <v>47</v>
      </c>
      <c r="U39" s="134">
        <v>40.0</v>
      </c>
      <c r="V39" s="134">
        <v>0.0</v>
      </c>
      <c r="W39" s="134" t="s">
        <v>47</v>
      </c>
      <c r="X39" s="134">
        <v>15.0</v>
      </c>
      <c r="Y39" s="134">
        <v>33.0</v>
      </c>
      <c r="Z39" s="134">
        <v>6.0</v>
      </c>
      <c r="AA39" s="135">
        <v>115.0</v>
      </c>
      <c r="AB39" s="134">
        <v>5.0</v>
      </c>
      <c r="AC39" s="135">
        <v>283.0</v>
      </c>
      <c r="AD39" s="134">
        <v>0.0</v>
      </c>
      <c r="AE39" s="134" t="s">
        <v>47</v>
      </c>
      <c r="AF39" s="134">
        <v>14.0</v>
      </c>
      <c r="AG39" s="134">
        <v>11.0</v>
      </c>
      <c r="AH39" s="134" t="s">
        <v>47</v>
      </c>
      <c r="AI39" s="134">
        <v>0.0</v>
      </c>
      <c r="AJ39" s="134">
        <v>39.0</v>
      </c>
      <c r="AK39" s="134" t="s">
        <v>47</v>
      </c>
      <c r="AL39" s="134">
        <v>14.0</v>
      </c>
      <c r="AM39" s="134">
        <v>12.0</v>
      </c>
      <c r="AN39" s="134">
        <v>25.0</v>
      </c>
      <c r="AO39" s="134">
        <v>27.0</v>
      </c>
      <c r="AP39" s="136">
        <v>894.0</v>
      </c>
    </row>
    <row r="40">
      <c r="A40" s="133" t="s">
        <v>110</v>
      </c>
      <c r="B40" s="134">
        <v>7.0</v>
      </c>
      <c r="C40" s="134">
        <v>12.0</v>
      </c>
      <c r="D40" s="134">
        <v>8.0</v>
      </c>
      <c r="E40" s="135">
        <v>46.0</v>
      </c>
      <c r="F40" s="134" t="s">
        <v>47</v>
      </c>
      <c r="G40" s="134">
        <v>19.0</v>
      </c>
      <c r="H40" s="135">
        <v>92.0</v>
      </c>
      <c r="I40" s="134">
        <v>32.0</v>
      </c>
      <c r="J40" s="134">
        <v>8.0</v>
      </c>
      <c r="K40" s="134">
        <v>32.0</v>
      </c>
      <c r="L40" s="134">
        <v>5.0</v>
      </c>
      <c r="M40" s="134">
        <v>6.0</v>
      </c>
      <c r="N40" s="134" t="s">
        <v>47</v>
      </c>
      <c r="O40" s="134">
        <v>0.0</v>
      </c>
      <c r="P40" s="134">
        <v>6.0</v>
      </c>
      <c r="Q40" s="134">
        <v>22.0</v>
      </c>
      <c r="R40" s="134">
        <v>19.0</v>
      </c>
      <c r="S40" s="134" t="s">
        <v>47</v>
      </c>
      <c r="T40" s="134" t="s">
        <v>47</v>
      </c>
      <c r="U40" s="134">
        <v>93.0</v>
      </c>
      <c r="V40" s="134">
        <v>0.0</v>
      </c>
      <c r="W40" s="134">
        <v>8.0</v>
      </c>
      <c r="X40" s="134">
        <v>19.0</v>
      </c>
      <c r="Y40" s="134">
        <v>43.0</v>
      </c>
      <c r="Z40" s="134">
        <v>9.0</v>
      </c>
      <c r="AA40" s="135">
        <v>116.0</v>
      </c>
      <c r="AB40" s="134">
        <v>5.0</v>
      </c>
      <c r="AC40" s="135">
        <v>284.0</v>
      </c>
      <c r="AD40" s="134" t="s">
        <v>47</v>
      </c>
      <c r="AE40" s="134" t="s">
        <v>47</v>
      </c>
      <c r="AF40" s="134">
        <v>12.0</v>
      </c>
      <c r="AG40" s="134">
        <v>24.0</v>
      </c>
      <c r="AH40" s="134">
        <v>16.0</v>
      </c>
      <c r="AI40" s="134">
        <v>6.0</v>
      </c>
      <c r="AJ40" s="134">
        <v>63.0</v>
      </c>
      <c r="AK40" s="134">
        <v>5.0</v>
      </c>
      <c r="AL40" s="134">
        <v>26.0</v>
      </c>
      <c r="AM40" s="134">
        <v>21.0</v>
      </c>
      <c r="AN40" s="134">
        <v>38.0</v>
      </c>
      <c r="AO40" s="134">
        <v>84.0</v>
      </c>
      <c r="AP40" s="136">
        <v>1196.0</v>
      </c>
    </row>
    <row r="41">
      <c r="A41" s="133" t="s">
        <v>111</v>
      </c>
      <c r="B41" s="134">
        <v>7.0</v>
      </c>
      <c r="C41" s="134">
        <v>24.0</v>
      </c>
      <c r="D41" s="134">
        <v>17.0</v>
      </c>
      <c r="E41" s="135">
        <v>69.0</v>
      </c>
      <c r="F41" s="134" t="s">
        <v>47</v>
      </c>
      <c r="G41" s="134">
        <v>32.0</v>
      </c>
      <c r="H41" s="135">
        <v>135.0</v>
      </c>
      <c r="I41" s="134">
        <v>41.0</v>
      </c>
      <c r="J41" s="134">
        <v>12.0</v>
      </c>
      <c r="K41" s="134">
        <v>41.0</v>
      </c>
      <c r="L41" s="134" t="s">
        <v>47</v>
      </c>
      <c r="M41" s="134" t="s">
        <v>47</v>
      </c>
      <c r="N41" s="134">
        <v>0.0</v>
      </c>
      <c r="O41" s="134">
        <v>0.0</v>
      </c>
      <c r="P41" s="134" t="s">
        <v>47</v>
      </c>
      <c r="Q41" s="134">
        <v>48.0</v>
      </c>
      <c r="R41" s="134">
        <v>21.0</v>
      </c>
      <c r="S41" s="134" t="s">
        <v>47</v>
      </c>
      <c r="T41" s="134" t="s">
        <v>47</v>
      </c>
      <c r="U41" s="134">
        <v>37.0</v>
      </c>
      <c r="V41" s="134" t="s">
        <v>47</v>
      </c>
      <c r="W41" s="134">
        <v>12.0</v>
      </c>
      <c r="X41" s="134">
        <v>15.0</v>
      </c>
      <c r="Y41" s="134">
        <v>57.0</v>
      </c>
      <c r="Z41" s="134">
        <v>18.0</v>
      </c>
      <c r="AA41" s="135">
        <v>157.0</v>
      </c>
      <c r="AB41" s="134">
        <v>11.0</v>
      </c>
      <c r="AC41" s="135">
        <v>354.0</v>
      </c>
      <c r="AD41" s="134" t="s">
        <v>47</v>
      </c>
      <c r="AE41" s="134" t="s">
        <v>47</v>
      </c>
      <c r="AF41" s="134">
        <v>24.0</v>
      </c>
      <c r="AG41" s="134">
        <v>12.0</v>
      </c>
      <c r="AH41" s="134">
        <v>15.0</v>
      </c>
      <c r="AI41" s="134">
        <v>5.0</v>
      </c>
      <c r="AJ41" s="134">
        <v>54.0</v>
      </c>
      <c r="AK41" s="134">
        <v>12.0</v>
      </c>
      <c r="AL41" s="134">
        <v>26.0</v>
      </c>
      <c r="AM41" s="134">
        <v>14.0</v>
      </c>
      <c r="AN41" s="134">
        <v>48.0</v>
      </c>
      <c r="AO41" s="134">
        <v>111.0</v>
      </c>
      <c r="AP41" s="136">
        <v>1451.0</v>
      </c>
    </row>
    <row r="42">
      <c r="A42" s="133" t="s">
        <v>112</v>
      </c>
      <c r="B42" s="134">
        <v>21.0</v>
      </c>
      <c r="C42" s="134">
        <v>23.0</v>
      </c>
      <c r="D42" s="134">
        <v>20.0</v>
      </c>
      <c r="E42" s="135">
        <v>91.0</v>
      </c>
      <c r="F42" s="134">
        <v>6.0</v>
      </c>
      <c r="G42" s="134">
        <v>48.0</v>
      </c>
      <c r="H42" s="135">
        <v>213.0</v>
      </c>
      <c r="I42" s="134">
        <v>54.0</v>
      </c>
      <c r="J42" s="134">
        <v>33.0</v>
      </c>
      <c r="K42" s="134">
        <v>74.0</v>
      </c>
      <c r="L42" s="134" t="s">
        <v>47</v>
      </c>
      <c r="M42" s="134" t="s">
        <v>47</v>
      </c>
      <c r="N42" s="134">
        <v>20.0</v>
      </c>
      <c r="O42" s="134" t="s">
        <v>47</v>
      </c>
      <c r="P42" s="134">
        <v>0.0</v>
      </c>
      <c r="Q42" s="134">
        <v>79.0</v>
      </c>
      <c r="R42" s="134">
        <v>35.0</v>
      </c>
      <c r="S42" s="134" t="s">
        <v>47</v>
      </c>
      <c r="T42" s="134">
        <v>8.0</v>
      </c>
      <c r="U42" s="134">
        <v>34.0</v>
      </c>
      <c r="V42" s="134">
        <v>0.0</v>
      </c>
      <c r="W42" s="134">
        <v>19.0</v>
      </c>
      <c r="X42" s="134">
        <v>26.0</v>
      </c>
      <c r="Y42" s="134">
        <v>84.0</v>
      </c>
      <c r="Z42" s="134">
        <v>21.0</v>
      </c>
      <c r="AA42" s="135">
        <v>248.0</v>
      </c>
      <c r="AB42" s="134">
        <v>9.0</v>
      </c>
      <c r="AC42" s="135">
        <v>611.0</v>
      </c>
      <c r="AD42" s="134" t="s">
        <v>47</v>
      </c>
      <c r="AE42" s="134">
        <v>13.0</v>
      </c>
      <c r="AF42" s="134">
        <v>39.0</v>
      </c>
      <c r="AG42" s="134">
        <v>13.0</v>
      </c>
      <c r="AH42" s="134">
        <v>14.0</v>
      </c>
      <c r="AI42" s="134">
        <v>12.0</v>
      </c>
      <c r="AJ42" s="134">
        <v>122.0</v>
      </c>
      <c r="AK42" s="134">
        <v>17.0</v>
      </c>
      <c r="AL42" s="134">
        <v>52.0</v>
      </c>
      <c r="AM42" s="134">
        <v>11.0</v>
      </c>
      <c r="AN42" s="134">
        <v>65.0</v>
      </c>
      <c r="AO42" s="134">
        <v>230.0</v>
      </c>
      <c r="AP42" s="136">
        <v>2381.0</v>
      </c>
    </row>
    <row r="43">
      <c r="A43" s="133" t="s">
        <v>113</v>
      </c>
      <c r="B43" s="134">
        <v>30.0</v>
      </c>
      <c r="C43" s="134">
        <v>36.0</v>
      </c>
      <c r="D43" s="134">
        <v>27.0</v>
      </c>
      <c r="E43" s="135">
        <v>151.0</v>
      </c>
      <c r="F43" s="134" t="s">
        <v>47</v>
      </c>
      <c r="G43" s="134">
        <v>42.0</v>
      </c>
      <c r="H43" s="135">
        <v>255.0</v>
      </c>
      <c r="I43" s="134">
        <v>76.0</v>
      </c>
      <c r="J43" s="134">
        <v>30.0</v>
      </c>
      <c r="K43" s="134">
        <v>92.0</v>
      </c>
      <c r="L43" s="134" t="s">
        <v>47</v>
      </c>
      <c r="M43" s="134">
        <v>12.0</v>
      </c>
      <c r="N43" s="134">
        <v>18.0</v>
      </c>
      <c r="O43" s="134" t="s">
        <v>47</v>
      </c>
      <c r="P43" s="134">
        <v>6.0</v>
      </c>
      <c r="Q43" s="134">
        <v>104.0</v>
      </c>
      <c r="R43" s="134">
        <v>46.0</v>
      </c>
      <c r="S43" s="134" t="s">
        <v>47</v>
      </c>
      <c r="T43" s="134">
        <v>25.0</v>
      </c>
      <c r="U43" s="134">
        <v>16.0</v>
      </c>
      <c r="V43" s="134" t="s">
        <v>47</v>
      </c>
      <c r="W43" s="134">
        <v>21.0</v>
      </c>
      <c r="X43" s="134">
        <v>31.0</v>
      </c>
      <c r="Y43" s="134">
        <v>115.0</v>
      </c>
      <c r="Z43" s="134">
        <v>13.0</v>
      </c>
      <c r="AA43" s="135">
        <v>256.0</v>
      </c>
      <c r="AB43" s="134">
        <v>26.0</v>
      </c>
      <c r="AC43" s="135">
        <v>623.0</v>
      </c>
      <c r="AD43" s="134" t="s">
        <v>47</v>
      </c>
      <c r="AE43" s="134">
        <v>18.0</v>
      </c>
      <c r="AF43" s="134">
        <v>33.0</v>
      </c>
      <c r="AG43" s="134">
        <v>10.0</v>
      </c>
      <c r="AH43" s="134">
        <v>29.0</v>
      </c>
      <c r="AI43" s="134">
        <v>31.0</v>
      </c>
      <c r="AJ43" s="134">
        <v>179.0</v>
      </c>
      <c r="AK43" s="134">
        <v>7.0</v>
      </c>
      <c r="AL43" s="134">
        <v>72.0</v>
      </c>
      <c r="AM43" s="134">
        <v>16.0</v>
      </c>
      <c r="AN43" s="134">
        <v>59.0</v>
      </c>
      <c r="AO43" s="134">
        <v>201.0</v>
      </c>
      <c r="AP43" s="136">
        <v>2723.0</v>
      </c>
    </row>
    <row r="44">
      <c r="A44" s="133" t="s">
        <v>114</v>
      </c>
      <c r="B44" s="134">
        <v>21.0</v>
      </c>
      <c r="C44" s="134">
        <v>66.0</v>
      </c>
      <c r="D44" s="134">
        <v>22.0</v>
      </c>
      <c r="E44" s="135">
        <v>141.0</v>
      </c>
      <c r="F44" s="134">
        <v>8.0</v>
      </c>
      <c r="G44" s="134">
        <v>93.0</v>
      </c>
      <c r="H44" s="135">
        <v>337.0</v>
      </c>
      <c r="I44" s="134">
        <v>75.0</v>
      </c>
      <c r="J44" s="134">
        <v>50.0</v>
      </c>
      <c r="K44" s="134">
        <v>127.0</v>
      </c>
      <c r="L44" s="134">
        <v>11.0</v>
      </c>
      <c r="M44" s="134">
        <v>7.0</v>
      </c>
      <c r="N44" s="134">
        <v>22.0</v>
      </c>
      <c r="O44" s="134">
        <v>10.0</v>
      </c>
      <c r="P44" s="134">
        <v>12.0</v>
      </c>
      <c r="Q44" s="134">
        <v>136.0</v>
      </c>
      <c r="R44" s="134">
        <v>50.0</v>
      </c>
      <c r="S44" s="134" t="s">
        <v>47</v>
      </c>
      <c r="T44" s="134">
        <v>19.0</v>
      </c>
      <c r="U44" s="134">
        <v>24.0</v>
      </c>
      <c r="V44" s="134" t="s">
        <v>47</v>
      </c>
      <c r="W44" s="134">
        <v>34.0</v>
      </c>
      <c r="X44" s="134">
        <v>44.0</v>
      </c>
      <c r="Y44" s="134">
        <v>106.0</v>
      </c>
      <c r="Z44" s="134">
        <v>21.0</v>
      </c>
      <c r="AA44" s="135">
        <v>310.0</v>
      </c>
      <c r="AB44" s="134">
        <v>14.0</v>
      </c>
      <c r="AC44" s="135">
        <v>806.0</v>
      </c>
      <c r="AD44" s="134">
        <v>6.0</v>
      </c>
      <c r="AE44" s="134">
        <v>21.0</v>
      </c>
      <c r="AF44" s="134">
        <v>55.0</v>
      </c>
      <c r="AG44" s="134">
        <v>15.0</v>
      </c>
      <c r="AH44" s="134">
        <v>24.0</v>
      </c>
      <c r="AI44" s="134">
        <v>39.0</v>
      </c>
      <c r="AJ44" s="134">
        <v>216.0</v>
      </c>
      <c r="AK44" s="134">
        <v>6.0</v>
      </c>
      <c r="AL44" s="134">
        <v>76.0</v>
      </c>
      <c r="AM44" s="134">
        <v>19.0</v>
      </c>
      <c r="AN44" s="134">
        <v>103.0</v>
      </c>
      <c r="AO44" s="134">
        <v>342.0</v>
      </c>
      <c r="AP44" s="136">
        <v>3493.0</v>
      </c>
    </row>
  </sheetData>
  <mergeCells count="4">
    <mergeCell ref="A1:J1"/>
    <mergeCell ref="A2:E2"/>
    <mergeCell ref="A3:J3"/>
    <mergeCell ref="A6:K6"/>
  </mergeCells>
  <drawing r:id="rId1"/>
</worksheet>
</file>