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<sst xmlns="http://schemas.openxmlformats.org/spreadsheetml/2006/main" count="3210" uniqueCount="537">
  <si>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</si>
  <si>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</si>
  <si>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</si>
  <si>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</si>
  <si>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</si>
  <si>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</si>
  <si>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</si>
  <si>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</si>
  <si>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</si>
  <si>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</si>
  <si>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</si>
  <si>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</si>
  <si>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</si>
  <si>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</si>
  <si>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</si>
  <si>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</si>
  <si>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</si>
  <si>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</si>
  <si>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</si>
  <si>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</si>
  <si>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</si>
  <si>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</si>
  <si>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</si>
  <si>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</si>
  <si>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</si>
  <si>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</si>
  <si>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</si>
  <si>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</si>
  <si>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</si>
  <si>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</si>
  <si>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</si>
  <si>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</si>
  <si>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</si>
  <si>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</si>
  <si>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</si>
  <si>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</si>
  <si>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N=318,967</t>
  </si>
  <si>
    <t>N=23,548</t>
  </si>
  <si>
    <t>N=2,767</t>
  </si>
  <si>
    <t>N=1,108</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</si>
  <si>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</si>
  <si>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</si>
  <si>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</si>
  <si>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</si>
  <si>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</si>
  <si>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</si>
  <si>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</si>
  <si>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</si>
  <si>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</si>
  <si>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</si>
  <si>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</si>
  <si>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</si>
  <si>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</si>
  <si>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</si>
  <si>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</si>
  <si>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</si>
  <si>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</si>
  <si>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</si>
  <si>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</si>
  <si>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</si>
  <si>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</si>
  <si>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</si>
  <si>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</si>
  <si>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</si>
  <si>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</si>
  <si>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</si>
  <si>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</si>
  <si>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</si>
  <si>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</si>
  <si>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</si>
  <si>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</si>
  <si>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</si>
  <si>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</si>
  <si>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</si>
  <si>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</si>
  <si>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</si>
  <si>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</si>
  <si>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</si>
  <si>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</si>
  <si>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</si>
  <si>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</si>
  <si>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</si>
  <si>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</si>
  <si>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</si>
  <si>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</si>
  <si>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</si>
  <si>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</si>
  <si>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</si>
  <si>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</si>
  <si>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</si>
  <si>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</si>
  <si>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</si>
  <si>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</si>
  <si>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</si>
  <si>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</si>
  <si>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</si>
  <si>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</si>
  <si>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</si>
  <si>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</si>
  <si>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</si>
  <si>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</si>
  <si>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</si>
  <si>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</si>
  <si>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</si>
  <si>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</si>
  <si>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</si>
  <si>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</si>
  <si>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</si>
  <si>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</si>
  <si>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</si>
  <si>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</si>
  <si>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</si>
  <si>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</si>
  <si>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</si>
  <si>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</si>
  <si>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</si>
  <si>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</si>
  <si>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</si>
  <si>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</si>
  <si>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</si>
  <si>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</si>
  <si>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</si>
  <si>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</si>
  <si>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</si>
  <si>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</si>
  <si>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</si>
  <si>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</si>
  <si>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</si>
  <si>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</si>
  <si>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</si>
  <si>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</si>
  <si>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</si>
  <si>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</si>
  <si>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</si>
  <si>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</si>
  <si>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</si>
  <si>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</si>
  <si>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</si>
  <si>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</si>
  <si>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</si>
  <si>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</si>
  <si>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</si>
  <si>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</si>
  <si>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</si>
  <si>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</si>
  <si>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</si>
  <si>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</si>
  <si>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</si>
  <si>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</si>
  <si>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</si>
  <si>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</si>
  <si>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</si>
  <si>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</si>
  <si>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</si>
  <si>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</si>
  <si>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</si>
  <si>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</si>
  <si>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</si>
  <si>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</si>
  <si>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</si>
  <si>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</si>
  <si>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</si>
  <si>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</si>
  <si>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</si>
  <si>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</si>
  <si>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</si>
  <si>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</si>
  <si>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</si>
  <si>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</si>
  <si>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</si>
  <si>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</si>
  <si>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</si>
  <si>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</si>
  <si>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</si>
  <si>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</si>
  <si>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</si>
  <si>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</si>
  <si>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</si>
  <si>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</si>
  <si>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</si>
  <si>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</si>
  <si>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</si>
  <si>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</si>
  <si>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</si>
  <si>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</si>
  <si>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</si>
  <si>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</si>
  <si>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</si>
  <si>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</si>
  <si>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</si>
  <si>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</si>
  <si>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</si>
  <si>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</si>
  <si>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</si>
  <si>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</si>
  <si>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</si>
  <si>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</si>
  <si>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</si>
  <si>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</si>
  <si>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</si>
  <si>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</si>
  <si>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</si>
  <si>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</si>
  <si>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</si>
  <si>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</si>
  <si>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</si>
  <si>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</si>
  <si>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</si>
  <si>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</si>
  <si>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</si>
  <si>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</si>
  <si>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</si>
  <si>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</si>
  <si>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</si>
  <si>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</si>
  <si>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</si>
  <si>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</si>
  <si>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</si>
  <si>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</si>
  <si>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</si>
  <si>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</si>
  <si>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</si>
  <si>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</si>
  <si>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</si>
  <si>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</si>
  <si>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</si>
  <si>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</si>
  <si>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</si>
  <si>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</si>
  <si>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</si>
  <si>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</si>
  <si>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</si>
  <si>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</si>
  <si>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</si>
  <si>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</si>
  <si>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</si>
  <si>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</si>
  <si>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</si>
  <si>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</si>
  <si>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</si>
  <si>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</si>
  <si>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</si>
  <si>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</si>
  <si>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</si>
  <si>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</si>
  <si>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</si>
  <si>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</si>
  <si>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</si>
  <si>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</si>
  <si>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</si>
  <si>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</si>
  <si>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</si>
  <si>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</si>
  <si>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</si>
  <si>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</si>
  <si>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</si>
  <si>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</si>
  <si>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</si>
  <si>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</si>
  <si>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</si>
  <si>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</si>
  <si>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</si>
  <si>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</si>
  <si>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</si>
  <si>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</si>
  <si>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</si>
  <si>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</si>
  <si>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</si>
  <si>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</si>
  <si>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</si>
  <si>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</si>
  <si>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</si>
  <si>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</si>
  <si>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</si>
  <si>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</si>
  <si>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</si>
  <si>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</si>
  <si>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</si>
  <si>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</si>
  <si>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</si>
  <si>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</si>
  <si>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</si>
  <si>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</si>
  <si>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</si>
  <si>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</si>
  <si>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</si>
  <si>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</si>
  <si>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</si>
  <si>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</si>
  <si>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</si>
  <si>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</si>
  <si>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</si>
  <si>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</si>
  <si>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9/30/2020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</si>
  <si>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</si>
  <si>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</si>
  <si>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</si>
  <si>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</si>
  <si>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</si>
  <si>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</si>
  <si>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</si>
  <si>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</si>
  <si>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</si>
  <si>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</si>
  <si>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</si>
  <si>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</si>
  <si>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</si>
  <si>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</si>
  <si>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</si>
  <si>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</si>
  <si>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</si>
  <si>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</si>
  <si>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</si>
  <si>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</si>
  <si>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</si>
  <si>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</si>
  <si>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</si>
  <si>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</si>
  <si>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</si>
  <si>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</si>
  <si>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80 to 84</t>
  </si>
  <si>
    <t>25 to 29</t>
  </si>
  <si>
    <t>Crestwood Nursing &amp; Rehab (Warren)</t>
  </si>
  <si>
    <t>Crystal Lake Rehabilitation &amp; Care Center (Burrillville)</t>
  </si>
  <si>
    <t>40 to 44</t>
  </si>
  <si>
    <t>Eastgate Nursing &amp; Rehab (East Providence)</t>
  </si>
  <si>
    <t>Elmhurst Healthcare Center (Providence)</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</si>
  <si>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</si>
  <si>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</si>
  <si>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</si>
  <si>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</si>
  <si>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</si>
  <si>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</si>
  <si>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</si>
  <si>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</si>
  <si>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</si>
  <si>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</si>
  <si>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</si>
  <si>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</si>
  <si>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</si>
  <si>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</si>
  <si>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</si>
  <si>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</si>
  <si>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</si>
  <si>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</si>
  <si>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</si>
  <si>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</si>
  <si>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</si>
  <si>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</si>
  <si>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</si>
  <si>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</si>
  <si>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</si>
  <si>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</si>
  <si>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</si>
  <si>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</si>
  <si>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</si>
  <si>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</si>
  <si>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</si>
  <si>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</si>
  <si>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</si>
  <si>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</si>
  <si>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</si>
  <si>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</si>
  <si>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</si>
  <si>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</si>
  <si>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</si>
  <si>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</si>
  <si>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</si>
  <si>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</si>
  <si>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</si>
  <si>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</si>
  <si>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</si>
  <si>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</si>
  <si>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</si>
  <si>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</si>
  <si>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</si>
  <si>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</si>
  <si>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</si>
  <si>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</si>
  <si>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</si>
  <si>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</si>
  <si>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</si>
  <si>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3005 to 3009</t>
  </si>
  <si>
    <t>805 to 809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</si>
  <si>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</si>
  <si>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</si>
  <si>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</si>
  <si>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</si>
  <si>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</si>
  <si>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</si>
  <si>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</si>
  <si>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</si>
  <si>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</si>
  <si>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</si>
  <si>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</si>
  <si>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</si>
  <si>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</si>
  <si>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</si>
  <si>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</si>
  <si>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</si>
  <si>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270 to 274</t>
  </si>
  <si>
    <t>Note: These data are updated weekly and represent cumulative number of cases and deaths, and number of new resident cases in the past 14 days at each facility. Because these data will change throughout the week, number ranges are being presented. Data last updated 9/30/2020.</t>
  </si>
  <si>
    <t>Number of COVID-19 Cases by School and Learning Style</t>
  </si>
  <si>
    <t>Data last updated 9/30/2020 and include cases notified to RIDOH as of 9/26/2020</t>
  </si>
  <si>
    <t>School</t>
  </si>
  <si>
    <t>LEA</t>
  </si>
  <si>
    <r>
      <t>New Cases in Past 7 Days</t>
    </r>
    <r>
      <rPr>
        <sz val="8.0"/>
      </rPr>
      <t>†</t>
    </r>
  </si>
  <si>
    <t>Cumulative Cases since 9/14/2020</t>
  </si>
  <si>
    <t>In-Person and Hybrid Learning</t>
  </si>
  <si>
    <t>Barrington High School</t>
  </si>
  <si>
    <t>BEACON Charter School</t>
  </si>
  <si>
    <t>Beacon Charter School</t>
  </si>
  <si>
    <t>Steere Farm Elementary School</t>
  </si>
  <si>
    <t>Bishop Hendricken High School</t>
  </si>
  <si>
    <t>Catholic Schools</t>
  </si>
  <si>
    <t>Good Shepherd Catholic Regional School</t>
  </si>
  <si>
    <t>Mercymount Country Day School</t>
  </si>
  <si>
    <t>Mount St. Charles Academy</t>
  </si>
  <si>
    <t>St. Mary Academy-Bay View</t>
  </si>
  <si>
    <t>St. Raphael Academy</t>
  </si>
  <si>
    <t>Chariho Regional High School</t>
  </si>
  <si>
    <t>Chariho</t>
  </si>
  <si>
    <t>Blackrock School</t>
  </si>
  <si>
    <t>Washington Oak School</t>
  </si>
  <si>
    <t>Woodridge School</t>
  </si>
  <si>
    <t>Wm. M. Davies Jr. Career-Technical High School</t>
  </si>
  <si>
    <t>Davies Career and Tech</t>
  </si>
  <si>
    <t>Agnes B. Hennessey School</t>
  </si>
  <si>
    <t>Emma G. Whiteknact School</t>
  </si>
  <si>
    <t>Metcalf School</t>
  </si>
  <si>
    <t>Exeter-West Greenwich</t>
  </si>
  <si>
    <t>Ponaganset High School</t>
  </si>
  <si>
    <t>Foster-Glocester</t>
  </si>
  <si>
    <t>Highlander Elementary Charter School</t>
  </si>
  <si>
    <t>Highlander</t>
  </si>
  <si>
    <t>Jamestown School-Melrose</t>
  </si>
  <si>
    <t>Nicholas A. Ferri Middle School</t>
  </si>
  <si>
    <t>Sarah Dyer Barnes School</t>
  </si>
  <si>
    <t>Winsor Hill School</t>
  </si>
  <si>
    <t>Lincoln Senior High School</t>
  </si>
  <si>
    <t>Narragansett Elementary School</t>
  </si>
  <si>
    <t>Narragansett Pier School</t>
  </si>
  <si>
    <t>North Kingstown Senior High School</t>
  </si>
  <si>
    <t>North Providence High School</t>
  </si>
  <si>
    <t>Francis J. Varieur School</t>
  </si>
  <si>
    <t>Potter-Burns School</t>
  </si>
  <si>
    <t>Children's Friend @ Dorcas Intl.</t>
  </si>
  <si>
    <t>Private Schools</t>
  </si>
  <si>
    <t>Islamic School of RI</t>
  </si>
  <si>
    <t>Lifespan School Solutions</t>
  </si>
  <si>
    <t>Lincoln School</t>
  </si>
  <si>
    <t>Moses Brown School</t>
  </si>
  <si>
    <t>Portsmouth Abbey School</t>
  </si>
  <si>
    <t>Sophia Academy</t>
  </si>
  <si>
    <t>Anthony Carnevale Elementary School</t>
  </si>
  <si>
    <t>Charles N. Fortes Elementary School</t>
  </si>
  <si>
    <t>Dr. Jorge Alvarez High School</t>
  </si>
  <si>
    <t>Dr. Martin Luther King, Jr. Elementary School</t>
  </si>
  <si>
    <t>E-Cubed Academy</t>
  </si>
  <si>
    <t>Frank D. Spaziano Elementary School</t>
  </si>
  <si>
    <t>Juanita Sanchez High School</t>
  </si>
  <si>
    <t>Mount Pleasant High School</t>
  </si>
  <si>
    <t>Providence Career and Technical Academy</t>
  </si>
  <si>
    <t>Robert L Bailey IV Elementary School</t>
  </si>
  <si>
    <t>Roger Williams Middle School</t>
  </si>
  <si>
    <t>Times2 Elementary School</t>
  </si>
  <si>
    <t>Times2 Middle/High School</t>
  </si>
  <si>
    <t>Veazie Street School</t>
  </si>
  <si>
    <t>Webster Avenue School</t>
  </si>
  <si>
    <t>Rhode Island School for the Deaf</t>
  </si>
  <si>
    <t>R.I. Sch for the Deaf</t>
  </si>
  <si>
    <t>RISE Prep Mayoral Academy Elementary School</t>
  </si>
  <si>
    <t>RISE Prep Mayoral Academy</t>
  </si>
  <si>
    <t>Smithfield Senior High School</t>
  </si>
  <si>
    <t>Springbrook Elementary School</t>
  </si>
  <si>
    <t>N/A</t>
  </si>
  <si>
    <t>Total:</t>
  </si>
  <si>
    <t>50 to 54</t>
  </si>
  <si>
    <t>Virtual Learning‡</t>
  </si>
  <si>
    <t>Achievement First Iluminar Mayoral Academy</t>
  </si>
  <si>
    <t>Achievement First Rhode Island</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</si>
  <si>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</si>
  <si>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</si>
  <si>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</si>
  <si>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</si>
  <si>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</si>
  <si>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</si>
  <si>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</si>
  <si>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Cranston High School West</t>
  </si>
  <si>
    <t>Daniel D. Waterman School</t>
  </si>
  <si>
    <t>Hope Highlands Middle School</t>
  </si>
  <si>
    <t>Orchard Farms Elementary School</t>
  </si>
  <si>
    <t>Park View Middle School</t>
  </si>
  <si>
    <t>Community School</t>
  </si>
  <si>
    <t>Cumberland High School</t>
  </si>
  <si>
    <t>International Charter School</t>
  </si>
  <si>
    <t>International Charter</t>
  </si>
  <si>
    <t>Johnston Senior High School</t>
  </si>
  <si>
    <t>The Learning Community Charter School</t>
  </si>
  <si>
    <t>Learning Community</t>
  </si>
  <si>
    <t>Charles E. Shea High School</t>
  </si>
  <si>
    <t>Curvin-McCabe School</t>
  </si>
  <si>
    <t>Jacqueline M. Walsh School for the Performing and Visual Arts</t>
  </si>
  <si>
    <t>Lyman B. Goff Middle School</t>
  </si>
  <si>
    <t>Nathanael Greene School</t>
  </si>
  <si>
    <t>Samuel Slater Middle School</t>
  </si>
  <si>
    <t>William E Tolman Senior High School</t>
  </si>
  <si>
    <t>Ocean State Academy</t>
  </si>
  <si>
    <t>San Miguel School</t>
  </si>
  <si>
    <t>St. Mary's Home for Children/George N. Hunt Campus School</t>
  </si>
  <si>
    <t>Trinity Christian Academy</t>
  </si>
  <si>
    <t>360 High School</t>
  </si>
  <si>
    <t>Carl G. Lauro Elementary School</t>
  </si>
  <si>
    <t>Classical High School</t>
  </si>
  <si>
    <t>Governor Christopher DelSesto Middle School</t>
  </si>
  <si>
    <t>Harry Kizirian Elementary School</t>
  </si>
  <si>
    <t>Hope High School</t>
  </si>
  <si>
    <t>Lillian Feinstein Elementary Sackett Street</t>
  </si>
  <si>
    <t>Nathan Bishop Middle School</t>
  </si>
  <si>
    <t>Providence Virtual Learning Academy</t>
  </si>
  <si>
    <t>Vartan Gregorian Elementary School</t>
  </si>
  <si>
    <t>RI Nurses Institute Middle College Charter High School</t>
  </si>
  <si>
    <t>Rhode Island Nurses Institute Middle College</t>
  </si>
  <si>
    <t>Scituate High School</t>
  </si>
  <si>
    <t>Village Green Virtual Charter School</t>
  </si>
  <si>
    <t>Village Green Virtual</t>
  </si>
  <si>
    <t>Cottrell F. Hoxsie School</t>
  </si>
  <si>
    <t>Toll Gate High School</t>
  </si>
  <si>
    <t>Greenbush Elementary School</t>
  </si>
  <si>
    <t>Bernon Heights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</si>
  <si>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</si>
  <si>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9/30/2020.
 †New cases in past 7 days include cases notified to RIDOH between 9/20/2020 and 9/26/2020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</si>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</sst>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4">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4"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8" numFmtId="0" xfId="0" applyAlignment="1" applyBorder="1" applyFont="1">
      <alignment readingOrder="0" vertical="bottom"/>
    </xf>
    <xf borderId="5" fillId="0" fontId="18" numFmtId="0" xfId="0" applyAlignment="1" applyBorder="1" applyFont="1">
      <alignment horizontal="center" readingOrder="0" shrinkToFit="0" vertical="bottom" wrapText="0"/>
    </xf>
    <xf borderId="2" fillId="0" fontId="19" numFmtId="0" xfId="0" applyAlignment="1" applyBorder="1" applyFont="1">
      <alignment horizontal="left" readingOrder="0" vertical="bottom"/>
    </xf>
    <xf borderId="5"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2" fillId="0" fontId="19" numFmtId="0" xfId="0" applyAlignment="1" applyBorder="1" applyFont="1">
      <alignment horizontal="center" readingOrder="0" shrinkToFit="0" vertical="bottom" wrapText="0"/>
    </xf>
    <xf borderId="2" fillId="0" fontId="18" numFmtId="0" xfId="0" applyAlignment="1" applyBorder="1" applyFont="1">
      <alignment horizontal="left" readingOrder="0"/>
    </xf>
    <xf borderId="5" fillId="0" fontId="18" numFmtId="0" xfId="0" applyAlignment="1" applyBorder="1" applyFont="1">
      <alignment horizontal="center" readingOrder="0"/>
    </xf>
    <xf borderId="8" fillId="0" fontId="18" numFmtId="0" xfId="0" applyAlignment="1" applyBorder="1" applyFont="1">
      <alignment horizontal="center" readingOrder="0"/>
    </xf>
    <xf borderId="2" fillId="0" fontId="18" numFmtId="0" xfId="0" applyAlignment="1" applyBorder="1" applyFont="1">
      <alignment horizontal="center" readingOrder="0"/>
    </xf>
    <xf borderId="2" fillId="0" fontId="18" numFmtId="0" xfId="0" applyAlignment="1" applyBorder="1" applyFont="1">
      <alignment horizontal="center" readingOrder="0" vertical="bottom"/>
    </xf>
    <xf borderId="2"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6" fillId="0" fontId="21" numFmtId="0" xfId="0" applyAlignment="1" applyBorder="1" applyFont="1">
      <alignment horizontal="left" readingOrder="0" shrinkToFit="0" vertical="bottom" wrapText="0"/>
    </xf>
    <xf borderId="6" fillId="0" fontId="17" numFmtId="0" xfId="0" applyAlignment="1" applyBorder="1" applyFont="1">
      <alignment horizontal="left" readingOrder="0" shrinkToFit="0" vertical="bottom" wrapText="0"/>
    </xf>
    <xf borderId="2" fillId="16" fontId="17" numFmtId="0" xfId="0" applyAlignment="1" applyBorder="1" applyFill="1" applyFont="1">
      <alignment readingOrder="0" vertical="center"/>
    </xf>
    <xf borderId="5" fillId="16" fontId="17" numFmtId="0" xfId="0" applyAlignment="1" applyBorder="1" applyFont="1">
      <alignment readingOrder="0" vertical="center"/>
    </xf>
    <xf borderId="5" fillId="11" fontId="17" numFmtId="0" xfId="0" applyAlignment="1" applyBorder="1" applyFont="1">
      <alignment horizontal="center" readingOrder="0" shrinkToFit="0" vertical="top" wrapText="1"/>
    </xf>
    <xf borderId="5" fillId="4" fontId="17" numFmtId="0" xfId="0" applyAlignment="1" applyBorder="1" applyFont="1">
      <alignment horizontal="center" readingOrder="0" shrinkToFit="0" vertical="top" wrapText="1"/>
    </xf>
    <xf borderId="0" fillId="0" fontId="4" numFmtId="0" xfId="0" applyAlignment="1" applyFont="1">
      <alignment vertical="bottom"/>
    </xf>
    <xf borderId="10" fillId="15" fontId="17" numFmtId="0" xfId="0" applyAlignment="1" applyBorder="1" applyFont="1">
      <alignment horizontal="left" readingOrder="0"/>
    </xf>
    <xf borderId="8" fillId="0" fontId="9" numFmtId="0" xfId="0" applyBorder="1" applyFont="1"/>
    <xf borderId="5" fillId="0" fontId="9" numFmtId="0" xfId="0" applyBorder="1" applyFont="1"/>
    <xf borderId="1" fillId="0" fontId="22" numFmtId="0" xfId="0" applyAlignment="1" applyBorder="1" applyFont="1">
      <alignment readingOrder="0" shrinkToFit="0" vertical="bottom" wrapText="0"/>
    </xf>
    <xf borderId="3" fillId="0" fontId="22" numFmtId="0" xfId="0" applyAlignment="1" applyBorder="1" applyFont="1">
      <alignment readingOrder="0" shrinkToFit="0" vertical="bottom" wrapText="0"/>
    </xf>
    <xf borderId="3" fillId="0" fontId="22" numFmtId="0" xfId="0" applyAlignment="1" applyBorder="1" applyFont="1">
      <alignment horizontal="center" readingOrder="0" shrinkToFit="0" vertical="bottom" wrapText="0"/>
    </xf>
    <xf borderId="2" fillId="0" fontId="22" numFmtId="0" xfId="0" applyAlignment="1" applyBorder="1" applyFont="1">
      <alignment readingOrder="0" shrinkToFit="0" vertical="bottom" wrapText="0"/>
    </xf>
    <xf borderId="5" fillId="0" fontId="22" numFmtId="0" xfId="0" applyAlignment="1" applyBorder="1" applyFont="1">
      <alignment readingOrder="0" shrinkToFit="0" vertical="bottom" wrapText="0"/>
    </xf>
    <xf borderId="5" fillId="0" fontId="22" numFmtId="0" xfId="0" applyAlignment="1" applyBorder="1" applyFont="1">
      <alignment horizontal="center" readingOrder="0" shrinkToFit="0" vertical="bottom" wrapText="0"/>
    </xf>
    <xf borderId="2" fillId="0" fontId="22" numFmtId="0" xfId="0" applyAlignment="1" applyBorder="1" applyFont="1">
      <alignment shrinkToFit="0" vertical="bottom" wrapText="0"/>
    </xf>
    <xf borderId="5" fillId="0" fontId="23" numFmtId="0" xfId="0" applyAlignment="1" applyBorder="1" applyFont="1">
      <alignment horizontal="right" readingOrder="0" shrinkToFit="0" vertical="bottom" wrapText="0"/>
    </xf>
    <xf borderId="5" fillId="0" fontId="23" numFmtId="0" xfId="0" applyAlignment="1" applyBorder="1" applyFont="1">
      <alignment horizontal="center" readingOrder="0" shrinkToFit="0" vertical="bottom" wrapText="0"/>
    </xf>
    <xf borderId="6" fillId="15" fontId="23" numFmtId="0" xfId="0" applyAlignment="1" applyBorder="1" applyFont="1">
      <alignment horizontal="left" readingOrder="0" shrinkToFit="0" vertical="bottom" wrapText="0"/>
    </xf>
    <xf borderId="6" fillId="17" fontId="20" numFmtId="0" xfId="0" applyAlignment="1" applyBorder="1" applyFill="1" applyFont="1">
      <alignment horizontal="left" readingOrder="0" vertical="bottom"/>
    </xf>
    <xf borderId="0" fillId="0" fontId="15" numFmtId="14" xfId="0" applyFont="1" applyNumberFormat="1"/>
    <xf borderId="0" fillId="0" fontId="15"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44110.0</v>
      </c>
    </row>
    <row r="2" ht="14.25" customHeight="1">
      <c r="A2" s="3" t="s">
        <v>1</v>
      </c>
      <c r="B2" s="4">
        <v>149.0</v>
      </c>
    </row>
    <row r="3" ht="14.25" customHeight="1">
      <c r="A3" s="3" t="s">
        <v>2</v>
      </c>
      <c r="B3" s="4">
        <v>121.0</v>
      </c>
    </row>
    <row r="4" ht="14.25" customHeight="1">
      <c r="A4" s="3" t="s">
        <v>3</v>
      </c>
      <c r="B4" s="4">
        <v>35665.0</v>
      </c>
    </row>
    <row r="5" ht="14.25" customHeight="1">
      <c r="A5" s="3" t="s">
        <v>4</v>
      </c>
      <c r="B5" s="4">
        <v>7019.0</v>
      </c>
    </row>
    <row r="6" ht="14.25" customHeight="1">
      <c r="A6" s="5" t="s">
        <v>5</v>
      </c>
      <c r="B6" s="4">
        <v>792349.0</v>
      </c>
    </row>
    <row r="7" ht="14.25" customHeight="1">
      <c r="A7" s="6" t="s">
        <v>6</v>
      </c>
      <c r="B7" s="4">
        <v>7168.0</v>
      </c>
    </row>
    <row r="8" ht="14.25" customHeight="1">
      <c r="A8" s="6" t="s">
        <v>7</v>
      </c>
      <c r="B8" s="7">
        <v>828014.0</v>
      </c>
    </row>
    <row r="9" ht="14.25" customHeight="1">
      <c r="A9" s="8" t="s">
        <v>8</v>
      </c>
      <c r="B9" s="7">
        <v>145.0</v>
      </c>
    </row>
    <row r="10" ht="14.25" customHeight="1">
      <c r="A10" s="9" t="s">
        <v>9</v>
      </c>
      <c r="B10" s="7">
        <v>111.0</v>
      </c>
    </row>
    <row r="11" ht="14.25" customHeight="1">
      <c r="A11" s="8" t="s">
        <v>10</v>
      </c>
      <c r="B11" s="7">
        <v>25596.0</v>
      </c>
    </row>
    <row r="12" ht="14.25" customHeight="1">
      <c r="A12" s="8" t="s">
        <v>11</v>
      </c>
      <c r="B12" s="7">
        <v>2444.0</v>
      </c>
    </row>
    <row r="13" ht="14.25" customHeight="1">
      <c r="A13" s="8" t="s">
        <v>12</v>
      </c>
      <c r="B13" s="7">
        <v>328485.0</v>
      </c>
    </row>
    <row r="14" ht="15.0" customHeight="1">
      <c r="A14" s="8" t="s">
        <v>13</v>
      </c>
      <c r="B14" s="7">
        <v>354081.0</v>
      </c>
    </row>
    <row r="15" ht="14.25" customHeight="1">
      <c r="A15" s="10" t="s">
        <v>14</v>
      </c>
      <c r="B15" s="4">
        <v>9.0</v>
      </c>
    </row>
    <row r="16" ht="14.25" customHeight="1">
      <c r="A16" s="10" t="s">
        <v>15</v>
      </c>
      <c r="B16" s="4">
        <v>2849.0</v>
      </c>
    </row>
    <row r="17" ht="14.25" customHeight="1">
      <c r="A17" s="10" t="s">
        <v>16</v>
      </c>
      <c r="B17" s="4">
        <v>9.0</v>
      </c>
    </row>
    <row r="18" ht="14.25" customHeight="1">
      <c r="A18" s="10" t="s">
        <v>17</v>
      </c>
      <c r="B18" s="4">
        <v>2393.0</v>
      </c>
    </row>
    <row r="19" ht="14.25" customHeight="1">
      <c r="A19" s="10" t="s">
        <v>18</v>
      </c>
      <c r="B19" s="4">
        <v>1.0</v>
      </c>
    </row>
    <row r="20" ht="14.25" customHeight="1">
      <c r="A20" s="10" t="s">
        <v>19</v>
      </c>
      <c r="B20" s="4">
        <v>363.0</v>
      </c>
    </row>
    <row r="21" ht="14.25" customHeight="1">
      <c r="A21" s="10" t="s">
        <v>20</v>
      </c>
      <c r="B21" s="7">
        <v>93.0</v>
      </c>
    </row>
    <row r="22" ht="14.25" customHeight="1">
      <c r="A22" s="10" t="s">
        <v>21</v>
      </c>
      <c r="B22" s="7">
        <v>94.0</v>
      </c>
    </row>
    <row r="23" ht="14.25" customHeight="1">
      <c r="A23" s="10" t="s">
        <v>22</v>
      </c>
      <c r="B23" s="7">
        <v>8.0</v>
      </c>
    </row>
    <row r="24" ht="14.25" customHeight="1">
      <c r="A24" s="10" t="s">
        <v>23</v>
      </c>
      <c r="B24" s="7">
        <v>4.0</v>
      </c>
    </row>
    <row r="25" ht="14.25" customHeight="1">
      <c r="A25" s="11" t="s">
        <v>24</v>
      </c>
      <c r="B25" s="7">
        <v>4.0</v>
      </c>
    </row>
    <row r="26" ht="14.25" customHeight="1">
      <c r="A26" s="12" t="s">
        <v>25</v>
      </c>
      <c r="B26" s="7">
        <v>1125.0</v>
      </c>
    </row>
    <row r="27" ht="14.25" customHeight="1">
      <c r="A27" s="13" t="s">
        <v>26</v>
      </c>
      <c r="B27" s="7">
        <v>817945.0</v>
      </c>
    </row>
    <row r="28" ht="14.25" customHeight="1">
      <c r="A28" s="13" t="s">
        <v>27</v>
      </c>
      <c r="B28" s="7">
        <v>7164.0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210</v>
      </c>
      <c r="B1" s="153" t="s">
        <v>211</v>
      </c>
      <c r="C1" s="78" t="s">
        <v>75</v>
      </c>
    </row>
    <row r="2" ht="14.25" customHeight="1">
      <c r="A2" s="154" t="s">
        <v>212</v>
      </c>
      <c r="B2" s="155">
        <v>10.0</v>
      </c>
      <c r="C2" s="156">
        <v>1490.0</v>
      </c>
    </row>
    <row r="3" ht="14.25" customHeight="1">
      <c r="A3" s="157" t="s">
        <v>213</v>
      </c>
      <c r="B3" s="158">
        <v>6.0</v>
      </c>
      <c r="C3" s="159">
        <v>299.0</v>
      </c>
    </row>
    <row r="4" ht="14.25" customHeight="1">
      <c r="A4" s="157" t="s">
        <v>214</v>
      </c>
      <c r="B4" s="158">
        <v>85.0</v>
      </c>
      <c r="C4" s="159">
        <v>525.0</v>
      </c>
    </row>
    <row r="5" ht="14.25" customHeight="1">
      <c r="A5" s="157" t="s">
        <v>215</v>
      </c>
      <c r="B5" s="158">
        <v>6.0</v>
      </c>
      <c r="C5" s="159">
        <v>726.0</v>
      </c>
    </row>
    <row r="6" ht="14.25" customHeight="1">
      <c r="A6" s="157" t="s">
        <v>216</v>
      </c>
      <c r="B6" s="158">
        <v>17.0</v>
      </c>
      <c r="C6" s="159">
        <v>663.0</v>
      </c>
    </row>
    <row r="7" ht="14.25" customHeight="1">
      <c r="A7" s="157" t="s">
        <v>217</v>
      </c>
      <c r="B7" s="158">
        <v>212.0</v>
      </c>
      <c r="C7" s="159">
        <v>952.0</v>
      </c>
    </row>
    <row r="8" ht="14.25" customHeight="1">
      <c r="A8" s="157" t="s">
        <v>218</v>
      </c>
      <c r="B8" s="158">
        <v>11.0</v>
      </c>
      <c r="C8" s="159">
        <v>911.0</v>
      </c>
    </row>
    <row r="9" ht="14.25" customHeight="1">
      <c r="A9" s="157" t="s">
        <v>219</v>
      </c>
      <c r="B9" s="158">
        <v>40.0</v>
      </c>
      <c r="C9" s="159">
        <v>514.0</v>
      </c>
    </row>
    <row r="10" ht="14.25" customHeight="1">
      <c r="A10" s="157" t="s">
        <v>220</v>
      </c>
      <c r="B10" s="158">
        <v>55.0</v>
      </c>
      <c r="C10" s="159">
        <v>717.0</v>
      </c>
    </row>
    <row r="11" ht="14.25" customHeight="1">
      <c r="A11" s="157" t="s">
        <v>221</v>
      </c>
      <c r="B11" s="158">
        <v>0.0</v>
      </c>
      <c r="C11" s="159">
        <v>0.0</v>
      </c>
    </row>
    <row r="12" ht="14.25" customHeight="1">
      <c r="A12" s="157" t="s">
        <v>222</v>
      </c>
      <c r="B12" s="158">
        <v>335.0</v>
      </c>
      <c r="C12" s="159">
        <v>1021.0</v>
      </c>
    </row>
    <row r="13" ht="14.25" customHeight="1">
      <c r="A13" s="157" t="s">
        <v>223</v>
      </c>
      <c r="B13" s="158">
        <v>34.0</v>
      </c>
      <c r="C13" s="159">
        <v>564.0</v>
      </c>
    </row>
    <row r="14" ht="14.25" customHeight="1">
      <c r="A14" s="157" t="s">
        <v>224</v>
      </c>
      <c r="B14" s="158">
        <v>147.0</v>
      </c>
      <c r="C14" s="159">
        <v>808.0</v>
      </c>
    </row>
    <row r="15" ht="14.25" customHeight="1">
      <c r="A15" s="157" t="s">
        <v>225</v>
      </c>
      <c r="B15" s="158">
        <v>49.0</v>
      </c>
      <c r="C15" s="159">
        <v>745.0</v>
      </c>
    </row>
    <row r="16" ht="14.25" customHeight="1">
      <c r="A16" s="157" t="s">
        <v>226</v>
      </c>
      <c r="B16" s="158">
        <v>36.0</v>
      </c>
      <c r="C16" s="159">
        <v>655.0</v>
      </c>
    </row>
    <row r="17" ht="14.25" customHeight="1">
      <c r="A17" s="157" t="s">
        <v>227</v>
      </c>
      <c r="B17" s="158">
        <v>0.0</v>
      </c>
      <c r="C17" s="159">
        <v>0.0</v>
      </c>
    </row>
    <row r="18" ht="14.25" customHeight="1">
      <c r="A18" s="157" t="s">
        <v>228</v>
      </c>
      <c r="B18" s="158">
        <v>19.0</v>
      </c>
      <c r="C18" s="159">
        <v>922.0</v>
      </c>
    </row>
    <row r="19" ht="14.25" customHeight="1">
      <c r="A19" s="157" t="s">
        <v>229</v>
      </c>
      <c r="B19" s="158">
        <v>243.0</v>
      </c>
      <c r="C19" s="159">
        <v>3090.0</v>
      </c>
    </row>
    <row r="20" ht="14.25" customHeight="1">
      <c r="A20" s="157" t="s">
        <v>230</v>
      </c>
      <c r="B20" s="158">
        <v>43.0</v>
      </c>
      <c r="C20" s="159">
        <v>725.0</v>
      </c>
    </row>
    <row r="21" ht="14.25" customHeight="1">
      <c r="A21" s="157" t="s">
        <v>231</v>
      </c>
      <c r="B21" s="158">
        <v>40.0</v>
      </c>
      <c r="C21" s="159">
        <v>1143.0</v>
      </c>
    </row>
    <row r="22" ht="14.25" customHeight="1">
      <c r="A22" s="157" t="s">
        <v>232</v>
      </c>
      <c r="B22" s="158">
        <v>20.0</v>
      </c>
      <c r="C22" s="159">
        <v>463.0</v>
      </c>
    </row>
    <row r="23" ht="14.25" customHeight="1">
      <c r="A23" s="157" t="s">
        <v>233</v>
      </c>
      <c r="B23" s="158">
        <v>0.0</v>
      </c>
      <c r="C23" s="159">
        <v>0.0</v>
      </c>
    </row>
    <row r="24" ht="14.25" customHeight="1">
      <c r="A24" s="157" t="s">
        <v>234</v>
      </c>
      <c r="B24" s="158">
        <v>29.0</v>
      </c>
      <c r="C24" s="159">
        <v>528.0</v>
      </c>
    </row>
    <row r="25" ht="14.25" customHeight="1">
      <c r="A25" s="157" t="s">
        <v>235</v>
      </c>
      <c r="B25" s="160">
        <v>0.0</v>
      </c>
      <c r="C25" s="159">
        <v>0.0</v>
      </c>
    </row>
    <row r="26" ht="14.25" customHeight="1">
      <c r="A26" s="157" t="s">
        <v>236</v>
      </c>
      <c r="B26" s="158">
        <v>14.0</v>
      </c>
      <c r="C26" s="159">
        <v>399.0</v>
      </c>
    </row>
    <row r="27" ht="14.25" customHeight="1">
      <c r="A27" s="157" t="s">
        <v>237</v>
      </c>
      <c r="B27" s="158">
        <v>129.0</v>
      </c>
      <c r="C27" s="159">
        <v>3666.0</v>
      </c>
    </row>
    <row r="28" ht="14.25" customHeight="1">
      <c r="A28" s="157" t="s">
        <v>238</v>
      </c>
      <c r="B28" s="158">
        <v>17.0</v>
      </c>
      <c r="C28" s="159">
        <v>824.0</v>
      </c>
    </row>
    <row r="29" ht="14.25" customHeight="1">
      <c r="A29" s="157" t="s">
        <v>239</v>
      </c>
      <c r="B29" s="158">
        <v>165.0</v>
      </c>
      <c r="C29" s="159">
        <v>711.0</v>
      </c>
    </row>
    <row r="30" ht="14.25" customHeight="1">
      <c r="A30" s="157" t="s">
        <v>240</v>
      </c>
      <c r="B30" s="158">
        <v>10.0</v>
      </c>
      <c r="C30" s="159">
        <v>613.0</v>
      </c>
    </row>
    <row r="31" ht="14.25" customHeight="1">
      <c r="A31" s="157" t="s">
        <v>241</v>
      </c>
      <c r="B31" s="158">
        <v>89.0</v>
      </c>
      <c r="C31" s="159">
        <v>556.0</v>
      </c>
    </row>
    <row r="32" ht="14.25" customHeight="1">
      <c r="A32" s="157" t="s">
        <v>242</v>
      </c>
      <c r="B32" s="158">
        <v>299.0</v>
      </c>
      <c r="C32" s="159">
        <v>1357.0</v>
      </c>
    </row>
    <row r="33" ht="14.25" customHeight="1">
      <c r="A33" s="157" t="s">
        <v>243</v>
      </c>
      <c r="B33" s="158">
        <v>60.0</v>
      </c>
      <c r="C33" s="159">
        <v>687.0</v>
      </c>
    </row>
    <row r="34" ht="14.25" customHeight="1">
      <c r="A34" s="157" t="s">
        <v>244</v>
      </c>
      <c r="B34" s="160">
        <v>0.0</v>
      </c>
      <c r="C34" s="159">
        <v>0.0</v>
      </c>
    </row>
    <row r="35" ht="14.25" customHeight="1">
      <c r="A35" s="157" t="s">
        <v>245</v>
      </c>
      <c r="B35" s="158">
        <v>100.0</v>
      </c>
      <c r="C35" s="159">
        <v>1384.0</v>
      </c>
    </row>
    <row r="36" ht="14.25" customHeight="1">
      <c r="A36" s="157" t="s">
        <v>246</v>
      </c>
      <c r="B36" s="158">
        <v>1786.0</v>
      </c>
      <c r="C36" s="159">
        <v>3790.0</v>
      </c>
    </row>
    <row r="37" ht="14.25" customHeight="1">
      <c r="A37" s="157" t="s">
        <v>247</v>
      </c>
      <c r="B37" s="158">
        <v>604.0</v>
      </c>
      <c r="C37" s="159">
        <v>2412.0</v>
      </c>
    </row>
    <row r="38" ht="14.25" customHeight="1">
      <c r="A38" s="157" t="s">
        <v>248</v>
      </c>
      <c r="B38" s="158">
        <v>1272.0</v>
      </c>
      <c r="C38" s="159">
        <v>6575.0</v>
      </c>
    </row>
    <row r="39" ht="14.25" customHeight="1">
      <c r="A39" s="157" t="s">
        <v>249</v>
      </c>
      <c r="B39" s="158">
        <v>499.0</v>
      </c>
      <c r="C39" s="159">
        <v>1441.0</v>
      </c>
    </row>
    <row r="40" ht="14.25" customHeight="1">
      <c r="A40" s="157" t="s">
        <v>250</v>
      </c>
      <c r="B40" s="158">
        <v>233.0</v>
      </c>
      <c r="C40" s="159">
        <v>1335.0</v>
      </c>
    </row>
    <row r="41" ht="14.25" customHeight="1">
      <c r="A41" s="157" t="s">
        <v>251</v>
      </c>
      <c r="B41" s="158">
        <v>81.0</v>
      </c>
      <c r="C41" s="159">
        <v>473.0</v>
      </c>
    </row>
    <row r="42" ht="14.25" customHeight="1">
      <c r="A42" s="157" t="s">
        <v>252</v>
      </c>
      <c r="B42" s="158">
        <v>0.0</v>
      </c>
      <c r="C42" s="159">
        <v>0.0</v>
      </c>
    </row>
    <row r="43" ht="14.25" customHeight="1">
      <c r="A43" s="157" t="s">
        <v>253</v>
      </c>
      <c r="B43" s="158">
        <v>0.0</v>
      </c>
      <c r="C43" s="159">
        <v>0.0</v>
      </c>
    </row>
    <row r="44" ht="14.25" customHeight="1">
      <c r="A44" s="157" t="s">
        <v>254</v>
      </c>
      <c r="B44" s="158">
        <v>51.0</v>
      </c>
      <c r="C44" s="159">
        <v>856.0</v>
      </c>
    </row>
    <row r="45" ht="14.25" customHeight="1">
      <c r="A45" s="157" t="s">
        <v>255</v>
      </c>
      <c r="B45" s="158">
        <v>0.0</v>
      </c>
      <c r="C45" s="159">
        <v>0.0</v>
      </c>
    </row>
    <row r="46" ht="14.25" customHeight="1">
      <c r="A46" s="157" t="s">
        <v>256</v>
      </c>
      <c r="B46" s="158">
        <v>7.0</v>
      </c>
      <c r="C46" s="159">
        <v>2405.0</v>
      </c>
    </row>
    <row r="47" ht="14.25" customHeight="1">
      <c r="A47" s="157" t="s">
        <v>257</v>
      </c>
      <c r="B47" s="158">
        <v>132.0</v>
      </c>
      <c r="C47" s="159">
        <v>835.0</v>
      </c>
    </row>
    <row r="48" ht="14.25" customHeight="1">
      <c r="A48" s="157" t="s">
        <v>258</v>
      </c>
      <c r="B48" s="158">
        <v>158.0</v>
      </c>
      <c r="C48" s="159">
        <v>770.0</v>
      </c>
    </row>
    <row r="49" ht="14.25" customHeight="1">
      <c r="A49" s="157" t="s">
        <v>259</v>
      </c>
      <c r="B49" s="158">
        <v>17.0</v>
      </c>
      <c r="C49" s="159">
        <v>217.0</v>
      </c>
    </row>
    <row r="50" ht="14.25" customHeight="1">
      <c r="A50" s="157" t="s">
        <v>260</v>
      </c>
      <c r="B50" s="158">
        <v>141.0</v>
      </c>
      <c r="C50" s="159">
        <v>1011.0</v>
      </c>
    </row>
    <row r="51" ht="14.25" customHeight="1">
      <c r="A51" s="157" t="s">
        <v>261</v>
      </c>
      <c r="B51" s="158">
        <v>113.0</v>
      </c>
      <c r="C51" s="159">
        <v>1080.0</v>
      </c>
    </row>
    <row r="52" ht="14.25" customHeight="1">
      <c r="A52" s="157" t="s">
        <v>262</v>
      </c>
      <c r="B52" s="158">
        <v>301.0</v>
      </c>
      <c r="C52" s="159">
        <v>1038.0</v>
      </c>
    </row>
    <row r="53" ht="14.25" customHeight="1">
      <c r="A53" s="157" t="s">
        <v>263</v>
      </c>
      <c r="B53" s="158">
        <v>214.0</v>
      </c>
      <c r="C53" s="159">
        <v>1117.0</v>
      </c>
    </row>
    <row r="54" ht="14.25" customHeight="1">
      <c r="A54" s="157" t="s">
        <v>264</v>
      </c>
      <c r="B54" s="158">
        <v>428.0</v>
      </c>
      <c r="C54" s="159">
        <v>1566.0</v>
      </c>
    </row>
    <row r="55" ht="14.25" customHeight="1">
      <c r="A55" s="157" t="s">
        <v>265</v>
      </c>
      <c r="B55" s="158">
        <v>108.0</v>
      </c>
      <c r="C55" s="159">
        <v>512.0</v>
      </c>
    </row>
    <row r="56" ht="14.25" customHeight="1">
      <c r="A56" s="157" t="s">
        <v>266</v>
      </c>
      <c r="B56" s="158">
        <v>39.0</v>
      </c>
      <c r="C56" s="159">
        <v>752.0</v>
      </c>
    </row>
    <row r="57" ht="14.25" customHeight="1">
      <c r="A57" s="157" t="s">
        <v>267</v>
      </c>
      <c r="B57" s="158">
        <v>435.0</v>
      </c>
      <c r="C57" s="159">
        <v>1492.0</v>
      </c>
    </row>
    <row r="58" ht="14.25" customHeight="1">
      <c r="A58" s="157" t="s">
        <v>268</v>
      </c>
      <c r="B58" s="158">
        <v>0.0</v>
      </c>
      <c r="C58" s="159">
        <v>0.0</v>
      </c>
    </row>
    <row r="59" ht="14.25" customHeight="1">
      <c r="A59" s="157" t="s">
        <v>269</v>
      </c>
      <c r="B59" s="158">
        <v>864.0</v>
      </c>
      <c r="C59" s="159">
        <v>2080.0</v>
      </c>
    </row>
    <row r="60" ht="14.25" customHeight="1">
      <c r="A60" s="157" t="s">
        <v>270</v>
      </c>
      <c r="B60" s="158">
        <v>167.0</v>
      </c>
      <c r="C60" s="159">
        <v>1385.0</v>
      </c>
    </row>
    <row r="61" ht="14.25" customHeight="1">
      <c r="A61" s="157" t="s">
        <v>271</v>
      </c>
      <c r="B61" s="158">
        <v>19.0</v>
      </c>
      <c r="C61" s="159">
        <v>1156.0</v>
      </c>
    </row>
    <row r="62" ht="14.25" customHeight="1">
      <c r="A62" s="157" t="s">
        <v>272</v>
      </c>
      <c r="B62" s="158">
        <v>252.0</v>
      </c>
      <c r="C62" s="159">
        <v>2390.0</v>
      </c>
    </row>
    <row r="63" ht="14.25" customHeight="1">
      <c r="A63" s="157" t="s">
        <v>273</v>
      </c>
      <c r="B63" s="158">
        <v>1198.0</v>
      </c>
      <c r="C63" s="159">
        <v>3925.0</v>
      </c>
    </row>
    <row r="64" ht="14.25" customHeight="1">
      <c r="A64" s="157" t="s">
        <v>274</v>
      </c>
      <c r="B64" s="158">
        <v>889.0</v>
      </c>
      <c r="C64" s="159">
        <v>3488.0</v>
      </c>
    </row>
    <row r="65" ht="14.25" customHeight="1">
      <c r="A65" s="157" t="s">
        <v>275</v>
      </c>
      <c r="B65" s="158">
        <v>409.0</v>
      </c>
      <c r="C65" s="159">
        <v>1451.0</v>
      </c>
    </row>
    <row r="66" ht="14.25" customHeight="1">
      <c r="A66" s="157" t="s">
        <v>276</v>
      </c>
      <c r="B66" s="158">
        <v>1865.0</v>
      </c>
      <c r="C66" s="159">
        <v>6059.0</v>
      </c>
    </row>
    <row r="67" ht="14.25" customHeight="1">
      <c r="A67" s="157" t="s">
        <v>277</v>
      </c>
      <c r="B67" s="158">
        <v>1977.0</v>
      </c>
      <c r="C67" s="159">
        <v>5265.0</v>
      </c>
    </row>
    <row r="68" ht="14.25" customHeight="1">
      <c r="A68" s="157" t="s">
        <v>278</v>
      </c>
      <c r="B68" s="158">
        <v>2567.0</v>
      </c>
      <c r="C68" s="159">
        <v>6327.0</v>
      </c>
    </row>
    <row r="69" ht="14.25" customHeight="1">
      <c r="A69" s="157" t="s">
        <v>279</v>
      </c>
      <c r="B69" s="158">
        <v>413.0</v>
      </c>
      <c r="C69" s="159">
        <v>1865.0</v>
      </c>
    </row>
    <row r="70" ht="14.25" customHeight="1">
      <c r="A70" s="157" t="s">
        <v>280</v>
      </c>
      <c r="B70" s="158">
        <v>309.0</v>
      </c>
      <c r="C70" s="159">
        <v>1948.0</v>
      </c>
    </row>
    <row r="71" ht="14.25" customHeight="1">
      <c r="A71" s="157" t="s">
        <v>281</v>
      </c>
      <c r="B71" s="158">
        <v>0.0</v>
      </c>
      <c r="C71" s="159">
        <v>0.0</v>
      </c>
    </row>
    <row r="72" ht="14.25" customHeight="1">
      <c r="A72" s="157" t="s">
        <v>282</v>
      </c>
      <c r="B72" s="158">
        <v>528.0</v>
      </c>
      <c r="C72" s="159">
        <v>2444.0</v>
      </c>
    </row>
    <row r="73" ht="14.25" customHeight="1">
      <c r="A73" s="157" t="s">
        <v>283</v>
      </c>
      <c r="B73" s="158">
        <v>268.0</v>
      </c>
      <c r="C73" s="159">
        <v>1610.0</v>
      </c>
    </row>
    <row r="74" ht="14.25" customHeight="1">
      <c r="A74" s="157" t="s">
        <v>284</v>
      </c>
      <c r="B74" s="158">
        <v>104.0</v>
      </c>
      <c r="C74" s="159">
        <v>1146.0</v>
      </c>
    </row>
    <row r="75" ht="14.25" customHeight="1">
      <c r="A75" s="157" t="s">
        <v>285</v>
      </c>
      <c r="B75" s="158">
        <v>146.0</v>
      </c>
      <c r="C75" s="159">
        <v>1058.0</v>
      </c>
    </row>
    <row r="76" ht="14.25" customHeight="1">
      <c r="A76" s="157" t="s">
        <v>286</v>
      </c>
      <c r="B76" s="158">
        <v>672.0</v>
      </c>
      <c r="C76" s="159">
        <v>2297.0</v>
      </c>
    </row>
    <row r="77" ht="14.25" customHeight="1">
      <c r="A77" s="157" t="s">
        <v>287</v>
      </c>
      <c r="B77" s="158">
        <v>822.0</v>
      </c>
      <c r="C77" s="159">
        <v>2210.0</v>
      </c>
    </row>
    <row r="78" ht="14.25" customHeight="1">
      <c r="A78" s="157" t="s">
        <v>288</v>
      </c>
      <c r="B78" s="158">
        <v>147.0</v>
      </c>
      <c r="C78" s="159">
        <v>1184.0</v>
      </c>
    </row>
    <row r="79" ht="14.25" customHeight="1">
      <c r="A79" s="161" t="s">
        <v>289</v>
      </c>
      <c r="B79" s="158">
        <v>976.0</v>
      </c>
      <c r="C79" s="159" t="s">
        <v>30</v>
      </c>
    </row>
    <row r="80" ht="14.25" customHeight="1">
      <c r="A80" s="161" t="s">
        <v>118</v>
      </c>
      <c r="B80" s="158">
        <v>23548.0</v>
      </c>
      <c r="C80" s="159">
        <v>2229.0</v>
      </c>
    </row>
    <row r="81" ht="14.25" customHeight="1">
      <c r="A81" s="162" t="s">
        <v>290</v>
      </c>
    </row>
    <row r="82" ht="14.25" customHeight="1">
      <c r="A82" s="86" t="s">
        <v>291</v>
      </c>
    </row>
    <row r="83" ht="14.25" customHeight="1"/>
    <row r="84" ht="14.25" customHeight="1"/>
    <row r="85" ht="14.25" customHeight="1"/>
    <row r="86" ht="14.25" customHeight="1">
      <c r="A86" s="73" t="s">
        <v>0</v>
      </c>
      <c r="B86" s="74">
        <v>44104.0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292</v>
      </c>
    </row>
    <row r="2">
      <c r="A2" s="165" t="s">
        <v>293</v>
      </c>
      <c r="B2" s="166"/>
      <c r="C2" s="166"/>
      <c r="D2" s="166"/>
    </row>
    <row r="3">
      <c r="A3" s="167" t="s">
        <v>294</v>
      </c>
      <c r="B3" s="168" t="s">
        <v>295</v>
      </c>
      <c r="C3" s="168" t="s">
        <v>296</v>
      </c>
      <c r="D3" s="169" t="s">
        <v>297</v>
      </c>
    </row>
    <row r="4">
      <c r="A4" s="170" t="s">
        <v>298</v>
      </c>
      <c r="B4" s="99"/>
      <c r="C4" s="99"/>
      <c r="D4" s="37"/>
    </row>
    <row r="5">
      <c r="A5" s="171" t="s">
        <v>299</v>
      </c>
      <c r="B5" s="172" t="s">
        <v>300</v>
      </c>
      <c r="C5" s="173">
        <v>0.0</v>
      </c>
      <c r="D5" s="174">
        <v>0.0</v>
      </c>
    </row>
    <row r="6">
      <c r="A6" s="171" t="s">
        <v>301</v>
      </c>
      <c r="B6" s="172" t="s">
        <v>302</v>
      </c>
      <c r="C6" s="173" t="s">
        <v>303</v>
      </c>
      <c r="D6" s="174" t="s">
        <v>304</v>
      </c>
    </row>
    <row r="7">
      <c r="A7" s="171" t="s">
        <v>305</v>
      </c>
      <c r="B7" s="172" t="s">
        <v>306</v>
      </c>
      <c r="C7" s="173">
        <v>0.0</v>
      </c>
      <c r="D7" s="174" t="s">
        <v>307</v>
      </c>
    </row>
    <row r="8">
      <c r="A8" s="171" t="s">
        <v>308</v>
      </c>
      <c r="B8" s="172" t="s">
        <v>304</v>
      </c>
      <c r="C8" s="173">
        <v>0.0</v>
      </c>
      <c r="D8" s="174" t="s">
        <v>300</v>
      </c>
    </row>
    <row r="9">
      <c r="A9" s="171" t="s">
        <v>309</v>
      </c>
      <c r="B9" s="172" t="s">
        <v>307</v>
      </c>
      <c r="C9" s="173">
        <v>0.0</v>
      </c>
      <c r="D9" s="174" t="s">
        <v>310</v>
      </c>
    </row>
    <row r="10">
      <c r="A10" s="171" t="s">
        <v>311</v>
      </c>
      <c r="B10" s="172" t="s">
        <v>312</v>
      </c>
      <c r="C10" s="173" t="s">
        <v>303</v>
      </c>
      <c r="D10" s="174" t="s">
        <v>313</v>
      </c>
    </row>
    <row r="11">
      <c r="A11" s="171" t="s">
        <v>314</v>
      </c>
      <c r="B11" s="172" t="s">
        <v>310</v>
      </c>
      <c r="C11" s="173">
        <v>0.0</v>
      </c>
      <c r="D11" s="174" t="s">
        <v>303</v>
      </c>
    </row>
    <row r="12">
      <c r="A12" s="171" t="s">
        <v>315</v>
      </c>
      <c r="B12" s="172" t="s">
        <v>304</v>
      </c>
      <c r="C12" s="173">
        <v>0.0</v>
      </c>
      <c r="D12" s="174" t="s">
        <v>300</v>
      </c>
    </row>
    <row r="13">
      <c r="A13" s="171" t="s">
        <v>316</v>
      </c>
      <c r="B13" s="172" t="s">
        <v>300</v>
      </c>
      <c r="C13" s="173" t="s">
        <v>303</v>
      </c>
      <c r="D13" s="174">
        <v>0.0</v>
      </c>
    </row>
    <row r="14">
      <c r="A14" s="171" t="s">
        <v>317</v>
      </c>
      <c r="B14" s="172" t="s">
        <v>318</v>
      </c>
      <c r="C14" s="173">
        <v>0.0</v>
      </c>
      <c r="D14" s="174" t="s">
        <v>310</v>
      </c>
    </row>
    <row r="15">
      <c r="A15" s="171" t="s">
        <v>319</v>
      </c>
      <c r="B15" s="172" t="s">
        <v>320</v>
      </c>
      <c r="C15" s="173" t="s">
        <v>300</v>
      </c>
      <c r="D15" s="174" t="s">
        <v>321</v>
      </c>
    </row>
    <row r="16">
      <c r="A16" s="171" t="s">
        <v>322</v>
      </c>
      <c r="B16" s="172" t="s">
        <v>321</v>
      </c>
      <c r="C16" s="173" t="s">
        <v>310</v>
      </c>
      <c r="D16" s="174" t="s">
        <v>303</v>
      </c>
    </row>
    <row r="17">
      <c r="A17" s="171" t="s">
        <v>323</v>
      </c>
      <c r="B17" s="172" t="s">
        <v>324</v>
      </c>
      <c r="C17" s="173">
        <v>0.0</v>
      </c>
      <c r="D17" s="174" t="s">
        <v>304</v>
      </c>
    </row>
    <row r="18">
      <c r="A18" s="171" t="s">
        <v>325</v>
      </c>
      <c r="B18" s="172" t="s">
        <v>324</v>
      </c>
      <c r="C18" s="173">
        <v>0.0</v>
      </c>
      <c r="D18" s="174" t="s">
        <v>310</v>
      </c>
    </row>
    <row r="19">
      <c r="A19" s="171" t="s">
        <v>326</v>
      </c>
      <c r="B19" s="172" t="s">
        <v>320</v>
      </c>
      <c r="C19" s="173">
        <v>0.0</v>
      </c>
      <c r="D19" s="174" t="s">
        <v>321</v>
      </c>
    </row>
    <row r="20">
      <c r="A20" s="171" t="s">
        <v>327</v>
      </c>
      <c r="B20" s="172" t="s">
        <v>328</v>
      </c>
      <c r="C20" s="173">
        <v>0.0</v>
      </c>
      <c r="D20" s="174" t="s">
        <v>300</v>
      </c>
    </row>
    <row r="21">
      <c r="A21" s="171" t="s">
        <v>329</v>
      </c>
      <c r="B21" s="172" t="s">
        <v>330</v>
      </c>
      <c r="C21" s="173">
        <v>0.0</v>
      </c>
      <c r="D21" s="174" t="s">
        <v>313</v>
      </c>
    </row>
    <row r="22">
      <c r="A22" s="171" t="s">
        <v>331</v>
      </c>
      <c r="B22" s="172" t="s">
        <v>332</v>
      </c>
      <c r="C22" s="173">
        <v>0.0</v>
      </c>
      <c r="D22" s="174" t="s">
        <v>304</v>
      </c>
    </row>
    <row r="23">
      <c r="A23" s="171" t="s">
        <v>333</v>
      </c>
      <c r="B23" s="172" t="s">
        <v>334</v>
      </c>
      <c r="C23" s="173" t="s">
        <v>303</v>
      </c>
      <c r="D23" s="174" t="s">
        <v>307</v>
      </c>
    </row>
    <row r="24">
      <c r="A24" s="171" t="s">
        <v>335</v>
      </c>
      <c r="B24" s="172" t="s">
        <v>336</v>
      </c>
      <c r="C24" s="173">
        <v>0.0</v>
      </c>
      <c r="D24" s="174">
        <v>0.0</v>
      </c>
    </row>
    <row r="25">
      <c r="A25" s="171" t="s">
        <v>337</v>
      </c>
      <c r="B25" s="172" t="s">
        <v>336</v>
      </c>
      <c r="C25" s="173">
        <v>0.0</v>
      </c>
      <c r="D25" s="174" t="s">
        <v>303</v>
      </c>
    </row>
    <row r="26">
      <c r="A26" s="171" t="s">
        <v>338</v>
      </c>
      <c r="B26" s="172" t="s">
        <v>328</v>
      </c>
      <c r="C26" s="173" t="s">
        <v>321</v>
      </c>
      <c r="D26" s="174" t="s">
        <v>303</v>
      </c>
    </row>
    <row r="27">
      <c r="A27" s="171" t="s">
        <v>339</v>
      </c>
      <c r="B27" s="172" t="s">
        <v>318</v>
      </c>
      <c r="C27" s="173">
        <v>0.0</v>
      </c>
      <c r="D27" s="174" t="s">
        <v>313</v>
      </c>
    </row>
    <row r="28">
      <c r="A28" s="171" t="s">
        <v>340</v>
      </c>
      <c r="B28" s="172" t="s">
        <v>336</v>
      </c>
      <c r="C28" s="173" t="s">
        <v>303</v>
      </c>
      <c r="D28" s="174">
        <v>0.0</v>
      </c>
    </row>
    <row r="29">
      <c r="A29" s="171" t="s">
        <v>341</v>
      </c>
      <c r="B29" s="172" t="s">
        <v>321</v>
      </c>
      <c r="C29" s="173">
        <v>0.0</v>
      </c>
      <c r="D29" s="174" t="s">
        <v>310</v>
      </c>
    </row>
    <row r="30">
      <c r="A30" s="171" t="s">
        <v>342</v>
      </c>
      <c r="B30" s="172" t="s">
        <v>313</v>
      </c>
      <c r="C30" s="173">
        <v>0.0</v>
      </c>
      <c r="D30" s="174" t="s">
        <v>303</v>
      </c>
    </row>
    <row r="31">
      <c r="A31" s="171" t="s">
        <v>343</v>
      </c>
      <c r="B31" s="172" t="s">
        <v>336</v>
      </c>
      <c r="C31" s="173">
        <v>0.0</v>
      </c>
      <c r="D31" s="174">
        <v>0.0</v>
      </c>
    </row>
    <row r="32">
      <c r="A32" s="171" t="s">
        <v>344</v>
      </c>
      <c r="B32" s="172" t="s">
        <v>336</v>
      </c>
      <c r="C32" s="173">
        <v>0.0</v>
      </c>
      <c r="D32" s="174">
        <v>0.0</v>
      </c>
    </row>
    <row r="33">
      <c r="A33" s="171" t="s">
        <v>345</v>
      </c>
      <c r="B33" s="172" t="s">
        <v>300</v>
      </c>
      <c r="C33" s="173">
        <v>0.0</v>
      </c>
      <c r="D33" s="174">
        <v>0.0</v>
      </c>
    </row>
    <row r="34">
      <c r="A34" s="171" t="s">
        <v>346</v>
      </c>
      <c r="B34" s="172" t="s">
        <v>347</v>
      </c>
      <c r="C34" s="173">
        <v>0.0</v>
      </c>
      <c r="D34" s="174" t="s">
        <v>321</v>
      </c>
    </row>
    <row r="35">
      <c r="A35" s="171" t="s">
        <v>348</v>
      </c>
      <c r="B35" s="172" t="s">
        <v>349</v>
      </c>
      <c r="C35" s="173">
        <v>0.0</v>
      </c>
      <c r="D35" s="174" t="s">
        <v>313</v>
      </c>
    </row>
    <row r="36">
      <c r="A36" s="171" t="s">
        <v>350</v>
      </c>
      <c r="B36" s="172" t="s">
        <v>321</v>
      </c>
      <c r="C36" s="173">
        <v>0.0</v>
      </c>
      <c r="D36" s="174" t="s">
        <v>303</v>
      </c>
    </row>
    <row r="37">
      <c r="A37" s="171" t="s">
        <v>351</v>
      </c>
      <c r="B37" s="172" t="s">
        <v>307</v>
      </c>
      <c r="C37" s="173">
        <v>0.0</v>
      </c>
      <c r="D37" s="174" t="s">
        <v>310</v>
      </c>
    </row>
    <row r="38">
      <c r="A38" s="171" t="s">
        <v>352</v>
      </c>
      <c r="B38" s="172" t="s">
        <v>321</v>
      </c>
      <c r="C38" s="173">
        <v>0.0</v>
      </c>
      <c r="D38" s="174" t="s">
        <v>300</v>
      </c>
    </row>
    <row r="39">
      <c r="A39" s="171" t="s">
        <v>353</v>
      </c>
      <c r="B39" s="172" t="s">
        <v>318</v>
      </c>
      <c r="C39" s="173">
        <v>0.0</v>
      </c>
      <c r="D39" s="174" t="s">
        <v>313</v>
      </c>
    </row>
    <row r="40">
      <c r="A40" s="171" t="s">
        <v>354</v>
      </c>
      <c r="B40" s="172" t="s">
        <v>320</v>
      </c>
      <c r="C40" s="173">
        <v>0.0</v>
      </c>
      <c r="D40" s="174" t="s">
        <v>321</v>
      </c>
    </row>
    <row r="41">
      <c r="A41" s="171" t="s">
        <v>355</v>
      </c>
      <c r="B41" s="172" t="s">
        <v>318</v>
      </c>
      <c r="C41" s="173">
        <v>0.0</v>
      </c>
      <c r="D41" s="174" t="s">
        <v>313</v>
      </c>
    </row>
    <row r="42">
      <c r="A42" s="171" t="s">
        <v>356</v>
      </c>
      <c r="B42" s="172" t="s">
        <v>357</v>
      </c>
      <c r="C42" s="173">
        <v>0.0</v>
      </c>
      <c r="D42" s="174" t="s">
        <v>328</v>
      </c>
    </row>
    <row r="43">
      <c r="A43" s="171" t="s">
        <v>358</v>
      </c>
      <c r="B43" s="172" t="s">
        <v>328</v>
      </c>
      <c r="C43" s="173">
        <v>0.0</v>
      </c>
      <c r="D43" s="174" t="s">
        <v>300</v>
      </c>
    </row>
    <row r="44">
      <c r="A44" s="171" t="s">
        <v>359</v>
      </c>
      <c r="B44" s="172" t="s">
        <v>313</v>
      </c>
      <c r="C44" s="173">
        <v>0.0</v>
      </c>
      <c r="D44" s="174" t="s">
        <v>300</v>
      </c>
    </row>
    <row r="45">
      <c r="A45" s="171" t="s">
        <v>360</v>
      </c>
      <c r="B45" s="172" t="s">
        <v>330</v>
      </c>
      <c r="C45" s="173" t="s">
        <v>304</v>
      </c>
      <c r="D45" s="174" t="s">
        <v>310</v>
      </c>
    </row>
    <row r="46">
      <c r="A46" s="171" t="s">
        <v>361</v>
      </c>
      <c r="B46" s="172" t="s">
        <v>336</v>
      </c>
      <c r="C46" s="173" t="s">
        <v>303</v>
      </c>
      <c r="D46" s="174">
        <v>0.0</v>
      </c>
    </row>
    <row r="47">
      <c r="A47" s="171" t="s">
        <v>362</v>
      </c>
      <c r="B47" s="172" t="s">
        <v>363</v>
      </c>
      <c r="C47" s="173">
        <v>0.0</v>
      </c>
      <c r="D47" s="174" t="s">
        <v>313</v>
      </c>
    </row>
    <row r="48">
      <c r="A48" s="171" t="s">
        <v>364</v>
      </c>
      <c r="B48" s="172" t="s">
        <v>336</v>
      </c>
      <c r="C48" s="173">
        <v>0.0</v>
      </c>
      <c r="D48" s="174">
        <v>0.0</v>
      </c>
    </row>
    <row r="49">
      <c r="A49" s="171" t="s">
        <v>365</v>
      </c>
      <c r="B49" s="172" t="s">
        <v>310</v>
      </c>
      <c r="C49" s="173">
        <v>0.0</v>
      </c>
      <c r="D49" s="174" t="s">
        <v>303</v>
      </c>
    </row>
    <row r="50">
      <c r="A50" s="171" t="s">
        <v>366</v>
      </c>
      <c r="B50" s="172" t="s">
        <v>312</v>
      </c>
      <c r="C50" s="173">
        <v>0.0</v>
      </c>
      <c r="D50" s="174" t="s">
        <v>313</v>
      </c>
    </row>
    <row r="51">
      <c r="A51" s="175" t="s">
        <v>367</v>
      </c>
      <c r="B51" s="176" t="s">
        <v>313</v>
      </c>
      <c r="C51" s="176" t="s">
        <v>300</v>
      </c>
      <c r="D51" s="176" t="s">
        <v>303</v>
      </c>
    </row>
    <row r="52">
      <c r="A52" s="171" t="s">
        <v>368</v>
      </c>
      <c r="B52" s="172" t="s">
        <v>336</v>
      </c>
      <c r="C52" s="173">
        <v>0.0</v>
      </c>
      <c r="D52" s="174">
        <v>0.0</v>
      </c>
    </row>
    <row r="53">
      <c r="A53" s="171" t="s">
        <v>369</v>
      </c>
      <c r="B53" s="172" t="s">
        <v>320</v>
      </c>
      <c r="C53" s="173">
        <v>0.0</v>
      </c>
      <c r="D53" s="174" t="s">
        <v>321</v>
      </c>
    </row>
    <row r="54">
      <c r="A54" s="171" t="s">
        <v>370</v>
      </c>
      <c r="B54" s="172" t="s">
        <v>313</v>
      </c>
      <c r="C54" s="173">
        <v>0.0</v>
      </c>
      <c r="D54" s="174" t="s">
        <v>300</v>
      </c>
    </row>
    <row r="55">
      <c r="A55" s="171" t="s">
        <v>371</v>
      </c>
      <c r="B55" s="172" t="s">
        <v>318</v>
      </c>
      <c r="C55" s="173">
        <v>0.0</v>
      </c>
      <c r="D55" s="174" t="s">
        <v>321</v>
      </c>
    </row>
    <row r="56">
      <c r="A56" s="171" t="s">
        <v>372</v>
      </c>
      <c r="B56" s="172" t="s">
        <v>332</v>
      </c>
      <c r="C56" s="173">
        <v>0.0</v>
      </c>
      <c r="D56" s="174" t="s">
        <v>313</v>
      </c>
    </row>
    <row r="57">
      <c r="A57" s="171" t="s">
        <v>373</v>
      </c>
      <c r="B57" s="172" t="s">
        <v>349</v>
      </c>
      <c r="C57" s="173">
        <v>0.0</v>
      </c>
      <c r="D57" s="174" t="s">
        <v>374</v>
      </c>
    </row>
    <row r="58">
      <c r="A58" s="171" t="s">
        <v>375</v>
      </c>
      <c r="B58" s="172" t="s">
        <v>313</v>
      </c>
      <c r="C58" s="173">
        <v>0.0</v>
      </c>
      <c r="D58" s="174" t="s">
        <v>303</v>
      </c>
    </row>
    <row r="59">
      <c r="A59" s="171" t="s">
        <v>376</v>
      </c>
      <c r="B59" s="172" t="s">
        <v>336</v>
      </c>
      <c r="C59" s="173">
        <v>0.0</v>
      </c>
      <c r="D59" s="174">
        <v>0.0</v>
      </c>
    </row>
    <row r="60">
      <c r="A60" s="171" t="s">
        <v>377</v>
      </c>
      <c r="B60" s="172" t="s">
        <v>328</v>
      </c>
      <c r="C60" s="173">
        <v>0.0</v>
      </c>
      <c r="D60" s="174" t="s">
        <v>310</v>
      </c>
    </row>
    <row r="61">
      <c r="A61" s="171" t="s">
        <v>378</v>
      </c>
      <c r="B61" s="172" t="s">
        <v>330</v>
      </c>
      <c r="C61" s="173">
        <v>0.0</v>
      </c>
      <c r="D61" s="174" t="s">
        <v>328</v>
      </c>
    </row>
    <row r="62">
      <c r="A62" s="171" t="s">
        <v>379</v>
      </c>
      <c r="B62" s="172" t="s">
        <v>363</v>
      </c>
      <c r="C62" s="173">
        <v>0.0</v>
      </c>
      <c r="D62" s="174" t="s">
        <v>304</v>
      </c>
    </row>
    <row r="63">
      <c r="A63" s="171" t="s">
        <v>380</v>
      </c>
      <c r="B63" s="172" t="s">
        <v>302</v>
      </c>
      <c r="C63" s="173">
        <v>0.0</v>
      </c>
      <c r="D63" s="174" t="s">
        <v>313</v>
      </c>
    </row>
    <row r="64">
      <c r="A64" s="177" t="s">
        <v>381</v>
      </c>
      <c r="B64" s="178" t="s">
        <v>382</v>
      </c>
      <c r="C64" s="179" t="s">
        <v>318</v>
      </c>
      <c r="D64" s="180" t="s">
        <v>383</v>
      </c>
    </row>
    <row r="65">
      <c r="A65" s="170" t="s">
        <v>384</v>
      </c>
      <c r="B65" s="99"/>
      <c r="C65" s="99"/>
      <c r="D65" s="37"/>
    </row>
    <row r="66">
      <c r="A66" s="181" t="s">
        <v>385</v>
      </c>
      <c r="B66" s="182" t="s">
        <v>300</v>
      </c>
      <c r="C66" s="183">
        <v>0.0</v>
      </c>
      <c r="D66" s="184" t="s">
        <v>303</v>
      </c>
    </row>
    <row r="67">
      <c r="A67" s="171" t="s">
        <v>386</v>
      </c>
      <c r="B67" s="172" t="s">
        <v>336</v>
      </c>
      <c r="C67" s="173">
        <v>0.0</v>
      </c>
      <c r="D67" s="174">
        <v>0.0</v>
      </c>
    </row>
    <row r="68">
      <c r="A68" s="171" t="s">
        <v>387</v>
      </c>
      <c r="B68" s="172" t="s">
        <v>310</v>
      </c>
      <c r="C68" s="173" t="s">
        <v>310</v>
      </c>
      <c r="D68" s="174">
        <v>0.0</v>
      </c>
    </row>
    <row r="69">
      <c r="A69" s="171" t="s">
        <v>388</v>
      </c>
      <c r="B69" s="172" t="s">
        <v>336</v>
      </c>
      <c r="C69" s="173">
        <v>0.0</v>
      </c>
      <c r="D69" s="174" t="s">
        <v>303</v>
      </c>
    </row>
    <row r="70">
      <c r="A70" s="171" t="s">
        <v>389</v>
      </c>
      <c r="B70" s="172" t="s">
        <v>313</v>
      </c>
      <c r="C70" s="173">
        <v>0.0</v>
      </c>
      <c r="D70" s="185" t="s">
        <v>300</v>
      </c>
    </row>
    <row r="71">
      <c r="A71" s="186" t="s">
        <v>390</v>
      </c>
      <c r="B71" s="172" t="s">
        <v>391</v>
      </c>
      <c r="C71" s="173">
        <v>0.0</v>
      </c>
      <c r="D71" s="174" t="s">
        <v>310</v>
      </c>
    </row>
    <row r="72">
      <c r="A72" s="171" t="s">
        <v>392</v>
      </c>
      <c r="B72" s="172" t="s">
        <v>307</v>
      </c>
      <c r="C72" s="173">
        <v>0.0</v>
      </c>
      <c r="D72" s="174" t="s">
        <v>300</v>
      </c>
    </row>
    <row r="73">
      <c r="A73" s="171" t="s">
        <v>393</v>
      </c>
      <c r="B73" s="172" t="s">
        <v>304</v>
      </c>
      <c r="C73" s="173">
        <v>0.0</v>
      </c>
      <c r="D73" s="174" t="s">
        <v>303</v>
      </c>
    </row>
    <row r="74">
      <c r="A74" s="171" t="s">
        <v>394</v>
      </c>
      <c r="B74" s="172" t="s">
        <v>310</v>
      </c>
      <c r="C74" s="173">
        <v>0.0</v>
      </c>
      <c r="D74" s="174" t="s">
        <v>303</v>
      </c>
    </row>
    <row r="75">
      <c r="A75" s="171" t="s">
        <v>395</v>
      </c>
      <c r="B75" s="172" t="s">
        <v>304</v>
      </c>
      <c r="C75" s="173">
        <v>0.0</v>
      </c>
      <c r="D75" s="174" t="s">
        <v>303</v>
      </c>
    </row>
    <row r="76">
      <c r="A76" s="171" t="s">
        <v>396</v>
      </c>
      <c r="B76" s="172" t="s">
        <v>300</v>
      </c>
      <c r="C76" s="173">
        <v>0.0</v>
      </c>
      <c r="D76" s="174" t="s">
        <v>303</v>
      </c>
    </row>
    <row r="77">
      <c r="A77" s="171" t="s">
        <v>397</v>
      </c>
      <c r="B77" s="172" t="s">
        <v>324</v>
      </c>
      <c r="C77" s="173" t="s">
        <v>300</v>
      </c>
      <c r="D77" s="174" t="s">
        <v>300</v>
      </c>
    </row>
    <row r="78">
      <c r="A78" s="186" t="s">
        <v>398</v>
      </c>
      <c r="B78" s="172" t="s">
        <v>313</v>
      </c>
      <c r="C78" s="173">
        <v>0.0</v>
      </c>
      <c r="D78" s="174" t="s">
        <v>310</v>
      </c>
    </row>
    <row r="79">
      <c r="A79" s="186" t="s">
        <v>399</v>
      </c>
      <c r="B79" s="172" t="s">
        <v>304</v>
      </c>
      <c r="C79" s="173">
        <v>0.0</v>
      </c>
      <c r="D79" s="174" t="s">
        <v>303</v>
      </c>
    </row>
    <row r="80">
      <c r="A80" s="177" t="s">
        <v>381</v>
      </c>
      <c r="B80" s="178" t="s">
        <v>400</v>
      </c>
      <c r="C80" s="179" t="s">
        <v>304</v>
      </c>
      <c r="D80" s="180" t="s">
        <v>332</v>
      </c>
    </row>
    <row r="81" ht="44.25" customHeight="1">
      <c r="A81" s="187" t="s">
        <v>401</v>
      </c>
      <c r="B81" s="188"/>
      <c r="C81" s="188"/>
      <c r="D81" s="188"/>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89" t="s">
        <v>402</v>
      </c>
      <c r="B1" s="99"/>
      <c r="C1" s="99"/>
      <c r="D1" s="37"/>
      <c r="E1" s="89"/>
    </row>
    <row r="2">
      <c r="A2" s="190" t="s">
        <v>403</v>
      </c>
      <c r="B2" s="99"/>
      <c r="C2" s="99"/>
      <c r="D2" s="37"/>
      <c r="E2" s="89"/>
    </row>
    <row r="3" ht="29.25" customHeight="1">
      <c r="A3" s="191" t="s">
        <v>404</v>
      </c>
      <c r="B3" s="192" t="s">
        <v>405</v>
      </c>
      <c r="C3" s="193" t="s">
        <v>406</v>
      </c>
      <c r="D3" s="194" t="s">
        <v>407</v>
      </c>
      <c r="E3" s="195"/>
    </row>
    <row r="4">
      <c r="A4" s="196" t="s">
        <v>408</v>
      </c>
      <c r="B4" s="197"/>
      <c r="C4" s="197"/>
      <c r="D4" s="198"/>
      <c r="E4" s="195"/>
    </row>
    <row r="5">
      <c r="A5" s="199" t="s">
        <v>409</v>
      </c>
      <c r="B5" s="200" t="s">
        <v>79</v>
      </c>
      <c r="C5" s="201" t="s">
        <v>303</v>
      </c>
      <c r="D5" s="201" t="s">
        <v>303</v>
      </c>
    </row>
    <row r="6">
      <c r="A6" s="202" t="s">
        <v>410</v>
      </c>
      <c r="B6" s="203" t="s">
        <v>411</v>
      </c>
      <c r="C6" s="204" t="s">
        <v>303</v>
      </c>
      <c r="D6" s="204" t="s">
        <v>303</v>
      </c>
    </row>
    <row r="7">
      <c r="A7" s="202" t="s">
        <v>412</v>
      </c>
      <c r="B7" s="203" t="s">
        <v>81</v>
      </c>
      <c r="C7" s="204">
        <v>0.0</v>
      </c>
      <c r="D7" s="204" t="s">
        <v>303</v>
      </c>
    </row>
    <row r="8">
      <c r="A8" s="202" t="s">
        <v>413</v>
      </c>
      <c r="B8" s="203" t="s">
        <v>414</v>
      </c>
      <c r="C8" s="204" t="s">
        <v>303</v>
      </c>
      <c r="D8" s="204" t="s">
        <v>303</v>
      </c>
    </row>
    <row r="9">
      <c r="A9" s="202" t="s">
        <v>415</v>
      </c>
      <c r="B9" s="203" t="s">
        <v>414</v>
      </c>
      <c r="C9" s="204" t="s">
        <v>303</v>
      </c>
      <c r="D9" s="204" t="s">
        <v>303</v>
      </c>
    </row>
    <row r="10">
      <c r="A10" s="202" t="s">
        <v>416</v>
      </c>
      <c r="B10" s="203" t="s">
        <v>414</v>
      </c>
      <c r="C10" s="204" t="s">
        <v>303</v>
      </c>
      <c r="D10" s="204" t="s">
        <v>303</v>
      </c>
    </row>
    <row r="11">
      <c r="A11" s="202" t="s">
        <v>417</v>
      </c>
      <c r="B11" s="203" t="s">
        <v>414</v>
      </c>
      <c r="C11" s="204">
        <v>0.0</v>
      </c>
      <c r="D11" s="204" t="s">
        <v>300</v>
      </c>
    </row>
    <row r="12">
      <c r="A12" s="202" t="s">
        <v>418</v>
      </c>
      <c r="B12" s="203" t="s">
        <v>414</v>
      </c>
      <c r="C12" s="204" t="s">
        <v>303</v>
      </c>
      <c r="D12" s="204" t="s">
        <v>303</v>
      </c>
    </row>
    <row r="13">
      <c r="A13" s="202" t="s">
        <v>419</v>
      </c>
      <c r="B13" s="203" t="s">
        <v>414</v>
      </c>
      <c r="C13" s="204" t="s">
        <v>303</v>
      </c>
      <c r="D13" s="204" t="s">
        <v>303</v>
      </c>
    </row>
    <row r="14">
      <c r="A14" s="202" t="s">
        <v>420</v>
      </c>
      <c r="B14" s="203" t="s">
        <v>421</v>
      </c>
      <c r="C14" s="204" t="s">
        <v>303</v>
      </c>
      <c r="D14" s="204" t="s">
        <v>303</v>
      </c>
    </row>
    <row r="15">
      <c r="A15" s="202" t="s">
        <v>422</v>
      </c>
      <c r="B15" s="203" t="s">
        <v>84</v>
      </c>
      <c r="C15" s="204">
        <v>0.0</v>
      </c>
      <c r="D15" s="204" t="s">
        <v>303</v>
      </c>
    </row>
    <row r="16">
      <c r="A16" s="202" t="s">
        <v>423</v>
      </c>
      <c r="B16" s="203" t="s">
        <v>84</v>
      </c>
      <c r="C16" s="204" t="s">
        <v>303</v>
      </c>
      <c r="D16" s="204" t="s">
        <v>303</v>
      </c>
    </row>
    <row r="17">
      <c r="A17" s="202" t="s">
        <v>424</v>
      </c>
      <c r="B17" s="203" t="s">
        <v>85</v>
      </c>
      <c r="C17" s="204" t="s">
        <v>303</v>
      </c>
      <c r="D17" s="204" t="s">
        <v>303</v>
      </c>
    </row>
    <row r="18">
      <c r="A18" s="202" t="s">
        <v>425</v>
      </c>
      <c r="B18" s="203" t="s">
        <v>426</v>
      </c>
      <c r="C18" s="204" t="s">
        <v>303</v>
      </c>
      <c r="D18" s="204" t="s">
        <v>303</v>
      </c>
    </row>
    <row r="19">
      <c r="A19" s="202" t="s">
        <v>427</v>
      </c>
      <c r="B19" s="203" t="s">
        <v>88</v>
      </c>
      <c r="C19" s="204">
        <v>0.0</v>
      </c>
      <c r="D19" s="204" t="s">
        <v>303</v>
      </c>
    </row>
    <row r="20">
      <c r="A20" s="202" t="s">
        <v>428</v>
      </c>
      <c r="B20" s="203" t="s">
        <v>88</v>
      </c>
      <c r="C20" s="204">
        <v>0.0</v>
      </c>
      <c r="D20" s="204" t="s">
        <v>303</v>
      </c>
    </row>
    <row r="21">
      <c r="A21" s="202" t="s">
        <v>429</v>
      </c>
      <c r="B21" s="203" t="s">
        <v>430</v>
      </c>
      <c r="C21" s="204" t="s">
        <v>303</v>
      </c>
      <c r="D21" s="204" t="s">
        <v>303</v>
      </c>
    </row>
    <row r="22">
      <c r="A22" s="202" t="s">
        <v>431</v>
      </c>
      <c r="B22" s="203" t="s">
        <v>432</v>
      </c>
      <c r="C22" s="204">
        <v>0.0</v>
      </c>
      <c r="D22" s="204" t="s">
        <v>303</v>
      </c>
    </row>
    <row r="23">
      <c r="A23" s="202" t="s">
        <v>433</v>
      </c>
      <c r="B23" s="203" t="s">
        <v>434</v>
      </c>
      <c r="C23" s="204">
        <v>0.0</v>
      </c>
      <c r="D23" s="204" t="s">
        <v>303</v>
      </c>
    </row>
    <row r="24">
      <c r="A24" s="202" t="s">
        <v>435</v>
      </c>
      <c r="B24" s="203" t="s">
        <v>93</v>
      </c>
      <c r="C24" s="204" t="s">
        <v>303</v>
      </c>
      <c r="D24" s="204" t="s">
        <v>303</v>
      </c>
    </row>
    <row r="25">
      <c r="A25" s="202" t="s">
        <v>436</v>
      </c>
      <c r="B25" s="203" t="s">
        <v>94</v>
      </c>
      <c r="C25" s="204">
        <v>0.0</v>
      </c>
      <c r="D25" s="204" t="s">
        <v>303</v>
      </c>
    </row>
    <row r="26">
      <c r="A26" s="202" t="s">
        <v>437</v>
      </c>
      <c r="B26" s="203" t="s">
        <v>94</v>
      </c>
      <c r="C26" s="204">
        <v>0.0</v>
      </c>
      <c r="D26" s="204" t="s">
        <v>303</v>
      </c>
    </row>
    <row r="27">
      <c r="A27" s="202" t="s">
        <v>438</v>
      </c>
      <c r="B27" s="203" t="s">
        <v>94</v>
      </c>
      <c r="C27" s="204">
        <v>0.0</v>
      </c>
      <c r="D27" s="204" t="s">
        <v>303</v>
      </c>
    </row>
    <row r="28">
      <c r="A28" s="202" t="s">
        <v>439</v>
      </c>
      <c r="B28" s="203" t="s">
        <v>95</v>
      </c>
      <c r="C28" s="204" t="s">
        <v>303</v>
      </c>
      <c r="D28" s="204" t="s">
        <v>303</v>
      </c>
    </row>
    <row r="29">
      <c r="A29" s="202" t="s">
        <v>440</v>
      </c>
      <c r="B29" s="203" t="s">
        <v>98</v>
      </c>
      <c r="C29" s="204" t="s">
        <v>303</v>
      </c>
      <c r="D29" s="204" t="s">
        <v>303</v>
      </c>
    </row>
    <row r="30">
      <c r="A30" s="202" t="s">
        <v>441</v>
      </c>
      <c r="B30" s="203" t="s">
        <v>98</v>
      </c>
      <c r="C30" s="204" t="s">
        <v>303</v>
      </c>
      <c r="D30" s="204" t="s">
        <v>303</v>
      </c>
    </row>
    <row r="31">
      <c r="A31" s="202" t="s">
        <v>442</v>
      </c>
      <c r="B31" s="203" t="s">
        <v>101</v>
      </c>
      <c r="C31" s="204" t="s">
        <v>303</v>
      </c>
      <c r="D31" s="204" t="s">
        <v>303</v>
      </c>
    </row>
    <row r="32">
      <c r="A32" s="202" t="s">
        <v>443</v>
      </c>
      <c r="B32" s="203" t="s">
        <v>102</v>
      </c>
      <c r="C32" s="204" t="s">
        <v>303</v>
      </c>
      <c r="D32" s="204" t="s">
        <v>303</v>
      </c>
    </row>
    <row r="33">
      <c r="A33" s="202" t="s">
        <v>444</v>
      </c>
      <c r="B33" s="203" t="s">
        <v>104</v>
      </c>
      <c r="C33" s="204" t="s">
        <v>303</v>
      </c>
      <c r="D33" s="204" t="s">
        <v>303</v>
      </c>
    </row>
    <row r="34">
      <c r="A34" s="202" t="s">
        <v>445</v>
      </c>
      <c r="B34" s="203" t="s">
        <v>104</v>
      </c>
      <c r="C34" s="204" t="s">
        <v>303</v>
      </c>
      <c r="D34" s="204" t="s">
        <v>303</v>
      </c>
    </row>
    <row r="35">
      <c r="A35" s="202" t="s">
        <v>446</v>
      </c>
      <c r="B35" s="203" t="s">
        <v>447</v>
      </c>
      <c r="C35" s="204" t="s">
        <v>303</v>
      </c>
      <c r="D35" s="204" t="s">
        <v>303</v>
      </c>
    </row>
    <row r="36">
      <c r="A36" s="202" t="s">
        <v>448</v>
      </c>
      <c r="B36" s="203" t="s">
        <v>447</v>
      </c>
      <c r="C36" s="204">
        <v>0.0</v>
      </c>
      <c r="D36" s="204" t="s">
        <v>303</v>
      </c>
    </row>
    <row r="37">
      <c r="A37" s="202" t="s">
        <v>449</v>
      </c>
      <c r="B37" s="203" t="s">
        <v>447</v>
      </c>
      <c r="C37" s="204">
        <v>0.0</v>
      </c>
      <c r="D37" s="204" t="s">
        <v>303</v>
      </c>
    </row>
    <row r="38">
      <c r="A38" s="202" t="s">
        <v>450</v>
      </c>
      <c r="B38" s="203" t="s">
        <v>447</v>
      </c>
      <c r="C38" s="204">
        <v>0.0</v>
      </c>
      <c r="D38" s="204" t="s">
        <v>303</v>
      </c>
    </row>
    <row r="39">
      <c r="A39" s="202" t="s">
        <v>451</v>
      </c>
      <c r="B39" s="203" t="s">
        <v>447</v>
      </c>
      <c r="C39" s="204" t="s">
        <v>303</v>
      </c>
      <c r="D39" s="204" t="s">
        <v>303</v>
      </c>
    </row>
    <row r="40">
      <c r="A40" s="202" t="s">
        <v>452</v>
      </c>
      <c r="B40" s="203" t="s">
        <v>447</v>
      </c>
      <c r="C40" s="204" t="s">
        <v>303</v>
      </c>
      <c r="D40" s="204" t="s">
        <v>303</v>
      </c>
    </row>
    <row r="41">
      <c r="A41" s="202" t="s">
        <v>453</v>
      </c>
      <c r="B41" s="203" t="s">
        <v>447</v>
      </c>
      <c r="C41" s="204" t="s">
        <v>303</v>
      </c>
      <c r="D41" s="204" t="s">
        <v>303</v>
      </c>
    </row>
    <row r="42">
      <c r="A42" s="202" t="s">
        <v>454</v>
      </c>
      <c r="B42" s="203" t="s">
        <v>106</v>
      </c>
      <c r="C42" s="204" t="s">
        <v>303</v>
      </c>
      <c r="D42" s="204" t="s">
        <v>303</v>
      </c>
    </row>
    <row r="43">
      <c r="A43" s="202" t="s">
        <v>455</v>
      </c>
      <c r="B43" s="203" t="s">
        <v>106</v>
      </c>
      <c r="C43" s="204" t="s">
        <v>303</v>
      </c>
      <c r="D43" s="204" t="s">
        <v>303</v>
      </c>
    </row>
    <row r="44">
      <c r="A44" s="202" t="s">
        <v>456</v>
      </c>
      <c r="B44" s="203" t="s">
        <v>106</v>
      </c>
      <c r="C44" s="204" t="s">
        <v>303</v>
      </c>
      <c r="D44" s="204" t="s">
        <v>303</v>
      </c>
    </row>
    <row r="45">
      <c r="A45" s="202" t="s">
        <v>457</v>
      </c>
      <c r="B45" s="203" t="s">
        <v>106</v>
      </c>
      <c r="C45" s="204" t="s">
        <v>303</v>
      </c>
      <c r="D45" s="204" t="s">
        <v>303</v>
      </c>
    </row>
    <row r="46">
      <c r="A46" s="202" t="s">
        <v>458</v>
      </c>
      <c r="B46" s="203" t="s">
        <v>106</v>
      </c>
      <c r="C46" s="204" t="s">
        <v>303</v>
      </c>
      <c r="D46" s="204" t="s">
        <v>303</v>
      </c>
    </row>
    <row r="47">
      <c r="A47" s="202" t="s">
        <v>459</v>
      </c>
      <c r="B47" s="203" t="s">
        <v>106</v>
      </c>
      <c r="C47" s="204" t="s">
        <v>303</v>
      </c>
      <c r="D47" s="204" t="s">
        <v>303</v>
      </c>
    </row>
    <row r="48">
      <c r="A48" s="202" t="s">
        <v>460</v>
      </c>
      <c r="B48" s="203" t="s">
        <v>106</v>
      </c>
      <c r="C48" s="204">
        <v>0.0</v>
      </c>
      <c r="D48" s="204" t="s">
        <v>303</v>
      </c>
    </row>
    <row r="49">
      <c r="A49" s="202" t="s">
        <v>461</v>
      </c>
      <c r="B49" s="203" t="s">
        <v>106</v>
      </c>
      <c r="C49" s="204" t="s">
        <v>303</v>
      </c>
      <c r="D49" s="204" t="s">
        <v>303</v>
      </c>
    </row>
    <row r="50">
      <c r="A50" s="202" t="s">
        <v>462</v>
      </c>
      <c r="B50" s="203" t="s">
        <v>106</v>
      </c>
      <c r="C50" s="204">
        <v>0.0</v>
      </c>
      <c r="D50" s="204" t="s">
        <v>303</v>
      </c>
    </row>
    <row r="51">
      <c r="A51" s="202" t="s">
        <v>463</v>
      </c>
      <c r="B51" s="203" t="s">
        <v>106</v>
      </c>
      <c r="C51" s="204" t="s">
        <v>303</v>
      </c>
      <c r="D51" s="204" t="s">
        <v>303</v>
      </c>
    </row>
    <row r="52">
      <c r="A52" s="202" t="s">
        <v>464</v>
      </c>
      <c r="B52" s="203" t="s">
        <v>106</v>
      </c>
      <c r="C52" s="204" t="s">
        <v>303</v>
      </c>
      <c r="D52" s="204" t="s">
        <v>303</v>
      </c>
    </row>
    <row r="53">
      <c r="A53" s="202" t="s">
        <v>465</v>
      </c>
      <c r="B53" s="203" t="s">
        <v>106</v>
      </c>
      <c r="C53" s="204" t="s">
        <v>303</v>
      </c>
      <c r="D53" s="204" t="s">
        <v>303</v>
      </c>
    </row>
    <row r="54">
      <c r="A54" s="202" t="s">
        <v>466</v>
      </c>
      <c r="B54" s="203" t="s">
        <v>106</v>
      </c>
      <c r="C54" s="204" t="s">
        <v>303</v>
      </c>
      <c r="D54" s="204" t="s">
        <v>303</v>
      </c>
    </row>
    <row r="55">
      <c r="A55" s="202" t="s">
        <v>467</v>
      </c>
      <c r="B55" s="203" t="s">
        <v>106</v>
      </c>
      <c r="C55" s="204" t="s">
        <v>303</v>
      </c>
      <c r="D55" s="204" t="s">
        <v>303</v>
      </c>
    </row>
    <row r="56">
      <c r="A56" s="202" t="s">
        <v>468</v>
      </c>
      <c r="B56" s="203" t="s">
        <v>106</v>
      </c>
      <c r="C56" s="204">
        <v>0.0</v>
      </c>
      <c r="D56" s="204" t="s">
        <v>303</v>
      </c>
    </row>
    <row r="57">
      <c r="A57" s="202" t="s">
        <v>469</v>
      </c>
      <c r="B57" s="203" t="s">
        <v>470</v>
      </c>
      <c r="C57" s="204" t="s">
        <v>303</v>
      </c>
      <c r="D57" s="204" t="s">
        <v>303</v>
      </c>
    </row>
    <row r="58">
      <c r="A58" s="202" t="s">
        <v>471</v>
      </c>
      <c r="B58" s="203" t="s">
        <v>472</v>
      </c>
      <c r="C58" s="204" t="s">
        <v>303</v>
      </c>
      <c r="D58" s="204" t="s">
        <v>303</v>
      </c>
    </row>
    <row r="59">
      <c r="A59" s="202" t="s">
        <v>473</v>
      </c>
      <c r="B59" s="203" t="s">
        <v>109</v>
      </c>
      <c r="C59" s="204" t="s">
        <v>303</v>
      </c>
      <c r="D59" s="204" t="s">
        <v>303</v>
      </c>
    </row>
    <row r="60">
      <c r="A60" s="202" t="s">
        <v>474</v>
      </c>
      <c r="B60" s="203" t="s">
        <v>116</v>
      </c>
      <c r="C60" s="204" t="s">
        <v>303</v>
      </c>
      <c r="D60" s="204" t="s">
        <v>303</v>
      </c>
    </row>
    <row r="61">
      <c r="A61" s="202" t="s">
        <v>42</v>
      </c>
      <c r="B61" s="203" t="s">
        <v>475</v>
      </c>
      <c r="C61" s="204" t="s">
        <v>303</v>
      </c>
      <c r="D61" s="204" t="s">
        <v>303</v>
      </c>
    </row>
    <row r="62">
      <c r="A62" s="205"/>
      <c r="B62" s="206" t="s">
        <v>476</v>
      </c>
      <c r="C62" s="207" t="s">
        <v>477</v>
      </c>
      <c r="D62" s="207" t="s">
        <v>320</v>
      </c>
    </row>
    <row r="63">
      <c r="A63" s="208" t="s">
        <v>478</v>
      </c>
      <c r="B63" s="99"/>
      <c r="C63" s="99"/>
      <c r="D63" s="37"/>
    </row>
    <row r="64">
      <c r="A64" s="202" t="s">
        <v>479</v>
      </c>
      <c r="B64" s="203" t="s">
        <v>480</v>
      </c>
      <c r="C64" s="204" t="s">
        <v>303</v>
      </c>
      <c r="D64" s="204" t="s">
        <v>303</v>
      </c>
    </row>
    <row r="65">
      <c r="A65" s="202" t="s">
        <v>409</v>
      </c>
      <c r="B65" s="203" t="s">
        <v>79</v>
      </c>
      <c r="C65" s="204">
        <v>0.0</v>
      </c>
      <c r="D65" s="204" t="s">
        <v>303</v>
      </c>
    </row>
    <row r="66">
      <c r="A66" s="202" t="s">
        <v>481</v>
      </c>
      <c r="B66" s="203" t="s">
        <v>482</v>
      </c>
      <c r="C66" s="204" t="s">
        <v>303</v>
      </c>
      <c r="D66" s="204" t="s">
        <v>303</v>
      </c>
    </row>
    <row r="67">
      <c r="A67" s="202" t="s">
        <v>483</v>
      </c>
      <c r="B67" s="203" t="s">
        <v>482</v>
      </c>
      <c r="C67" s="204">
        <v>0.0</v>
      </c>
      <c r="D67" s="204" t="s">
        <v>303</v>
      </c>
    </row>
    <row r="68">
      <c r="A68" s="202" t="s">
        <v>417</v>
      </c>
      <c r="B68" s="203" t="s">
        <v>414</v>
      </c>
      <c r="C68" s="204" t="s">
        <v>303</v>
      </c>
      <c r="D68" s="204" t="s">
        <v>303</v>
      </c>
    </row>
    <row r="69">
      <c r="A69" s="202" t="s">
        <v>484</v>
      </c>
      <c r="B69" s="203" t="s">
        <v>414</v>
      </c>
      <c r="C69" s="204">
        <v>0.0</v>
      </c>
      <c r="D69" s="204" t="s">
        <v>303</v>
      </c>
    </row>
    <row r="70">
      <c r="A70" s="202" t="s">
        <v>485</v>
      </c>
      <c r="B70" s="203" t="s">
        <v>82</v>
      </c>
      <c r="C70" s="204">
        <v>0.0</v>
      </c>
      <c r="D70" s="204" t="s">
        <v>303</v>
      </c>
    </row>
    <row r="71">
      <c r="A71" s="202" t="s">
        <v>486</v>
      </c>
      <c r="B71" s="203" t="s">
        <v>84</v>
      </c>
      <c r="C71" s="204" t="s">
        <v>303</v>
      </c>
      <c r="D71" s="204" t="s">
        <v>303</v>
      </c>
    </row>
    <row r="72">
      <c r="A72" s="202" t="s">
        <v>423</v>
      </c>
      <c r="B72" s="203" t="s">
        <v>84</v>
      </c>
      <c r="C72" s="204">
        <v>0.0</v>
      </c>
      <c r="D72" s="204" t="s">
        <v>303</v>
      </c>
    </row>
    <row r="73">
      <c r="A73" s="202" t="s">
        <v>487</v>
      </c>
      <c r="B73" s="203" t="s">
        <v>85</v>
      </c>
      <c r="C73" s="204" t="s">
        <v>303</v>
      </c>
      <c r="D73" s="204" t="s">
        <v>303</v>
      </c>
    </row>
    <row r="74">
      <c r="A74" s="202" t="s">
        <v>488</v>
      </c>
      <c r="B74" s="203" t="s">
        <v>85</v>
      </c>
      <c r="C74" s="204">
        <v>0.0</v>
      </c>
      <c r="D74" s="204" t="s">
        <v>303</v>
      </c>
    </row>
    <row r="75">
      <c r="A75" s="202" t="s">
        <v>489</v>
      </c>
      <c r="B75" s="203" t="s">
        <v>85</v>
      </c>
      <c r="C75" s="204" t="s">
        <v>303</v>
      </c>
      <c r="D75" s="204" t="s">
        <v>303</v>
      </c>
    </row>
    <row r="76">
      <c r="A76" s="202" t="s">
        <v>490</v>
      </c>
      <c r="B76" s="203" t="s">
        <v>85</v>
      </c>
      <c r="C76" s="204">
        <v>0.0</v>
      </c>
      <c r="D76" s="204" t="s">
        <v>303</v>
      </c>
    </row>
    <row r="77">
      <c r="A77" s="202" t="s">
        <v>491</v>
      </c>
      <c r="B77" s="203" t="s">
        <v>85</v>
      </c>
      <c r="C77" s="204">
        <v>0.0</v>
      </c>
      <c r="D77" s="204" t="s">
        <v>303</v>
      </c>
    </row>
    <row r="78">
      <c r="A78" s="202" t="s">
        <v>492</v>
      </c>
      <c r="B78" s="203" t="s">
        <v>85</v>
      </c>
      <c r="C78" s="204" t="s">
        <v>303</v>
      </c>
      <c r="D78" s="204" t="s">
        <v>303</v>
      </c>
    </row>
    <row r="79">
      <c r="A79" s="202" t="s">
        <v>424</v>
      </c>
      <c r="B79" s="203" t="s">
        <v>85</v>
      </c>
      <c r="C79" s="204" t="s">
        <v>303</v>
      </c>
      <c r="D79" s="204" t="s">
        <v>303</v>
      </c>
    </row>
    <row r="80">
      <c r="A80" s="202" t="s">
        <v>493</v>
      </c>
      <c r="B80" s="203" t="s">
        <v>86</v>
      </c>
      <c r="C80" s="204" t="s">
        <v>303</v>
      </c>
      <c r="D80" s="204" t="s">
        <v>303</v>
      </c>
    </row>
    <row r="81">
      <c r="A81" s="202" t="s">
        <v>494</v>
      </c>
      <c r="B81" s="203" t="s">
        <v>86</v>
      </c>
      <c r="C81" s="204">
        <v>0.0</v>
      </c>
      <c r="D81" s="204" t="s">
        <v>303</v>
      </c>
    </row>
    <row r="82">
      <c r="A82" s="202" t="s">
        <v>495</v>
      </c>
      <c r="B82" s="203" t="s">
        <v>496</v>
      </c>
      <c r="C82" s="204" t="s">
        <v>303</v>
      </c>
      <c r="D82" s="204" t="s">
        <v>303</v>
      </c>
    </row>
    <row r="83">
      <c r="A83" s="202" t="s">
        <v>497</v>
      </c>
      <c r="B83" s="203" t="s">
        <v>94</v>
      </c>
      <c r="C83" s="204">
        <v>0.0</v>
      </c>
      <c r="D83" s="204" t="s">
        <v>303</v>
      </c>
    </row>
    <row r="84">
      <c r="A84" s="202" t="s">
        <v>436</v>
      </c>
      <c r="B84" s="203" t="s">
        <v>94</v>
      </c>
      <c r="C84" s="204">
        <v>0.0</v>
      </c>
      <c r="D84" s="204" t="s">
        <v>303</v>
      </c>
    </row>
    <row r="85">
      <c r="A85" s="202" t="s">
        <v>437</v>
      </c>
      <c r="B85" s="203" t="s">
        <v>94</v>
      </c>
      <c r="C85" s="204">
        <v>0.0</v>
      </c>
      <c r="D85" s="204" t="s">
        <v>303</v>
      </c>
    </row>
    <row r="86">
      <c r="A86" s="202" t="s">
        <v>498</v>
      </c>
      <c r="B86" s="203" t="s">
        <v>499</v>
      </c>
      <c r="C86" s="204">
        <v>0.0</v>
      </c>
      <c r="D86" s="204" t="s">
        <v>303</v>
      </c>
    </row>
    <row r="87">
      <c r="A87" s="202" t="s">
        <v>500</v>
      </c>
      <c r="B87" s="203" t="s">
        <v>104</v>
      </c>
      <c r="C87" s="204">
        <v>0.0</v>
      </c>
      <c r="D87" s="204" t="s">
        <v>303</v>
      </c>
    </row>
    <row r="88">
      <c r="A88" s="202" t="s">
        <v>501</v>
      </c>
      <c r="B88" s="203" t="s">
        <v>104</v>
      </c>
      <c r="C88" s="204">
        <v>0.0</v>
      </c>
      <c r="D88" s="204" t="s">
        <v>303</v>
      </c>
    </row>
    <row r="89">
      <c r="A89" s="202" t="s">
        <v>502</v>
      </c>
      <c r="B89" s="203" t="s">
        <v>104</v>
      </c>
      <c r="C89" s="204" t="s">
        <v>303</v>
      </c>
      <c r="D89" s="204" t="s">
        <v>303</v>
      </c>
    </row>
    <row r="90">
      <c r="A90" s="202" t="s">
        <v>503</v>
      </c>
      <c r="B90" s="203" t="s">
        <v>104</v>
      </c>
      <c r="C90" s="204">
        <v>0.0</v>
      </c>
      <c r="D90" s="204" t="s">
        <v>303</v>
      </c>
    </row>
    <row r="91">
      <c r="A91" s="202" t="s">
        <v>504</v>
      </c>
      <c r="B91" s="203" t="s">
        <v>104</v>
      </c>
      <c r="C91" s="204" t="s">
        <v>303</v>
      </c>
      <c r="D91" s="204" t="s">
        <v>303</v>
      </c>
    </row>
    <row r="92">
      <c r="A92" s="202" t="s">
        <v>505</v>
      </c>
      <c r="B92" s="203" t="s">
        <v>104</v>
      </c>
      <c r="C92" s="204" t="s">
        <v>303</v>
      </c>
      <c r="D92" s="204" t="s">
        <v>303</v>
      </c>
    </row>
    <row r="93">
      <c r="A93" s="202" t="s">
        <v>506</v>
      </c>
      <c r="B93" s="203" t="s">
        <v>104</v>
      </c>
      <c r="C93" s="204" t="s">
        <v>303</v>
      </c>
      <c r="D93" s="204" t="s">
        <v>303</v>
      </c>
    </row>
    <row r="94">
      <c r="A94" s="202" t="s">
        <v>451</v>
      </c>
      <c r="B94" s="203" t="s">
        <v>447</v>
      </c>
      <c r="C94" s="204" t="s">
        <v>303</v>
      </c>
      <c r="D94" s="204" t="s">
        <v>303</v>
      </c>
    </row>
    <row r="95">
      <c r="A95" s="202" t="s">
        <v>507</v>
      </c>
      <c r="B95" s="203" t="s">
        <v>447</v>
      </c>
      <c r="C95" s="204" t="s">
        <v>303</v>
      </c>
      <c r="D95" s="204" t="s">
        <v>303</v>
      </c>
    </row>
    <row r="96">
      <c r="A96" s="202" t="s">
        <v>508</v>
      </c>
      <c r="B96" s="203" t="s">
        <v>447</v>
      </c>
      <c r="C96" s="204">
        <v>0.0</v>
      </c>
      <c r="D96" s="204" t="s">
        <v>303</v>
      </c>
    </row>
    <row r="97">
      <c r="A97" s="202" t="s">
        <v>509</v>
      </c>
      <c r="B97" s="203" t="s">
        <v>447</v>
      </c>
      <c r="C97" s="204">
        <v>0.0</v>
      </c>
      <c r="D97" s="204" t="s">
        <v>303</v>
      </c>
    </row>
    <row r="98">
      <c r="A98" s="202" t="s">
        <v>510</v>
      </c>
      <c r="B98" s="203" t="s">
        <v>447</v>
      </c>
      <c r="C98" s="204" t="s">
        <v>303</v>
      </c>
      <c r="D98" s="204" t="s">
        <v>303</v>
      </c>
    </row>
    <row r="99">
      <c r="A99" s="202" t="s">
        <v>511</v>
      </c>
      <c r="B99" s="203" t="s">
        <v>106</v>
      </c>
      <c r="C99" s="204">
        <v>0.0</v>
      </c>
      <c r="D99" s="204" t="s">
        <v>303</v>
      </c>
    </row>
    <row r="100">
      <c r="A100" s="202" t="s">
        <v>512</v>
      </c>
      <c r="B100" s="203" t="s">
        <v>106</v>
      </c>
      <c r="C100" s="204" t="s">
        <v>303</v>
      </c>
      <c r="D100" s="204" t="s">
        <v>303</v>
      </c>
    </row>
    <row r="101">
      <c r="A101" s="202" t="s">
        <v>513</v>
      </c>
      <c r="B101" s="203" t="s">
        <v>106</v>
      </c>
      <c r="C101" s="204" t="s">
        <v>303</v>
      </c>
      <c r="D101" s="204" t="s">
        <v>303</v>
      </c>
    </row>
    <row r="102">
      <c r="A102" s="202" t="s">
        <v>456</v>
      </c>
      <c r="B102" s="203" t="s">
        <v>106</v>
      </c>
      <c r="C102" s="204" t="s">
        <v>303</v>
      </c>
      <c r="D102" s="204" t="s">
        <v>303</v>
      </c>
    </row>
    <row r="103">
      <c r="A103" s="202" t="s">
        <v>458</v>
      </c>
      <c r="B103" s="203" t="s">
        <v>106</v>
      </c>
      <c r="C103" s="204">
        <v>0.0</v>
      </c>
      <c r="D103" s="204" t="s">
        <v>303</v>
      </c>
    </row>
    <row r="104">
      <c r="A104" s="202" t="s">
        <v>514</v>
      </c>
      <c r="B104" s="203" t="s">
        <v>106</v>
      </c>
      <c r="C104" s="204">
        <v>0.0</v>
      </c>
      <c r="D104" s="204" t="s">
        <v>303</v>
      </c>
    </row>
    <row r="105">
      <c r="A105" s="202" t="s">
        <v>515</v>
      </c>
      <c r="B105" s="203" t="s">
        <v>106</v>
      </c>
      <c r="C105" s="204">
        <v>0.0</v>
      </c>
      <c r="D105" s="204" t="s">
        <v>303</v>
      </c>
    </row>
    <row r="106">
      <c r="A106" s="202" t="s">
        <v>516</v>
      </c>
      <c r="B106" s="203" t="s">
        <v>106</v>
      </c>
      <c r="C106" s="204" t="s">
        <v>303</v>
      </c>
      <c r="D106" s="204" t="s">
        <v>303</v>
      </c>
    </row>
    <row r="107">
      <c r="A107" s="202" t="s">
        <v>517</v>
      </c>
      <c r="B107" s="203" t="s">
        <v>106</v>
      </c>
      <c r="C107" s="204">
        <v>0.0</v>
      </c>
      <c r="D107" s="204" t="s">
        <v>303</v>
      </c>
    </row>
    <row r="108">
      <c r="A108" s="202" t="s">
        <v>461</v>
      </c>
      <c r="B108" s="203" t="s">
        <v>106</v>
      </c>
      <c r="C108" s="204">
        <v>0.0</v>
      </c>
      <c r="D108" s="204" t="s">
        <v>303</v>
      </c>
    </row>
    <row r="109">
      <c r="A109" s="202" t="s">
        <v>518</v>
      </c>
      <c r="B109" s="203" t="s">
        <v>106</v>
      </c>
      <c r="C109" s="204" t="s">
        <v>303</v>
      </c>
      <c r="D109" s="204" t="s">
        <v>303</v>
      </c>
    </row>
    <row r="110">
      <c r="A110" s="202" t="s">
        <v>462</v>
      </c>
      <c r="B110" s="203" t="s">
        <v>106</v>
      </c>
      <c r="C110" s="204" t="s">
        <v>303</v>
      </c>
      <c r="D110" s="204" t="s">
        <v>303</v>
      </c>
    </row>
    <row r="111">
      <c r="A111" s="202" t="s">
        <v>519</v>
      </c>
      <c r="B111" s="203" t="s">
        <v>106</v>
      </c>
      <c r="C111" s="204">
        <v>0.0</v>
      </c>
      <c r="D111" s="204" t="s">
        <v>303</v>
      </c>
    </row>
    <row r="112">
      <c r="A112" s="202" t="s">
        <v>520</v>
      </c>
      <c r="B112" s="203" t="s">
        <v>106</v>
      </c>
      <c r="C112" s="204">
        <v>0.0</v>
      </c>
      <c r="D112" s="204" t="s">
        <v>303</v>
      </c>
    </row>
    <row r="113">
      <c r="A113" s="202" t="s">
        <v>521</v>
      </c>
      <c r="B113" s="203" t="s">
        <v>522</v>
      </c>
      <c r="C113" s="204">
        <v>0.0</v>
      </c>
      <c r="D113" s="204" t="s">
        <v>303</v>
      </c>
    </row>
    <row r="114">
      <c r="A114" s="202" t="s">
        <v>523</v>
      </c>
      <c r="B114" s="203" t="s">
        <v>108</v>
      </c>
      <c r="C114" s="204" t="s">
        <v>303</v>
      </c>
      <c r="D114" s="204" t="s">
        <v>303</v>
      </c>
    </row>
    <row r="115">
      <c r="A115" s="202" t="s">
        <v>473</v>
      </c>
      <c r="B115" s="203" t="s">
        <v>109</v>
      </c>
      <c r="C115" s="204">
        <v>0.0</v>
      </c>
      <c r="D115" s="204" t="s">
        <v>303</v>
      </c>
    </row>
    <row r="116">
      <c r="A116" s="202" t="s">
        <v>524</v>
      </c>
      <c r="B116" s="203" t="s">
        <v>525</v>
      </c>
      <c r="C116" s="204" t="s">
        <v>303</v>
      </c>
      <c r="D116" s="204" t="s">
        <v>303</v>
      </c>
    </row>
    <row r="117">
      <c r="A117" s="202" t="s">
        <v>526</v>
      </c>
      <c r="B117" s="203" t="s">
        <v>113</v>
      </c>
      <c r="C117" s="204" t="s">
        <v>303</v>
      </c>
      <c r="D117" s="204" t="s">
        <v>303</v>
      </c>
    </row>
    <row r="118">
      <c r="A118" s="202" t="s">
        <v>527</v>
      </c>
      <c r="B118" s="203" t="s">
        <v>113</v>
      </c>
      <c r="C118" s="204" t="s">
        <v>303</v>
      </c>
      <c r="D118" s="204" t="s">
        <v>303</v>
      </c>
    </row>
    <row r="119">
      <c r="A119" s="202" t="s">
        <v>528</v>
      </c>
      <c r="B119" s="203" t="s">
        <v>115</v>
      </c>
      <c r="C119" s="204" t="s">
        <v>303</v>
      </c>
      <c r="D119" s="204" t="s">
        <v>303</v>
      </c>
    </row>
    <row r="120">
      <c r="A120" s="202" t="s">
        <v>529</v>
      </c>
      <c r="B120" s="203" t="s">
        <v>117</v>
      </c>
      <c r="C120" s="204" t="s">
        <v>303</v>
      </c>
      <c r="D120" s="204" t="s">
        <v>303</v>
      </c>
    </row>
    <row r="121">
      <c r="A121" s="202" t="s">
        <v>530</v>
      </c>
      <c r="B121" s="203" t="s">
        <v>117</v>
      </c>
      <c r="C121" s="204">
        <v>0.0</v>
      </c>
      <c r="D121" s="204" t="s">
        <v>303</v>
      </c>
    </row>
    <row r="122">
      <c r="A122" s="205"/>
      <c r="B122" s="206" t="s">
        <v>476</v>
      </c>
      <c r="C122" s="207" t="s">
        <v>374</v>
      </c>
      <c r="D122" s="207" t="s">
        <v>312</v>
      </c>
    </row>
    <row r="123">
      <c r="A123" s="209" t="s">
        <v>531</v>
      </c>
      <c r="B123" s="99"/>
      <c r="C123" s="99"/>
      <c r="D123" s="37"/>
    </row>
  </sheetData>
  <mergeCells count="5">
    <mergeCell ref="A1:D1"/>
    <mergeCell ref="A2:D2"/>
    <mergeCell ref="A4:D4"/>
    <mergeCell ref="A63:D63"/>
    <mergeCell ref="A123:D12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0">
        <f>IFERROR(__xludf.DUMMYFUNCTION("filter( Trends!A1:AO1000, row(Trends!A1:A1000) &gt; counta(Trends!A1:A1000) - 199 )"),43911.0)</f>
        <v>43911</v>
      </c>
      <c r="B1" s="151">
        <f>IFERROR(__xludf.DUMMYFUNCTION("""COMPUTED_VALUE"""),12.0)</f>
        <v>12</v>
      </c>
      <c r="C1" s="151">
        <f>IFERROR(__xludf.DUMMYFUNCTION("""COMPUTED_VALUE"""),13.0)</f>
        <v>13</v>
      </c>
      <c r="D1" s="151">
        <f>IFERROR(__xludf.DUMMYFUNCTION("""COMPUTED_VALUE"""),85.0)</f>
        <v>85</v>
      </c>
      <c r="E1" s="151">
        <f>IFERROR(__xludf.DUMMYFUNCTION("""COMPUTED_VALUE"""),126.0)</f>
        <v>126</v>
      </c>
      <c r="F1" s="151">
        <f>IFERROR(__xludf.DUMMYFUNCTION("""COMPUTED_VALUE"""),1337.0)</f>
        <v>1337</v>
      </c>
      <c r="G1" s="151">
        <f>IFERROR(__xludf.DUMMYFUNCTION("""COMPUTED_VALUE"""),138.0)</f>
        <v>138</v>
      </c>
      <c r="H1" s="151">
        <f>IFERROR(__xludf.DUMMYFUNCTION("""COMPUTED_VALUE"""),1422.0)</f>
        <v>1422</v>
      </c>
      <c r="I1" s="151">
        <f>IFERROR(__xludf.DUMMYFUNCTION("""COMPUTED_VALUE"""),14.0)</f>
        <v>14</v>
      </c>
      <c r="J1" s="151">
        <f>IFERROR(__xludf.DUMMYFUNCTION("""COMPUTED_VALUE"""),15.0)</f>
        <v>15</v>
      </c>
      <c r="K1" s="151">
        <f>IFERROR(__xludf.DUMMYFUNCTION("""COMPUTED_VALUE"""),88.0)</f>
        <v>88</v>
      </c>
      <c r="L1" s="151">
        <f>IFERROR(__xludf.DUMMYFUNCTION("""COMPUTED_VALUE"""),123.0)</f>
        <v>123</v>
      </c>
      <c r="M1" s="151">
        <f>IFERROR(__xludf.DUMMYFUNCTION("""COMPUTED_VALUE"""),1282.0)</f>
        <v>1282</v>
      </c>
      <c r="N1" s="151">
        <f>IFERROR(__xludf.DUMMYFUNCTION("""COMPUTED_VALUE"""),1370.0)</f>
        <v>1370</v>
      </c>
      <c r="O1" s="151">
        <f>IFERROR(__xludf.DUMMYFUNCTION("""COMPUTED_VALUE"""),3.0)</f>
        <v>3</v>
      </c>
      <c r="P1" s="151">
        <f>IFERROR(__xludf.DUMMYFUNCTION("""COMPUTED_VALUE"""),31.0)</f>
        <v>31</v>
      </c>
      <c r="Q1" s="151">
        <f>IFERROR(__xludf.DUMMYFUNCTION("""COMPUTED_VALUE"""),2.0)</f>
        <v>2</v>
      </c>
      <c r="R1" s="151">
        <f>IFERROR(__xludf.DUMMYFUNCTION("""COMPUTED_VALUE"""),4.0)</f>
        <v>4</v>
      </c>
      <c r="S1" s="151">
        <f>IFERROR(__xludf.DUMMYFUNCTION("""COMPUTED_VALUE"""),0.0)</f>
        <v>0</v>
      </c>
      <c r="T1" s="151">
        <f>IFERROR(__xludf.DUMMYFUNCTION("""COMPUTED_VALUE"""),0.0)</f>
        <v>0</v>
      </c>
      <c r="U1" s="151">
        <f>IFERROR(__xludf.DUMMYFUNCTION("""COMPUTED_VALUE"""),27.0)</f>
        <v>27</v>
      </c>
      <c r="V1" s="151">
        <f>IFERROR(__xludf.DUMMYFUNCTION("""COMPUTED_VALUE"""),25.0)</f>
        <v>25</v>
      </c>
      <c r="W1" s="151">
        <f>IFERROR(__xludf.DUMMYFUNCTION("""COMPUTED_VALUE"""),5.0)</f>
        <v>5</v>
      </c>
      <c r="X1" s="151">
        <f>IFERROR(__xludf.DUMMYFUNCTION("""COMPUTED_VALUE"""),0.0)</f>
        <v>0</v>
      </c>
      <c r="Y1" s="151">
        <f>IFERROR(__xludf.DUMMYFUNCTION("""COMPUTED_VALUE"""),0.0)</f>
        <v>0</v>
      </c>
      <c r="Z1" s="151">
        <f>IFERROR(__xludf.DUMMYFUNCTION("""COMPUTED_VALUE"""),1.0)</f>
        <v>1</v>
      </c>
    </row>
    <row r="2">
      <c r="A2" s="210">
        <f>IFERROR(__xludf.DUMMYFUNCTION("""COMPUTED_VALUE"""),43912.0)</f>
        <v>43912</v>
      </c>
      <c r="B2" s="151">
        <f>IFERROR(__xludf.DUMMYFUNCTION("""COMPUTED_VALUE"""),27.0)</f>
        <v>27</v>
      </c>
      <c r="C2" s="151">
        <f>IFERROR(__xludf.DUMMYFUNCTION("""COMPUTED_VALUE"""),17.0)</f>
        <v>17</v>
      </c>
      <c r="D2" s="151">
        <f>IFERROR(__xludf.DUMMYFUNCTION("""COMPUTED_VALUE"""),112.0)</f>
        <v>112</v>
      </c>
      <c r="E2" s="151">
        <f>IFERROR(__xludf.DUMMYFUNCTION("""COMPUTED_VALUE"""),282.0)</f>
        <v>282</v>
      </c>
      <c r="F2" s="151">
        <f>IFERROR(__xludf.DUMMYFUNCTION("""COMPUTED_VALUE"""),1619.0)</f>
        <v>1619</v>
      </c>
      <c r="G2" s="151">
        <f>IFERROR(__xludf.DUMMYFUNCTION("""COMPUTED_VALUE"""),309.0)</f>
        <v>309</v>
      </c>
      <c r="H2" s="151">
        <f>IFERROR(__xludf.DUMMYFUNCTION("""COMPUTED_VALUE"""),1731.0)</f>
        <v>1731</v>
      </c>
      <c r="I2" s="151">
        <f>IFERROR(__xludf.DUMMYFUNCTION("""COMPUTED_VALUE"""),25.0)</f>
        <v>25</v>
      </c>
      <c r="J2" s="151">
        <f>IFERROR(__xludf.DUMMYFUNCTION("""COMPUTED_VALUE"""),17.0)</f>
        <v>17</v>
      </c>
      <c r="K2" s="151">
        <f>IFERROR(__xludf.DUMMYFUNCTION("""COMPUTED_VALUE"""),113.0)</f>
        <v>113</v>
      </c>
      <c r="L2" s="151">
        <f>IFERROR(__xludf.DUMMYFUNCTION("""COMPUTED_VALUE"""),261.0)</f>
        <v>261</v>
      </c>
      <c r="M2" s="151">
        <f>IFERROR(__xludf.DUMMYFUNCTION("""COMPUTED_VALUE"""),1543.0)</f>
        <v>1543</v>
      </c>
      <c r="N2" s="151">
        <f>IFERROR(__xludf.DUMMYFUNCTION("""COMPUTED_VALUE"""),1656.0)</f>
        <v>1656</v>
      </c>
      <c r="O2" s="151">
        <f>IFERROR(__xludf.DUMMYFUNCTION("""COMPUTED_VALUE"""),2.0)</f>
        <v>2</v>
      </c>
      <c r="P2" s="151">
        <f>IFERROR(__xludf.DUMMYFUNCTION("""COMPUTED_VALUE"""),33.0)</f>
        <v>33</v>
      </c>
      <c r="Q2" s="151">
        <f>IFERROR(__xludf.DUMMYFUNCTION("""COMPUTED_VALUE"""),0.0)</f>
        <v>0</v>
      </c>
      <c r="R2" s="151">
        <f>IFERROR(__xludf.DUMMYFUNCTION("""COMPUTED_VALUE"""),4.0)</f>
        <v>4</v>
      </c>
      <c r="S2" s="151">
        <f>IFERROR(__xludf.DUMMYFUNCTION("""COMPUTED_VALUE"""),0.0)</f>
        <v>0</v>
      </c>
      <c r="T2" s="151">
        <f>IFERROR(__xludf.DUMMYFUNCTION("""COMPUTED_VALUE"""),0.0)</f>
        <v>0</v>
      </c>
      <c r="U2" s="151">
        <f>IFERROR(__xludf.DUMMYFUNCTION("""COMPUTED_VALUE"""),29.0)</f>
        <v>29</v>
      </c>
      <c r="V2" s="151">
        <f>IFERROR(__xludf.DUMMYFUNCTION("""COMPUTED_VALUE"""),27.0)</f>
        <v>27</v>
      </c>
      <c r="W2" s="151">
        <f>IFERROR(__xludf.DUMMYFUNCTION("""COMPUTED_VALUE"""),5.0)</f>
        <v>5</v>
      </c>
      <c r="X2" s="151">
        <f>IFERROR(__xludf.DUMMYFUNCTION("""COMPUTED_VALUE"""),0.0)</f>
        <v>0</v>
      </c>
      <c r="Y2" s="151">
        <f>IFERROR(__xludf.DUMMYFUNCTION("""COMPUTED_VALUE"""),0.0)</f>
        <v>0</v>
      </c>
      <c r="Z2" s="151">
        <f>IFERROR(__xludf.DUMMYFUNCTION("""COMPUTED_VALUE"""),1.0)</f>
        <v>1</v>
      </c>
    </row>
    <row r="3">
      <c r="A3" s="210">
        <f>IFERROR(__xludf.DUMMYFUNCTION("""COMPUTED_VALUE"""),43913.0)</f>
        <v>43913</v>
      </c>
      <c r="B3" s="151">
        <f>IFERROR(__xludf.DUMMYFUNCTION("""COMPUTED_VALUE"""),14.0)</f>
        <v>14</v>
      </c>
      <c r="C3" s="151">
        <f>IFERROR(__xludf.DUMMYFUNCTION("""COMPUTED_VALUE"""),18.0)</f>
        <v>18</v>
      </c>
      <c r="D3" s="151">
        <f>IFERROR(__xludf.DUMMYFUNCTION("""COMPUTED_VALUE"""),126.0)</f>
        <v>126</v>
      </c>
      <c r="E3" s="151">
        <f>IFERROR(__xludf.DUMMYFUNCTION("""COMPUTED_VALUE"""),169.0)</f>
        <v>169</v>
      </c>
      <c r="F3" s="151">
        <f>IFERROR(__xludf.DUMMYFUNCTION("""COMPUTED_VALUE"""),1788.0)</f>
        <v>1788</v>
      </c>
      <c r="G3" s="151">
        <f>IFERROR(__xludf.DUMMYFUNCTION("""COMPUTED_VALUE"""),183.0)</f>
        <v>183</v>
      </c>
      <c r="H3" s="151">
        <f>IFERROR(__xludf.DUMMYFUNCTION("""COMPUTED_VALUE"""),1914.0)</f>
        <v>1914</v>
      </c>
      <c r="I3" s="151">
        <f>IFERROR(__xludf.DUMMYFUNCTION("""COMPUTED_VALUE"""),16.0)</f>
        <v>16</v>
      </c>
      <c r="J3" s="151">
        <f>IFERROR(__xludf.DUMMYFUNCTION("""COMPUTED_VALUE"""),18.0)</f>
        <v>18</v>
      </c>
      <c r="K3" s="151">
        <f>IFERROR(__xludf.DUMMYFUNCTION("""COMPUTED_VALUE"""),129.0)</f>
        <v>129</v>
      </c>
      <c r="L3" s="151">
        <f>IFERROR(__xludf.DUMMYFUNCTION("""COMPUTED_VALUE"""),165.0)</f>
        <v>165</v>
      </c>
      <c r="M3" s="151">
        <f>IFERROR(__xludf.DUMMYFUNCTION("""COMPUTED_VALUE"""),1708.0)</f>
        <v>1708</v>
      </c>
      <c r="N3" s="151">
        <f>IFERROR(__xludf.DUMMYFUNCTION("""COMPUTED_VALUE"""),1837.0)</f>
        <v>1837</v>
      </c>
      <c r="O3" s="151">
        <f>IFERROR(__xludf.DUMMYFUNCTION("""COMPUTED_VALUE"""),15.0)</f>
        <v>15</v>
      </c>
      <c r="P3" s="151">
        <f>IFERROR(__xludf.DUMMYFUNCTION("""COMPUTED_VALUE"""),48.0)</f>
        <v>48</v>
      </c>
      <c r="Q3" s="151">
        <f>IFERROR(__xludf.DUMMYFUNCTION("""COMPUTED_VALUE"""),1.0)</f>
        <v>1</v>
      </c>
      <c r="R3" s="151">
        <f>IFERROR(__xludf.DUMMYFUNCTION("""COMPUTED_VALUE"""),5.0)</f>
        <v>5</v>
      </c>
      <c r="S3" s="151">
        <f>IFERROR(__xludf.DUMMYFUNCTION("""COMPUTED_VALUE"""),0.0)</f>
        <v>0</v>
      </c>
      <c r="T3" s="151">
        <f>IFERROR(__xludf.DUMMYFUNCTION("""COMPUTED_VALUE"""),0.0)</f>
        <v>0</v>
      </c>
      <c r="U3" s="151">
        <f>IFERROR(__xludf.DUMMYFUNCTION("""COMPUTED_VALUE"""),43.0)</f>
        <v>43</v>
      </c>
      <c r="V3" s="151">
        <f>IFERROR(__xludf.DUMMYFUNCTION("""COMPUTED_VALUE"""),33.0)</f>
        <v>33</v>
      </c>
      <c r="W3" s="151">
        <f>IFERROR(__xludf.DUMMYFUNCTION("""COMPUTED_VALUE"""),9.0)</f>
        <v>9</v>
      </c>
      <c r="X3" s="151">
        <f>IFERROR(__xludf.DUMMYFUNCTION("""COMPUTED_VALUE"""),3.0)</f>
        <v>3</v>
      </c>
      <c r="Y3" s="151">
        <f>IFERROR(__xludf.DUMMYFUNCTION("""COMPUTED_VALUE"""),0.0)</f>
        <v>0</v>
      </c>
      <c r="Z3" s="151">
        <f>IFERROR(__xludf.DUMMYFUNCTION("""COMPUTED_VALUE"""),1.0)</f>
        <v>1</v>
      </c>
    </row>
    <row r="4">
      <c r="A4" s="210">
        <f>IFERROR(__xludf.DUMMYFUNCTION("""COMPUTED_VALUE"""),43914.0)</f>
        <v>43914</v>
      </c>
      <c r="B4" s="151">
        <f>IFERROR(__xludf.DUMMYFUNCTION("""COMPUTED_VALUE"""),20.0)</f>
        <v>20</v>
      </c>
      <c r="C4" s="151">
        <f>IFERROR(__xludf.DUMMYFUNCTION("""COMPUTED_VALUE"""),20.0)</f>
        <v>20</v>
      </c>
      <c r="D4" s="151">
        <f>IFERROR(__xludf.DUMMYFUNCTION("""COMPUTED_VALUE"""),146.0)</f>
        <v>146</v>
      </c>
      <c r="E4" s="151">
        <f>IFERROR(__xludf.DUMMYFUNCTION("""COMPUTED_VALUE"""),242.0)</f>
        <v>242</v>
      </c>
      <c r="F4" s="151">
        <f>IFERROR(__xludf.DUMMYFUNCTION("""COMPUTED_VALUE"""),2030.0)</f>
        <v>2030</v>
      </c>
      <c r="G4" s="151">
        <f>IFERROR(__xludf.DUMMYFUNCTION("""COMPUTED_VALUE"""),262.0)</f>
        <v>262</v>
      </c>
      <c r="H4" s="151">
        <f>IFERROR(__xludf.DUMMYFUNCTION("""COMPUTED_VALUE"""),2176.0)</f>
        <v>2176</v>
      </c>
      <c r="I4" s="151">
        <f>IFERROR(__xludf.DUMMYFUNCTION("""COMPUTED_VALUE"""),19.0)</f>
        <v>19</v>
      </c>
      <c r="J4" s="151">
        <f>IFERROR(__xludf.DUMMYFUNCTION("""COMPUTED_VALUE"""),20.0)</f>
        <v>20</v>
      </c>
      <c r="K4" s="151">
        <f>IFERROR(__xludf.DUMMYFUNCTION("""COMPUTED_VALUE"""),148.0)</f>
        <v>148</v>
      </c>
      <c r="L4" s="151">
        <f>IFERROR(__xludf.DUMMYFUNCTION("""COMPUTED_VALUE"""),237.0)</f>
        <v>237</v>
      </c>
      <c r="M4" s="151">
        <f>IFERROR(__xludf.DUMMYFUNCTION("""COMPUTED_VALUE"""),1945.0)</f>
        <v>1945</v>
      </c>
      <c r="N4" s="151">
        <f>IFERROR(__xludf.DUMMYFUNCTION("""COMPUTED_VALUE"""),2093.0)</f>
        <v>2093</v>
      </c>
      <c r="O4" s="151">
        <f>IFERROR(__xludf.DUMMYFUNCTION("""COMPUTED_VALUE"""),7.0)</f>
        <v>7</v>
      </c>
      <c r="P4" s="151">
        <f>IFERROR(__xludf.DUMMYFUNCTION("""COMPUTED_VALUE"""),55.0)</f>
        <v>55</v>
      </c>
      <c r="Q4" s="151">
        <f>IFERROR(__xludf.DUMMYFUNCTION("""COMPUTED_VALUE"""),0.0)</f>
        <v>0</v>
      </c>
      <c r="R4" s="151">
        <f>IFERROR(__xludf.DUMMYFUNCTION("""COMPUTED_VALUE"""),5.0)</f>
        <v>5</v>
      </c>
      <c r="S4" s="151">
        <f>IFERROR(__xludf.DUMMYFUNCTION("""COMPUTED_VALUE"""),0.0)</f>
        <v>0</v>
      </c>
      <c r="T4" s="151">
        <f>IFERROR(__xludf.DUMMYFUNCTION("""COMPUTED_VALUE"""),0.0)</f>
        <v>0</v>
      </c>
      <c r="U4" s="151">
        <f>IFERROR(__xludf.DUMMYFUNCTION("""COMPUTED_VALUE"""),50.0)</f>
        <v>50</v>
      </c>
      <c r="V4" s="151">
        <f>IFERROR(__xludf.DUMMYFUNCTION("""COMPUTED_VALUE"""),41.0)</f>
        <v>41</v>
      </c>
      <c r="W4" s="151">
        <f>IFERROR(__xludf.DUMMYFUNCTION("""COMPUTED_VALUE"""),10.0)</f>
        <v>10</v>
      </c>
      <c r="X4" s="151">
        <f>IFERROR(__xludf.DUMMYFUNCTION("""COMPUTED_VALUE"""),4.0)</f>
        <v>4</v>
      </c>
      <c r="Y4" s="151">
        <f>IFERROR(__xludf.DUMMYFUNCTION("""COMPUTED_VALUE"""),0.0)</f>
        <v>0</v>
      </c>
      <c r="Z4" s="151">
        <f>IFERROR(__xludf.DUMMYFUNCTION("""COMPUTED_VALUE"""),1.0)</f>
        <v>1</v>
      </c>
    </row>
    <row r="5">
      <c r="A5" s="210">
        <f>IFERROR(__xludf.DUMMYFUNCTION("""COMPUTED_VALUE"""),43915.0)</f>
        <v>43915</v>
      </c>
      <c r="B5" s="151">
        <f>IFERROR(__xludf.DUMMYFUNCTION("""COMPUTED_VALUE"""),26.0)</f>
        <v>26</v>
      </c>
      <c r="C5" s="151">
        <f>IFERROR(__xludf.DUMMYFUNCTION("""COMPUTED_VALUE"""),20.0)</f>
        <v>20</v>
      </c>
      <c r="D5" s="151">
        <f>IFERROR(__xludf.DUMMYFUNCTION("""COMPUTED_VALUE"""),172.0)</f>
        <v>172</v>
      </c>
      <c r="E5" s="151">
        <f>IFERROR(__xludf.DUMMYFUNCTION("""COMPUTED_VALUE"""),182.0)</f>
        <v>182</v>
      </c>
      <c r="F5" s="151">
        <f>IFERROR(__xludf.DUMMYFUNCTION("""COMPUTED_VALUE"""),2212.0)</f>
        <v>2212</v>
      </c>
      <c r="G5" s="151">
        <f>IFERROR(__xludf.DUMMYFUNCTION("""COMPUTED_VALUE"""),208.0)</f>
        <v>208</v>
      </c>
      <c r="H5" s="151">
        <f>IFERROR(__xludf.DUMMYFUNCTION("""COMPUTED_VALUE"""),2384.0)</f>
        <v>2384</v>
      </c>
      <c r="I5" s="151">
        <f>IFERROR(__xludf.DUMMYFUNCTION("""COMPUTED_VALUE"""),28.0)</f>
        <v>28</v>
      </c>
      <c r="J5" s="151">
        <f>IFERROR(__xludf.DUMMYFUNCTION("""COMPUTED_VALUE"""),21.0)</f>
        <v>21</v>
      </c>
      <c r="K5" s="151">
        <f>IFERROR(__xludf.DUMMYFUNCTION("""COMPUTED_VALUE"""),176.0)</f>
        <v>176</v>
      </c>
      <c r="L5" s="151">
        <f>IFERROR(__xludf.DUMMYFUNCTION("""COMPUTED_VALUE"""),171.0)</f>
        <v>171</v>
      </c>
      <c r="M5" s="151">
        <f>IFERROR(__xludf.DUMMYFUNCTION("""COMPUTED_VALUE"""),2116.0)</f>
        <v>2116</v>
      </c>
      <c r="N5" s="151">
        <f>IFERROR(__xludf.DUMMYFUNCTION("""COMPUTED_VALUE"""),2292.0)</f>
        <v>2292</v>
      </c>
      <c r="O5" s="151">
        <f>IFERROR(__xludf.DUMMYFUNCTION("""COMPUTED_VALUE"""),5.0)</f>
        <v>5</v>
      </c>
      <c r="P5" s="151">
        <f>IFERROR(__xludf.DUMMYFUNCTION("""COMPUTED_VALUE"""),60.0)</f>
        <v>60</v>
      </c>
      <c r="Q5" s="151">
        <f>IFERROR(__xludf.DUMMYFUNCTION("""COMPUTED_VALUE"""),1.0)</f>
        <v>1</v>
      </c>
      <c r="R5" s="151">
        <f>IFERROR(__xludf.DUMMYFUNCTION("""COMPUTED_VALUE"""),6.0)</f>
        <v>6</v>
      </c>
      <c r="S5" s="151">
        <f>IFERROR(__xludf.DUMMYFUNCTION("""COMPUTED_VALUE"""),0.0)</f>
        <v>0</v>
      </c>
      <c r="T5" s="151">
        <f>IFERROR(__xludf.DUMMYFUNCTION("""COMPUTED_VALUE"""),0.0)</f>
        <v>0</v>
      </c>
      <c r="U5" s="151">
        <f>IFERROR(__xludf.DUMMYFUNCTION("""COMPUTED_VALUE"""),54.0)</f>
        <v>54</v>
      </c>
      <c r="V5" s="151">
        <f>IFERROR(__xludf.DUMMYFUNCTION("""COMPUTED_VALUE"""),49.0)</f>
        <v>49</v>
      </c>
      <c r="W5" s="151">
        <f>IFERROR(__xludf.DUMMYFUNCTION("""COMPUTED_VALUE"""),11.0)</f>
        <v>11</v>
      </c>
      <c r="X5" s="151">
        <f>IFERROR(__xludf.DUMMYFUNCTION("""COMPUTED_VALUE"""),3.0)</f>
        <v>3</v>
      </c>
      <c r="Y5" s="151">
        <f>IFERROR(__xludf.DUMMYFUNCTION("""COMPUTED_VALUE"""),0.0)</f>
        <v>0</v>
      </c>
      <c r="Z5" s="151">
        <f>IFERROR(__xludf.DUMMYFUNCTION("""COMPUTED_VALUE"""),1.0)</f>
        <v>1</v>
      </c>
    </row>
    <row r="6">
      <c r="A6" s="210">
        <f>IFERROR(__xludf.DUMMYFUNCTION("""COMPUTED_VALUE"""),43916.0)</f>
        <v>43916</v>
      </c>
      <c r="B6" s="151">
        <f>IFERROR(__xludf.DUMMYFUNCTION("""COMPUTED_VALUE"""),35.0)</f>
        <v>35</v>
      </c>
      <c r="C6" s="151">
        <f>IFERROR(__xludf.DUMMYFUNCTION("""COMPUTED_VALUE"""),27.0)</f>
        <v>27</v>
      </c>
      <c r="D6" s="151">
        <f>IFERROR(__xludf.DUMMYFUNCTION("""COMPUTED_VALUE"""),207.0)</f>
        <v>207</v>
      </c>
      <c r="E6" s="151">
        <f>IFERROR(__xludf.DUMMYFUNCTION("""COMPUTED_VALUE"""),181.0)</f>
        <v>181</v>
      </c>
      <c r="F6" s="151">
        <f>IFERROR(__xludf.DUMMYFUNCTION("""COMPUTED_VALUE"""),2393.0)</f>
        <v>2393</v>
      </c>
      <c r="G6" s="151">
        <f>IFERROR(__xludf.DUMMYFUNCTION("""COMPUTED_VALUE"""),216.0)</f>
        <v>216</v>
      </c>
      <c r="H6" s="151">
        <f>IFERROR(__xludf.DUMMYFUNCTION("""COMPUTED_VALUE"""),2600.0)</f>
        <v>2600</v>
      </c>
      <c r="I6" s="151">
        <f>IFERROR(__xludf.DUMMYFUNCTION("""COMPUTED_VALUE"""),41.0)</f>
        <v>41</v>
      </c>
      <c r="J6" s="151">
        <f>IFERROR(__xludf.DUMMYFUNCTION("""COMPUTED_VALUE"""),29.0)</f>
        <v>29</v>
      </c>
      <c r="K6" s="151">
        <f>IFERROR(__xludf.DUMMYFUNCTION("""COMPUTED_VALUE"""),217.0)</f>
        <v>217</v>
      </c>
      <c r="L6" s="151">
        <f>IFERROR(__xludf.DUMMYFUNCTION("""COMPUTED_VALUE"""),174.0)</f>
        <v>174</v>
      </c>
      <c r="M6" s="151">
        <f>IFERROR(__xludf.DUMMYFUNCTION("""COMPUTED_VALUE"""),2290.0)</f>
        <v>2290</v>
      </c>
      <c r="N6" s="151">
        <f>IFERROR(__xludf.DUMMYFUNCTION("""COMPUTED_VALUE"""),2507.0)</f>
        <v>2507</v>
      </c>
      <c r="O6" s="151">
        <f>IFERROR(__xludf.DUMMYFUNCTION("""COMPUTED_VALUE"""),10.0)</f>
        <v>10</v>
      </c>
      <c r="P6" s="151">
        <f>IFERROR(__xludf.DUMMYFUNCTION("""COMPUTED_VALUE"""),70.0)</f>
        <v>70</v>
      </c>
      <c r="Q6" s="151">
        <f>IFERROR(__xludf.DUMMYFUNCTION("""COMPUTED_VALUE"""),5.0)</f>
        <v>5</v>
      </c>
      <c r="R6" s="151">
        <f>IFERROR(__xludf.DUMMYFUNCTION("""COMPUTED_VALUE"""),11.0)</f>
        <v>11</v>
      </c>
      <c r="S6" s="151">
        <f>IFERROR(__xludf.DUMMYFUNCTION("""COMPUTED_VALUE"""),0.0)</f>
        <v>0</v>
      </c>
      <c r="T6" s="151">
        <f>IFERROR(__xludf.DUMMYFUNCTION("""COMPUTED_VALUE"""),0.0)</f>
        <v>0</v>
      </c>
      <c r="U6" s="151">
        <f>IFERROR(__xludf.DUMMYFUNCTION("""COMPUTED_VALUE"""),59.0)</f>
        <v>59</v>
      </c>
      <c r="V6" s="151">
        <f>IFERROR(__xludf.DUMMYFUNCTION("""COMPUTED_VALUE"""),54.0)</f>
        <v>54</v>
      </c>
      <c r="W6" s="151">
        <f>IFERROR(__xludf.DUMMYFUNCTION("""COMPUTED_VALUE"""),14.0)</f>
        <v>14</v>
      </c>
      <c r="X6" s="151">
        <f>IFERROR(__xludf.DUMMYFUNCTION("""COMPUTED_VALUE"""),5.0)</f>
        <v>5</v>
      </c>
      <c r="Y6" s="151">
        <f>IFERROR(__xludf.DUMMYFUNCTION("""COMPUTED_VALUE"""),0.0)</f>
        <v>0</v>
      </c>
      <c r="Z6" s="151">
        <f>IFERROR(__xludf.DUMMYFUNCTION("""COMPUTED_VALUE"""),1.0)</f>
        <v>1</v>
      </c>
    </row>
    <row r="7">
      <c r="A7" s="210">
        <f>IFERROR(__xludf.DUMMYFUNCTION("""COMPUTED_VALUE"""),43917.0)</f>
        <v>43917</v>
      </c>
      <c r="B7" s="151">
        <f>IFERROR(__xludf.DUMMYFUNCTION("""COMPUTED_VALUE"""),27.0)</f>
        <v>27</v>
      </c>
      <c r="C7" s="151">
        <f>IFERROR(__xludf.DUMMYFUNCTION("""COMPUTED_VALUE"""),29.0)</f>
        <v>29</v>
      </c>
      <c r="D7" s="151">
        <f>IFERROR(__xludf.DUMMYFUNCTION("""COMPUTED_VALUE"""),234.0)</f>
        <v>234</v>
      </c>
      <c r="E7" s="151">
        <f>IFERROR(__xludf.DUMMYFUNCTION("""COMPUTED_VALUE"""),214.0)</f>
        <v>214</v>
      </c>
      <c r="F7" s="151">
        <f>IFERROR(__xludf.DUMMYFUNCTION("""COMPUTED_VALUE"""),2607.0)</f>
        <v>2607</v>
      </c>
      <c r="G7" s="151">
        <f>IFERROR(__xludf.DUMMYFUNCTION("""COMPUTED_VALUE"""),241.0)</f>
        <v>241</v>
      </c>
      <c r="H7" s="151">
        <f>IFERROR(__xludf.DUMMYFUNCTION("""COMPUTED_VALUE"""),2841.0)</f>
        <v>2841</v>
      </c>
      <c r="I7" s="151">
        <f>IFERROR(__xludf.DUMMYFUNCTION("""COMPUTED_VALUE"""),31.0)</f>
        <v>31</v>
      </c>
      <c r="J7" s="151">
        <f>IFERROR(__xludf.DUMMYFUNCTION("""COMPUTED_VALUE"""),33.0)</f>
        <v>33</v>
      </c>
      <c r="K7" s="151">
        <f>IFERROR(__xludf.DUMMYFUNCTION("""COMPUTED_VALUE"""),248.0)</f>
        <v>248</v>
      </c>
      <c r="L7" s="151">
        <f>IFERROR(__xludf.DUMMYFUNCTION("""COMPUTED_VALUE"""),201.0)</f>
        <v>201</v>
      </c>
      <c r="M7" s="151">
        <f>IFERROR(__xludf.DUMMYFUNCTION("""COMPUTED_VALUE"""),2491.0)</f>
        <v>2491</v>
      </c>
      <c r="N7" s="151">
        <f>IFERROR(__xludf.DUMMYFUNCTION("""COMPUTED_VALUE"""),2739.0)</f>
        <v>2739</v>
      </c>
      <c r="O7" s="151">
        <f>IFERROR(__xludf.DUMMYFUNCTION("""COMPUTED_VALUE"""),9.0)</f>
        <v>9</v>
      </c>
      <c r="P7" s="151">
        <f>IFERROR(__xludf.DUMMYFUNCTION("""COMPUTED_VALUE"""),79.0)</f>
        <v>79</v>
      </c>
      <c r="Q7" s="151">
        <f>IFERROR(__xludf.DUMMYFUNCTION("""COMPUTED_VALUE"""),1.0)</f>
        <v>1</v>
      </c>
      <c r="R7" s="151">
        <f>IFERROR(__xludf.DUMMYFUNCTION("""COMPUTED_VALUE"""),12.0)</f>
        <v>12</v>
      </c>
      <c r="S7" s="151">
        <f>IFERROR(__xludf.DUMMYFUNCTION("""COMPUTED_VALUE"""),1.0)</f>
        <v>1</v>
      </c>
      <c r="T7" s="151">
        <f>IFERROR(__xludf.DUMMYFUNCTION("""COMPUTED_VALUE"""),1.0)</f>
        <v>1</v>
      </c>
      <c r="U7" s="151">
        <f>IFERROR(__xludf.DUMMYFUNCTION("""COMPUTED_VALUE"""),66.0)</f>
        <v>66</v>
      </c>
      <c r="V7" s="151">
        <f>IFERROR(__xludf.DUMMYFUNCTION("""COMPUTED_VALUE"""),60.0)</f>
        <v>60</v>
      </c>
      <c r="W7" s="151">
        <f>IFERROR(__xludf.DUMMYFUNCTION("""COMPUTED_VALUE"""),17.0)</f>
        <v>17</v>
      </c>
      <c r="X7" s="151">
        <f>IFERROR(__xludf.DUMMYFUNCTION("""COMPUTED_VALUE"""),6.0)</f>
        <v>6</v>
      </c>
      <c r="Y7" s="151">
        <f>IFERROR(__xludf.DUMMYFUNCTION("""COMPUTED_VALUE"""),2.0)</f>
        <v>2</v>
      </c>
      <c r="Z7" s="151">
        <f>IFERROR(__xludf.DUMMYFUNCTION("""COMPUTED_VALUE"""),3.0)</f>
        <v>3</v>
      </c>
    </row>
    <row r="8">
      <c r="A8" s="210">
        <f>IFERROR(__xludf.DUMMYFUNCTION("""COMPUTED_VALUE"""),43918.0)</f>
        <v>43918</v>
      </c>
      <c r="B8" s="151">
        <f>IFERROR(__xludf.DUMMYFUNCTION("""COMPUTED_VALUE"""),59.0)</f>
        <v>59</v>
      </c>
      <c r="C8" s="151">
        <f>IFERROR(__xludf.DUMMYFUNCTION("""COMPUTED_VALUE"""),40.0)</f>
        <v>40</v>
      </c>
      <c r="D8" s="151">
        <f>IFERROR(__xludf.DUMMYFUNCTION("""COMPUTED_VALUE"""),293.0)</f>
        <v>293</v>
      </c>
      <c r="E8" s="151">
        <f>IFERROR(__xludf.DUMMYFUNCTION("""COMPUTED_VALUE"""),260.0)</f>
        <v>260</v>
      </c>
      <c r="F8" s="151">
        <f>IFERROR(__xludf.DUMMYFUNCTION("""COMPUTED_VALUE"""),2867.0)</f>
        <v>2867</v>
      </c>
      <c r="G8" s="151">
        <f>IFERROR(__xludf.DUMMYFUNCTION("""COMPUTED_VALUE"""),319.0)</f>
        <v>319</v>
      </c>
      <c r="H8" s="151">
        <f>IFERROR(__xludf.DUMMYFUNCTION("""COMPUTED_VALUE"""),3160.0)</f>
        <v>3160</v>
      </c>
      <c r="I8" s="151">
        <f>IFERROR(__xludf.DUMMYFUNCTION("""COMPUTED_VALUE"""),64.0)</f>
        <v>64</v>
      </c>
      <c r="J8" s="151">
        <f>IFERROR(__xludf.DUMMYFUNCTION("""COMPUTED_VALUE"""),45.0)</f>
        <v>45</v>
      </c>
      <c r="K8" s="151">
        <f>IFERROR(__xludf.DUMMYFUNCTION("""COMPUTED_VALUE"""),312.0)</f>
        <v>312</v>
      </c>
      <c r="L8" s="151">
        <f>IFERROR(__xludf.DUMMYFUNCTION("""COMPUTED_VALUE"""),241.0)</f>
        <v>241</v>
      </c>
      <c r="M8" s="151">
        <f>IFERROR(__xludf.DUMMYFUNCTION("""COMPUTED_VALUE"""),2732.0)</f>
        <v>2732</v>
      </c>
      <c r="N8" s="151">
        <f>IFERROR(__xludf.DUMMYFUNCTION("""COMPUTED_VALUE"""),3044.0)</f>
        <v>3044</v>
      </c>
      <c r="O8" s="151">
        <f>IFERROR(__xludf.DUMMYFUNCTION("""COMPUTED_VALUE"""),13.0)</f>
        <v>13</v>
      </c>
      <c r="P8" s="151">
        <f>IFERROR(__xludf.DUMMYFUNCTION("""COMPUTED_VALUE"""),92.0)</f>
        <v>92</v>
      </c>
      <c r="Q8" s="151">
        <f>IFERROR(__xludf.DUMMYFUNCTION("""COMPUTED_VALUE"""),3.0)</f>
        <v>3</v>
      </c>
      <c r="R8" s="151">
        <f>IFERROR(__xludf.DUMMYFUNCTION("""COMPUTED_VALUE"""),15.0)</f>
        <v>15</v>
      </c>
      <c r="S8" s="151">
        <f>IFERROR(__xludf.DUMMYFUNCTION("""COMPUTED_VALUE"""),2.0)</f>
        <v>2</v>
      </c>
      <c r="T8" s="151">
        <f>IFERROR(__xludf.DUMMYFUNCTION("""COMPUTED_VALUE"""),3.0)</f>
        <v>3</v>
      </c>
      <c r="U8" s="151">
        <f>IFERROR(__xludf.DUMMYFUNCTION("""COMPUTED_VALUE"""),74.0)</f>
        <v>74</v>
      </c>
      <c r="V8" s="151">
        <f>IFERROR(__xludf.DUMMYFUNCTION("""COMPUTED_VALUE"""),66.0)</f>
        <v>66</v>
      </c>
      <c r="W8" s="151">
        <f>IFERROR(__xludf.DUMMYFUNCTION("""COMPUTED_VALUE"""),15.0)</f>
        <v>15</v>
      </c>
      <c r="X8" s="151">
        <f>IFERROR(__xludf.DUMMYFUNCTION("""COMPUTED_VALUE"""),6.0)</f>
        <v>6</v>
      </c>
      <c r="Y8" s="151">
        <f>IFERROR(__xludf.DUMMYFUNCTION("""COMPUTED_VALUE"""),1.0)</f>
        <v>1</v>
      </c>
      <c r="Z8" s="151">
        <f>IFERROR(__xludf.DUMMYFUNCTION("""COMPUTED_VALUE"""),4.0)</f>
        <v>4</v>
      </c>
    </row>
    <row r="9">
      <c r="A9" s="210">
        <f>IFERROR(__xludf.DUMMYFUNCTION("""COMPUTED_VALUE"""),43919.0)</f>
        <v>43919</v>
      </c>
      <c r="B9" s="151">
        <f>IFERROR(__xludf.DUMMYFUNCTION("""COMPUTED_VALUE"""),100.0)</f>
        <v>100</v>
      </c>
      <c r="C9" s="151">
        <f>IFERROR(__xludf.DUMMYFUNCTION("""COMPUTED_VALUE"""),62.0)</f>
        <v>62</v>
      </c>
      <c r="D9" s="151">
        <f>IFERROR(__xludf.DUMMYFUNCTION("""COMPUTED_VALUE"""),393.0)</f>
        <v>393</v>
      </c>
      <c r="E9" s="151">
        <f>IFERROR(__xludf.DUMMYFUNCTION("""COMPUTED_VALUE"""),350.0)</f>
        <v>350</v>
      </c>
      <c r="F9" s="151">
        <f>IFERROR(__xludf.DUMMYFUNCTION("""COMPUTED_VALUE"""),3217.0)</f>
        <v>3217</v>
      </c>
      <c r="G9" s="151">
        <f>IFERROR(__xludf.DUMMYFUNCTION("""COMPUTED_VALUE"""),450.0)</f>
        <v>450</v>
      </c>
      <c r="H9" s="151">
        <f>IFERROR(__xludf.DUMMYFUNCTION("""COMPUTED_VALUE"""),3610.0)</f>
        <v>3610</v>
      </c>
      <c r="I9" s="151">
        <f>IFERROR(__xludf.DUMMYFUNCTION("""COMPUTED_VALUE"""),105.0)</f>
        <v>105</v>
      </c>
      <c r="J9" s="151">
        <f>IFERROR(__xludf.DUMMYFUNCTION("""COMPUTED_VALUE"""),67.0)</f>
        <v>67</v>
      </c>
      <c r="K9" s="151">
        <f>IFERROR(__xludf.DUMMYFUNCTION("""COMPUTED_VALUE"""),417.0)</f>
        <v>417</v>
      </c>
      <c r="L9" s="151">
        <f>IFERROR(__xludf.DUMMYFUNCTION("""COMPUTED_VALUE"""),313.0)</f>
        <v>313</v>
      </c>
      <c r="M9" s="151">
        <f>IFERROR(__xludf.DUMMYFUNCTION("""COMPUTED_VALUE"""),3045.0)</f>
        <v>3045</v>
      </c>
      <c r="N9" s="151">
        <f>IFERROR(__xludf.DUMMYFUNCTION("""COMPUTED_VALUE"""),3462.0)</f>
        <v>3462</v>
      </c>
      <c r="O9" s="151">
        <f>IFERROR(__xludf.DUMMYFUNCTION("""COMPUTED_VALUE"""),8.0)</f>
        <v>8</v>
      </c>
      <c r="P9" s="151">
        <f>IFERROR(__xludf.DUMMYFUNCTION("""COMPUTED_VALUE"""),100.0)</f>
        <v>100</v>
      </c>
      <c r="Q9" s="151">
        <f>IFERROR(__xludf.DUMMYFUNCTION("""COMPUTED_VALUE"""),4.0)</f>
        <v>4</v>
      </c>
      <c r="R9" s="151">
        <f>IFERROR(__xludf.DUMMYFUNCTION("""COMPUTED_VALUE"""),19.0)</f>
        <v>19</v>
      </c>
      <c r="S9" s="151">
        <f>IFERROR(__xludf.DUMMYFUNCTION("""COMPUTED_VALUE"""),1.0)</f>
        <v>1</v>
      </c>
      <c r="T9" s="151">
        <f>IFERROR(__xludf.DUMMYFUNCTION("""COMPUTED_VALUE"""),4.0)</f>
        <v>4</v>
      </c>
      <c r="U9" s="151">
        <f>IFERROR(__xludf.DUMMYFUNCTION("""COMPUTED_VALUE"""),77.0)</f>
        <v>77</v>
      </c>
      <c r="V9" s="151">
        <f>IFERROR(__xludf.DUMMYFUNCTION("""COMPUTED_VALUE"""),72.0)</f>
        <v>72</v>
      </c>
      <c r="W9" s="151">
        <f>IFERROR(__xludf.DUMMYFUNCTION("""COMPUTED_VALUE"""),18.0)</f>
        <v>18</v>
      </c>
      <c r="X9" s="151">
        <f>IFERROR(__xludf.DUMMYFUNCTION("""COMPUTED_VALUE"""),8.0)</f>
        <v>8</v>
      </c>
      <c r="Y9" s="151">
        <f>IFERROR(__xludf.DUMMYFUNCTION("""COMPUTED_VALUE"""),2.0)</f>
        <v>2</v>
      </c>
      <c r="Z9" s="151">
        <f>IFERROR(__xludf.DUMMYFUNCTION("""COMPUTED_VALUE"""),6.0)</f>
        <v>6</v>
      </c>
    </row>
    <row r="10">
      <c r="A10" s="210">
        <f>IFERROR(__xludf.DUMMYFUNCTION("""COMPUTED_VALUE"""),43920.0)</f>
        <v>43920</v>
      </c>
      <c r="B10" s="151">
        <f>IFERROR(__xludf.DUMMYFUNCTION("""COMPUTED_VALUE"""),62.0)</f>
        <v>62</v>
      </c>
      <c r="C10" s="151">
        <f>IFERROR(__xludf.DUMMYFUNCTION("""COMPUTED_VALUE"""),74.0)</f>
        <v>74</v>
      </c>
      <c r="D10" s="151">
        <f>IFERROR(__xludf.DUMMYFUNCTION("""COMPUTED_VALUE"""),455.0)</f>
        <v>455</v>
      </c>
      <c r="E10" s="151">
        <f>IFERROR(__xludf.DUMMYFUNCTION("""COMPUTED_VALUE"""),222.0)</f>
        <v>222</v>
      </c>
      <c r="F10" s="151">
        <f>IFERROR(__xludf.DUMMYFUNCTION("""COMPUTED_VALUE"""),3439.0)</f>
        <v>3439</v>
      </c>
      <c r="G10" s="151">
        <f>IFERROR(__xludf.DUMMYFUNCTION("""COMPUTED_VALUE"""),284.0)</f>
        <v>284</v>
      </c>
      <c r="H10" s="151">
        <f>IFERROR(__xludf.DUMMYFUNCTION("""COMPUTED_VALUE"""),3894.0)</f>
        <v>3894</v>
      </c>
      <c r="I10" s="151">
        <f>IFERROR(__xludf.DUMMYFUNCTION("""COMPUTED_VALUE"""),78.0)</f>
        <v>78</v>
      </c>
      <c r="J10" s="151">
        <f>IFERROR(__xludf.DUMMYFUNCTION("""COMPUTED_VALUE"""),82.0)</f>
        <v>82</v>
      </c>
      <c r="K10" s="151">
        <f>IFERROR(__xludf.DUMMYFUNCTION("""COMPUTED_VALUE"""),495.0)</f>
        <v>495</v>
      </c>
      <c r="L10" s="151">
        <f>IFERROR(__xludf.DUMMYFUNCTION("""COMPUTED_VALUE"""),184.0)</f>
        <v>184</v>
      </c>
      <c r="M10" s="151">
        <f>IFERROR(__xludf.DUMMYFUNCTION("""COMPUTED_VALUE"""),3229.0)</f>
        <v>3229</v>
      </c>
      <c r="N10" s="151">
        <f>IFERROR(__xludf.DUMMYFUNCTION("""COMPUTED_VALUE"""),3724.0)</f>
        <v>3724</v>
      </c>
      <c r="O10" s="151">
        <f>IFERROR(__xludf.DUMMYFUNCTION("""COMPUTED_VALUE"""),20.0)</f>
        <v>20</v>
      </c>
      <c r="P10" s="151">
        <f>IFERROR(__xludf.DUMMYFUNCTION("""COMPUTED_VALUE"""),120.0)</f>
        <v>120</v>
      </c>
      <c r="Q10" s="151">
        <f>IFERROR(__xludf.DUMMYFUNCTION("""COMPUTED_VALUE"""),5.0)</f>
        <v>5</v>
      </c>
      <c r="R10" s="151">
        <f>IFERROR(__xludf.DUMMYFUNCTION("""COMPUTED_VALUE"""),24.0)</f>
        <v>24</v>
      </c>
      <c r="S10" s="151">
        <f>IFERROR(__xludf.DUMMYFUNCTION("""COMPUTED_VALUE"""),0.0)</f>
        <v>0</v>
      </c>
      <c r="T10" s="151">
        <f>IFERROR(__xludf.DUMMYFUNCTION("""COMPUTED_VALUE"""),4.0)</f>
        <v>4</v>
      </c>
      <c r="U10" s="151">
        <f>IFERROR(__xludf.DUMMYFUNCTION("""COMPUTED_VALUE"""),92.0)</f>
        <v>92</v>
      </c>
      <c r="V10" s="151">
        <f>IFERROR(__xludf.DUMMYFUNCTION("""COMPUTED_VALUE"""),81.0)</f>
        <v>81</v>
      </c>
      <c r="W10" s="151">
        <f>IFERROR(__xludf.DUMMYFUNCTION("""COMPUTED_VALUE"""),20.0)</f>
        <v>20</v>
      </c>
      <c r="X10" s="151">
        <f>IFERROR(__xludf.DUMMYFUNCTION("""COMPUTED_VALUE"""),11.0)</f>
        <v>11</v>
      </c>
      <c r="Y10" s="151">
        <f>IFERROR(__xludf.DUMMYFUNCTION("""COMPUTED_VALUE"""),3.0)</f>
        <v>3</v>
      </c>
      <c r="Z10" s="151">
        <f>IFERROR(__xludf.DUMMYFUNCTION("""COMPUTED_VALUE"""),9.0)</f>
        <v>9</v>
      </c>
    </row>
    <row r="11">
      <c r="A11" s="210">
        <f>IFERROR(__xludf.DUMMYFUNCTION("""COMPUTED_VALUE"""),43921.0)</f>
        <v>43921</v>
      </c>
      <c r="B11" s="151">
        <f>IFERROR(__xludf.DUMMYFUNCTION("""COMPUTED_VALUE"""),71.0)</f>
        <v>71</v>
      </c>
      <c r="C11" s="151">
        <f>IFERROR(__xludf.DUMMYFUNCTION("""COMPUTED_VALUE"""),78.0)</f>
        <v>78</v>
      </c>
      <c r="D11" s="151">
        <f>IFERROR(__xludf.DUMMYFUNCTION("""COMPUTED_VALUE"""),526.0)</f>
        <v>526</v>
      </c>
      <c r="E11" s="151">
        <f>IFERROR(__xludf.DUMMYFUNCTION("""COMPUTED_VALUE"""),369.0)</f>
        <v>369</v>
      </c>
      <c r="F11" s="151">
        <f>IFERROR(__xludf.DUMMYFUNCTION("""COMPUTED_VALUE"""),3808.0)</f>
        <v>3808</v>
      </c>
      <c r="G11" s="151">
        <f>IFERROR(__xludf.DUMMYFUNCTION("""COMPUTED_VALUE"""),440.0)</f>
        <v>440</v>
      </c>
      <c r="H11" s="151">
        <f>IFERROR(__xludf.DUMMYFUNCTION("""COMPUTED_VALUE"""),4334.0)</f>
        <v>4334</v>
      </c>
      <c r="I11" s="151">
        <f>IFERROR(__xludf.DUMMYFUNCTION("""COMPUTED_VALUE"""),73.0)</f>
        <v>73</v>
      </c>
      <c r="J11" s="151">
        <f>IFERROR(__xludf.DUMMYFUNCTION("""COMPUTED_VALUE"""),85.0)</f>
        <v>85</v>
      </c>
      <c r="K11" s="151">
        <f>IFERROR(__xludf.DUMMYFUNCTION("""COMPUTED_VALUE"""),568.0)</f>
        <v>568</v>
      </c>
      <c r="L11" s="151">
        <f>IFERROR(__xludf.DUMMYFUNCTION("""COMPUTED_VALUE"""),296.0)</f>
        <v>296</v>
      </c>
      <c r="M11" s="151">
        <f>IFERROR(__xludf.DUMMYFUNCTION("""COMPUTED_VALUE"""),3525.0)</f>
        <v>3525</v>
      </c>
      <c r="N11" s="151">
        <f>IFERROR(__xludf.DUMMYFUNCTION("""COMPUTED_VALUE"""),4093.0)</f>
        <v>4093</v>
      </c>
      <c r="O11" s="151">
        <f>IFERROR(__xludf.DUMMYFUNCTION("""COMPUTED_VALUE"""),11.0)</f>
        <v>11</v>
      </c>
      <c r="P11" s="151">
        <f>IFERROR(__xludf.DUMMYFUNCTION("""COMPUTED_VALUE"""),131.0)</f>
        <v>131</v>
      </c>
      <c r="Q11" s="151">
        <f>IFERROR(__xludf.DUMMYFUNCTION("""COMPUTED_VALUE"""),7.0)</f>
        <v>7</v>
      </c>
      <c r="R11" s="151">
        <f>IFERROR(__xludf.DUMMYFUNCTION("""COMPUTED_VALUE"""),31.0)</f>
        <v>31</v>
      </c>
      <c r="S11" s="151">
        <f>IFERROR(__xludf.DUMMYFUNCTION("""COMPUTED_VALUE"""),1.0)</f>
        <v>1</v>
      </c>
      <c r="T11" s="151">
        <f>IFERROR(__xludf.DUMMYFUNCTION("""COMPUTED_VALUE"""),5.0)</f>
        <v>5</v>
      </c>
      <c r="U11" s="151">
        <f>IFERROR(__xludf.DUMMYFUNCTION("""COMPUTED_VALUE"""),95.0)</f>
        <v>95</v>
      </c>
      <c r="V11" s="151">
        <f>IFERROR(__xludf.DUMMYFUNCTION("""COMPUTED_VALUE"""),88.0)</f>
        <v>88</v>
      </c>
      <c r="W11" s="151">
        <f>IFERROR(__xludf.DUMMYFUNCTION("""COMPUTED_VALUE"""),22.0)</f>
        <v>22</v>
      </c>
      <c r="X11" s="151">
        <f>IFERROR(__xludf.DUMMYFUNCTION("""COMPUTED_VALUE"""),13.0)</f>
        <v>13</v>
      </c>
      <c r="Y11" s="151">
        <f>IFERROR(__xludf.DUMMYFUNCTION("""COMPUTED_VALUE"""),2.0)</f>
        <v>2</v>
      </c>
      <c r="Z11" s="151">
        <f>IFERROR(__xludf.DUMMYFUNCTION("""COMPUTED_VALUE"""),11.0)</f>
        <v>11</v>
      </c>
    </row>
    <row r="12">
      <c r="A12" s="210">
        <f>IFERROR(__xludf.DUMMYFUNCTION("""COMPUTED_VALUE"""),43922.0)</f>
        <v>43922</v>
      </c>
      <c r="B12" s="151">
        <f>IFERROR(__xludf.DUMMYFUNCTION("""COMPUTED_VALUE"""),99.0)</f>
        <v>99</v>
      </c>
      <c r="C12" s="151">
        <f>IFERROR(__xludf.DUMMYFUNCTION("""COMPUTED_VALUE"""),77.0)</f>
        <v>77</v>
      </c>
      <c r="D12" s="151">
        <f>IFERROR(__xludf.DUMMYFUNCTION("""COMPUTED_VALUE"""),625.0)</f>
        <v>625</v>
      </c>
      <c r="E12" s="151">
        <f>IFERROR(__xludf.DUMMYFUNCTION("""COMPUTED_VALUE"""),698.0)</f>
        <v>698</v>
      </c>
      <c r="F12" s="151">
        <f>IFERROR(__xludf.DUMMYFUNCTION("""COMPUTED_VALUE"""),4506.0)</f>
        <v>4506</v>
      </c>
      <c r="G12" s="151">
        <f>IFERROR(__xludf.DUMMYFUNCTION("""COMPUTED_VALUE"""),797.0)</f>
        <v>797</v>
      </c>
      <c r="H12" s="151">
        <f>IFERROR(__xludf.DUMMYFUNCTION("""COMPUTED_VALUE"""),5131.0)</f>
        <v>5131</v>
      </c>
      <c r="I12" s="151">
        <f>IFERROR(__xludf.DUMMYFUNCTION("""COMPUTED_VALUE"""),100.0)</f>
        <v>100</v>
      </c>
      <c r="J12" s="151">
        <f>IFERROR(__xludf.DUMMYFUNCTION("""COMPUTED_VALUE"""),84.0)</f>
        <v>84</v>
      </c>
      <c r="K12" s="151">
        <f>IFERROR(__xludf.DUMMYFUNCTION("""COMPUTED_VALUE"""),668.0)</f>
        <v>668</v>
      </c>
      <c r="L12" s="151">
        <f>IFERROR(__xludf.DUMMYFUNCTION("""COMPUTED_VALUE"""),640.0)</f>
        <v>640</v>
      </c>
      <c r="M12" s="151">
        <f>IFERROR(__xludf.DUMMYFUNCTION("""COMPUTED_VALUE"""),4165.0)</f>
        <v>4165</v>
      </c>
      <c r="N12" s="151">
        <f>IFERROR(__xludf.DUMMYFUNCTION("""COMPUTED_VALUE"""),4833.0)</f>
        <v>4833</v>
      </c>
      <c r="O12" s="151">
        <f>IFERROR(__xludf.DUMMYFUNCTION("""COMPUTED_VALUE"""),18.0)</f>
        <v>18</v>
      </c>
      <c r="P12" s="151">
        <f>IFERROR(__xludf.DUMMYFUNCTION("""COMPUTED_VALUE"""),149.0)</f>
        <v>149</v>
      </c>
      <c r="Q12" s="151">
        <f>IFERROR(__xludf.DUMMYFUNCTION("""COMPUTED_VALUE"""),7.0)</f>
        <v>7</v>
      </c>
      <c r="R12" s="151">
        <f>IFERROR(__xludf.DUMMYFUNCTION("""COMPUTED_VALUE"""),38.0)</f>
        <v>38</v>
      </c>
      <c r="S12" s="151">
        <f>IFERROR(__xludf.DUMMYFUNCTION("""COMPUTED_VALUE"""),0.0)</f>
        <v>0</v>
      </c>
      <c r="T12" s="151">
        <f>IFERROR(__xludf.DUMMYFUNCTION("""COMPUTED_VALUE"""),5.0)</f>
        <v>5</v>
      </c>
      <c r="U12" s="151">
        <f>IFERROR(__xludf.DUMMYFUNCTION("""COMPUTED_VALUE"""),106.0)</f>
        <v>106</v>
      </c>
      <c r="V12" s="151">
        <f>IFERROR(__xludf.DUMMYFUNCTION("""COMPUTED_VALUE"""),98.0)</f>
        <v>98</v>
      </c>
      <c r="W12" s="151">
        <f>IFERROR(__xludf.DUMMYFUNCTION("""COMPUTED_VALUE"""),30.0)</f>
        <v>30</v>
      </c>
      <c r="X12" s="151">
        <f>IFERROR(__xludf.DUMMYFUNCTION("""COMPUTED_VALUE"""),15.0)</f>
        <v>15</v>
      </c>
      <c r="Y12" s="151">
        <f>IFERROR(__xludf.DUMMYFUNCTION("""COMPUTED_VALUE"""),1.0)</f>
        <v>1</v>
      </c>
      <c r="Z12" s="151">
        <f>IFERROR(__xludf.DUMMYFUNCTION("""COMPUTED_VALUE"""),12.0)</f>
        <v>12</v>
      </c>
    </row>
    <row r="13">
      <c r="A13" s="210">
        <f>IFERROR(__xludf.DUMMYFUNCTION("""COMPUTED_VALUE"""),43923.0)</f>
        <v>43923</v>
      </c>
      <c r="B13" s="151">
        <f>IFERROR(__xludf.DUMMYFUNCTION("""COMPUTED_VALUE"""),52.0)</f>
        <v>52</v>
      </c>
      <c r="C13" s="151">
        <f>IFERROR(__xludf.DUMMYFUNCTION("""COMPUTED_VALUE"""),74.0)</f>
        <v>74</v>
      </c>
      <c r="D13" s="151">
        <f>IFERROR(__xludf.DUMMYFUNCTION("""COMPUTED_VALUE"""),677.0)</f>
        <v>677</v>
      </c>
      <c r="E13" s="151">
        <f>IFERROR(__xludf.DUMMYFUNCTION("""COMPUTED_VALUE"""),477.0)</f>
        <v>477</v>
      </c>
      <c r="F13" s="151">
        <f>IFERROR(__xludf.DUMMYFUNCTION("""COMPUTED_VALUE"""),4983.0)</f>
        <v>4983</v>
      </c>
      <c r="G13" s="151">
        <f>IFERROR(__xludf.DUMMYFUNCTION("""COMPUTED_VALUE"""),529.0)</f>
        <v>529</v>
      </c>
      <c r="H13" s="151">
        <f>IFERROR(__xludf.DUMMYFUNCTION("""COMPUTED_VALUE"""),5660.0)</f>
        <v>5660</v>
      </c>
      <c r="I13" s="151">
        <f>IFERROR(__xludf.DUMMYFUNCTION("""COMPUTED_VALUE"""),62.0)</f>
        <v>62</v>
      </c>
      <c r="J13" s="151">
        <f>IFERROR(__xludf.DUMMYFUNCTION("""COMPUTED_VALUE"""),78.0)</f>
        <v>78</v>
      </c>
      <c r="K13" s="151">
        <f>IFERROR(__xludf.DUMMYFUNCTION("""COMPUTED_VALUE"""),730.0)</f>
        <v>730</v>
      </c>
      <c r="L13" s="151">
        <f>IFERROR(__xludf.DUMMYFUNCTION("""COMPUTED_VALUE"""),436.0)</f>
        <v>436</v>
      </c>
      <c r="M13" s="151">
        <f>IFERROR(__xludf.DUMMYFUNCTION("""COMPUTED_VALUE"""),4601.0)</f>
        <v>4601</v>
      </c>
      <c r="N13" s="151">
        <f>IFERROR(__xludf.DUMMYFUNCTION("""COMPUTED_VALUE"""),5331.0)</f>
        <v>5331</v>
      </c>
      <c r="O13" s="151">
        <f>IFERROR(__xludf.DUMMYFUNCTION("""COMPUTED_VALUE"""),22.0)</f>
        <v>22</v>
      </c>
      <c r="P13" s="151">
        <f>IFERROR(__xludf.DUMMYFUNCTION("""COMPUTED_VALUE"""),171.0)</f>
        <v>171</v>
      </c>
      <c r="Q13" s="151">
        <f>IFERROR(__xludf.DUMMYFUNCTION("""COMPUTED_VALUE"""),6.0)</f>
        <v>6</v>
      </c>
      <c r="R13" s="151">
        <f>IFERROR(__xludf.DUMMYFUNCTION("""COMPUTED_VALUE"""),44.0)</f>
        <v>44</v>
      </c>
      <c r="S13" s="151">
        <f>IFERROR(__xludf.DUMMYFUNCTION("""COMPUTED_VALUE"""),2.0)</f>
        <v>2</v>
      </c>
      <c r="T13" s="151">
        <f>IFERROR(__xludf.DUMMYFUNCTION("""COMPUTED_VALUE"""),7.0)</f>
        <v>7</v>
      </c>
      <c r="U13" s="151">
        <f>IFERROR(__xludf.DUMMYFUNCTION("""COMPUTED_VALUE"""),120.0)</f>
        <v>120</v>
      </c>
      <c r="V13" s="151">
        <f>IFERROR(__xludf.DUMMYFUNCTION("""COMPUTED_VALUE"""),107.0)</f>
        <v>107</v>
      </c>
      <c r="W13" s="151">
        <f>IFERROR(__xludf.DUMMYFUNCTION("""COMPUTED_VALUE"""),36.0)</f>
        <v>36</v>
      </c>
      <c r="X13" s="151">
        <f>IFERROR(__xludf.DUMMYFUNCTION("""COMPUTED_VALUE"""),21.0)</f>
        <v>21</v>
      </c>
      <c r="Y13" s="151">
        <f>IFERROR(__xludf.DUMMYFUNCTION("""COMPUTED_VALUE"""),4.0)</f>
        <v>4</v>
      </c>
      <c r="Z13" s="151">
        <f>IFERROR(__xludf.DUMMYFUNCTION("""COMPUTED_VALUE"""),16.0)</f>
        <v>16</v>
      </c>
    </row>
    <row r="14">
      <c r="A14" s="210">
        <f>IFERROR(__xludf.DUMMYFUNCTION("""COMPUTED_VALUE"""),43924.0)</f>
        <v>43924</v>
      </c>
      <c r="B14" s="151">
        <f>IFERROR(__xludf.DUMMYFUNCTION("""COMPUTED_VALUE"""),108.0)</f>
        <v>108</v>
      </c>
      <c r="C14" s="151">
        <f>IFERROR(__xludf.DUMMYFUNCTION("""COMPUTED_VALUE"""),86.0)</f>
        <v>86</v>
      </c>
      <c r="D14" s="151">
        <f>IFERROR(__xludf.DUMMYFUNCTION("""COMPUTED_VALUE"""),785.0)</f>
        <v>785</v>
      </c>
      <c r="E14" s="151">
        <f>IFERROR(__xludf.DUMMYFUNCTION("""COMPUTED_VALUE"""),774.0)</f>
        <v>774</v>
      </c>
      <c r="F14" s="151">
        <f>IFERROR(__xludf.DUMMYFUNCTION("""COMPUTED_VALUE"""),5757.0)</f>
        <v>5757</v>
      </c>
      <c r="G14" s="151">
        <f>IFERROR(__xludf.DUMMYFUNCTION("""COMPUTED_VALUE"""),882.0)</f>
        <v>882</v>
      </c>
      <c r="H14" s="151">
        <f>IFERROR(__xludf.DUMMYFUNCTION("""COMPUTED_VALUE"""),6542.0)</f>
        <v>6542</v>
      </c>
      <c r="I14" s="151">
        <f>IFERROR(__xludf.DUMMYFUNCTION("""COMPUTED_VALUE"""),100.0)</f>
        <v>100</v>
      </c>
      <c r="J14" s="151">
        <f>IFERROR(__xludf.DUMMYFUNCTION("""COMPUTED_VALUE"""),87.0)</f>
        <v>87</v>
      </c>
      <c r="K14" s="151">
        <f>IFERROR(__xludf.DUMMYFUNCTION("""COMPUTED_VALUE"""),830.0)</f>
        <v>830</v>
      </c>
      <c r="L14" s="151">
        <f>IFERROR(__xludf.DUMMYFUNCTION("""COMPUTED_VALUE"""),711.0)</f>
        <v>711</v>
      </c>
      <c r="M14" s="151">
        <f>IFERROR(__xludf.DUMMYFUNCTION("""COMPUTED_VALUE"""),5312.0)</f>
        <v>5312</v>
      </c>
      <c r="N14" s="151">
        <f>IFERROR(__xludf.DUMMYFUNCTION("""COMPUTED_VALUE"""),6142.0)</f>
        <v>6142</v>
      </c>
      <c r="O14" s="151">
        <f>IFERROR(__xludf.DUMMYFUNCTION("""COMPUTED_VALUE"""),23.0)</f>
        <v>23</v>
      </c>
      <c r="P14" s="151">
        <f>IFERROR(__xludf.DUMMYFUNCTION("""COMPUTED_VALUE"""),194.0)</f>
        <v>194</v>
      </c>
      <c r="Q14" s="151">
        <f>IFERROR(__xludf.DUMMYFUNCTION("""COMPUTED_VALUE"""),7.0)</f>
        <v>7</v>
      </c>
      <c r="R14" s="151">
        <f>IFERROR(__xludf.DUMMYFUNCTION("""COMPUTED_VALUE"""),51.0)</f>
        <v>51</v>
      </c>
      <c r="S14" s="151">
        <f>IFERROR(__xludf.DUMMYFUNCTION("""COMPUTED_VALUE"""),0.0)</f>
        <v>0</v>
      </c>
      <c r="T14" s="151">
        <f>IFERROR(__xludf.DUMMYFUNCTION("""COMPUTED_VALUE"""),7.0)</f>
        <v>7</v>
      </c>
      <c r="U14" s="151">
        <f>IFERROR(__xludf.DUMMYFUNCTION("""COMPUTED_VALUE"""),136.0)</f>
        <v>136</v>
      </c>
      <c r="V14" s="151">
        <f>IFERROR(__xludf.DUMMYFUNCTION("""COMPUTED_VALUE"""),121.0)</f>
        <v>121</v>
      </c>
      <c r="W14" s="151">
        <f>IFERROR(__xludf.DUMMYFUNCTION("""COMPUTED_VALUE"""),43.0)</f>
        <v>43</v>
      </c>
      <c r="X14" s="151">
        <f>IFERROR(__xludf.DUMMYFUNCTION("""COMPUTED_VALUE"""),25.0)</f>
        <v>25</v>
      </c>
      <c r="Y14" s="151">
        <f>IFERROR(__xludf.DUMMYFUNCTION("""COMPUTED_VALUE"""),3.0)</f>
        <v>3</v>
      </c>
      <c r="Z14" s="151">
        <f>IFERROR(__xludf.DUMMYFUNCTION("""COMPUTED_VALUE"""),19.0)</f>
        <v>19</v>
      </c>
    </row>
    <row r="15">
      <c r="A15" s="210">
        <f>IFERROR(__xludf.DUMMYFUNCTION("""COMPUTED_VALUE"""),43925.0)</f>
        <v>43925</v>
      </c>
      <c r="B15" s="151">
        <f>IFERROR(__xludf.DUMMYFUNCTION("""COMPUTED_VALUE"""),143.0)</f>
        <v>143</v>
      </c>
      <c r="C15" s="151">
        <f>IFERROR(__xludf.DUMMYFUNCTION("""COMPUTED_VALUE"""),101.0)</f>
        <v>101</v>
      </c>
      <c r="D15" s="151">
        <f>IFERROR(__xludf.DUMMYFUNCTION("""COMPUTED_VALUE"""),928.0)</f>
        <v>928</v>
      </c>
      <c r="E15" s="151">
        <f>IFERROR(__xludf.DUMMYFUNCTION("""COMPUTED_VALUE"""),660.0)</f>
        <v>660</v>
      </c>
      <c r="F15" s="151">
        <f>IFERROR(__xludf.DUMMYFUNCTION("""COMPUTED_VALUE"""),6417.0)</f>
        <v>6417</v>
      </c>
      <c r="G15" s="151">
        <f>IFERROR(__xludf.DUMMYFUNCTION("""COMPUTED_VALUE"""),803.0)</f>
        <v>803</v>
      </c>
      <c r="H15" s="151">
        <f>IFERROR(__xludf.DUMMYFUNCTION("""COMPUTED_VALUE"""),7345.0)</f>
        <v>7345</v>
      </c>
      <c r="I15" s="151">
        <f>IFERROR(__xludf.DUMMYFUNCTION("""COMPUTED_VALUE"""),138.0)</f>
        <v>138</v>
      </c>
      <c r="J15" s="151">
        <f>IFERROR(__xludf.DUMMYFUNCTION("""COMPUTED_VALUE"""),100.0)</f>
        <v>100</v>
      </c>
      <c r="K15" s="151">
        <f>IFERROR(__xludf.DUMMYFUNCTION("""COMPUTED_VALUE"""),968.0)</f>
        <v>968</v>
      </c>
      <c r="L15" s="151">
        <f>IFERROR(__xludf.DUMMYFUNCTION("""COMPUTED_VALUE"""),617.0)</f>
        <v>617</v>
      </c>
      <c r="M15" s="151">
        <f>IFERROR(__xludf.DUMMYFUNCTION("""COMPUTED_VALUE"""),5929.0)</f>
        <v>5929</v>
      </c>
      <c r="N15" s="151">
        <f>IFERROR(__xludf.DUMMYFUNCTION("""COMPUTED_VALUE"""),6897.0)</f>
        <v>6897</v>
      </c>
      <c r="O15" s="151">
        <f>IFERROR(__xludf.DUMMYFUNCTION("""COMPUTED_VALUE"""),22.0)</f>
        <v>22</v>
      </c>
      <c r="P15" s="151">
        <f>IFERROR(__xludf.DUMMYFUNCTION("""COMPUTED_VALUE"""),216.0)</f>
        <v>216</v>
      </c>
      <c r="Q15" s="151">
        <f>IFERROR(__xludf.DUMMYFUNCTION("""COMPUTED_VALUE"""),4.0)</f>
        <v>4</v>
      </c>
      <c r="R15" s="151">
        <f>IFERROR(__xludf.DUMMYFUNCTION("""COMPUTED_VALUE"""),55.0)</f>
        <v>55</v>
      </c>
      <c r="S15" s="151">
        <f>IFERROR(__xludf.DUMMYFUNCTION("""COMPUTED_VALUE"""),5.0)</f>
        <v>5</v>
      </c>
      <c r="T15" s="151">
        <f>IFERROR(__xludf.DUMMYFUNCTION("""COMPUTED_VALUE"""),12.0)</f>
        <v>12</v>
      </c>
      <c r="U15" s="151">
        <f>IFERROR(__xludf.DUMMYFUNCTION("""COMPUTED_VALUE"""),149.0)</f>
        <v>149</v>
      </c>
      <c r="V15" s="151">
        <f>IFERROR(__xludf.DUMMYFUNCTION("""COMPUTED_VALUE"""),135.0)</f>
        <v>135</v>
      </c>
      <c r="W15" s="151">
        <f>IFERROR(__xludf.DUMMYFUNCTION("""COMPUTED_VALUE"""),41.0)</f>
        <v>41</v>
      </c>
      <c r="X15" s="151">
        <f>IFERROR(__xludf.DUMMYFUNCTION("""COMPUTED_VALUE"""),30.0)</f>
        <v>30</v>
      </c>
      <c r="Y15" s="151">
        <f>IFERROR(__xludf.DUMMYFUNCTION("""COMPUTED_VALUE"""),9.0)</f>
        <v>9</v>
      </c>
      <c r="Z15" s="151">
        <f>IFERROR(__xludf.DUMMYFUNCTION("""COMPUTED_VALUE"""),28.0)</f>
        <v>28</v>
      </c>
    </row>
    <row r="16">
      <c r="A16" s="210">
        <f>IFERROR(__xludf.DUMMYFUNCTION("""COMPUTED_VALUE"""),43926.0)</f>
        <v>43926</v>
      </c>
      <c r="B16" s="151">
        <f>IFERROR(__xludf.DUMMYFUNCTION("""COMPUTED_VALUE"""),187.0)</f>
        <v>187</v>
      </c>
      <c r="C16" s="151">
        <f>IFERROR(__xludf.DUMMYFUNCTION("""COMPUTED_VALUE"""),146.0)</f>
        <v>146</v>
      </c>
      <c r="D16" s="151">
        <f>IFERROR(__xludf.DUMMYFUNCTION("""COMPUTED_VALUE"""),1115.0)</f>
        <v>1115</v>
      </c>
      <c r="E16" s="151">
        <f>IFERROR(__xludf.DUMMYFUNCTION("""COMPUTED_VALUE"""),1156.0)</f>
        <v>1156</v>
      </c>
      <c r="F16" s="151">
        <f>IFERROR(__xludf.DUMMYFUNCTION("""COMPUTED_VALUE"""),7573.0)</f>
        <v>7573</v>
      </c>
      <c r="G16" s="151">
        <f>IFERROR(__xludf.DUMMYFUNCTION("""COMPUTED_VALUE"""),1343.0)</f>
        <v>1343</v>
      </c>
      <c r="H16" s="151">
        <f>IFERROR(__xludf.DUMMYFUNCTION("""COMPUTED_VALUE"""),8688.0)</f>
        <v>8688</v>
      </c>
      <c r="I16" s="151">
        <f>IFERROR(__xludf.DUMMYFUNCTION("""COMPUTED_VALUE"""),181.0)</f>
        <v>181</v>
      </c>
      <c r="J16" s="151">
        <f>IFERROR(__xludf.DUMMYFUNCTION("""COMPUTED_VALUE"""),140.0)</f>
        <v>140</v>
      </c>
      <c r="K16" s="151">
        <f>IFERROR(__xludf.DUMMYFUNCTION("""COMPUTED_VALUE"""),1149.0)</f>
        <v>1149</v>
      </c>
      <c r="L16" s="151">
        <f>IFERROR(__xludf.DUMMYFUNCTION("""COMPUTED_VALUE"""),1064.0)</f>
        <v>1064</v>
      </c>
      <c r="M16" s="151">
        <f>IFERROR(__xludf.DUMMYFUNCTION("""COMPUTED_VALUE"""),6993.0)</f>
        <v>6993</v>
      </c>
      <c r="N16" s="151">
        <f>IFERROR(__xludf.DUMMYFUNCTION("""COMPUTED_VALUE"""),8142.0)</f>
        <v>8142</v>
      </c>
      <c r="O16" s="151">
        <f>IFERROR(__xludf.DUMMYFUNCTION("""COMPUTED_VALUE"""),20.0)</f>
        <v>20</v>
      </c>
      <c r="P16" s="151">
        <f>IFERROR(__xludf.DUMMYFUNCTION("""COMPUTED_VALUE"""),236.0)</f>
        <v>236</v>
      </c>
      <c r="Q16" s="151">
        <f>IFERROR(__xludf.DUMMYFUNCTION("""COMPUTED_VALUE"""),9.0)</f>
        <v>9</v>
      </c>
      <c r="R16" s="151">
        <f>IFERROR(__xludf.DUMMYFUNCTION("""COMPUTED_VALUE"""),64.0)</f>
        <v>64</v>
      </c>
      <c r="S16" s="151">
        <f>IFERROR(__xludf.DUMMYFUNCTION("""COMPUTED_VALUE"""),1.0)</f>
        <v>1</v>
      </c>
      <c r="T16" s="151">
        <f>IFERROR(__xludf.DUMMYFUNCTION("""COMPUTED_VALUE"""),13.0)</f>
        <v>13</v>
      </c>
      <c r="U16" s="151">
        <f>IFERROR(__xludf.DUMMYFUNCTION("""COMPUTED_VALUE"""),159.0)</f>
        <v>159</v>
      </c>
      <c r="V16" s="151">
        <f>IFERROR(__xludf.DUMMYFUNCTION("""COMPUTED_VALUE"""),148.0)</f>
        <v>148</v>
      </c>
      <c r="W16" s="151">
        <f>IFERROR(__xludf.DUMMYFUNCTION("""COMPUTED_VALUE"""),44.0)</f>
        <v>44</v>
      </c>
      <c r="X16" s="151">
        <f>IFERROR(__xludf.DUMMYFUNCTION("""COMPUTED_VALUE"""),36.0)</f>
        <v>36</v>
      </c>
      <c r="Y16" s="151">
        <f>IFERROR(__xludf.DUMMYFUNCTION("""COMPUTED_VALUE"""),2.0)</f>
        <v>2</v>
      </c>
      <c r="Z16" s="151">
        <f>IFERROR(__xludf.DUMMYFUNCTION("""COMPUTED_VALUE"""),30.0)</f>
        <v>30</v>
      </c>
    </row>
    <row r="17">
      <c r="A17" s="210">
        <f>IFERROR(__xludf.DUMMYFUNCTION("""COMPUTED_VALUE"""),43927.0)</f>
        <v>43927</v>
      </c>
      <c r="B17" s="151">
        <f>IFERROR(__xludf.DUMMYFUNCTION("""COMPUTED_VALUE"""),218.0)</f>
        <v>218</v>
      </c>
      <c r="C17" s="151">
        <f>IFERROR(__xludf.DUMMYFUNCTION("""COMPUTED_VALUE"""),183.0)</f>
        <v>183</v>
      </c>
      <c r="D17" s="151">
        <f>IFERROR(__xludf.DUMMYFUNCTION("""COMPUTED_VALUE"""),1333.0)</f>
        <v>1333</v>
      </c>
      <c r="E17" s="151">
        <f>IFERROR(__xludf.DUMMYFUNCTION("""COMPUTED_VALUE"""),1706.0)</f>
        <v>1706</v>
      </c>
      <c r="F17" s="151">
        <f>IFERROR(__xludf.DUMMYFUNCTION("""COMPUTED_VALUE"""),9279.0)</f>
        <v>9279</v>
      </c>
      <c r="G17" s="151">
        <f>IFERROR(__xludf.DUMMYFUNCTION("""COMPUTED_VALUE"""),1924.0)</f>
        <v>1924</v>
      </c>
      <c r="H17" s="151">
        <f>IFERROR(__xludf.DUMMYFUNCTION("""COMPUTED_VALUE"""),10612.0)</f>
        <v>10612</v>
      </c>
      <c r="I17" s="151">
        <f>IFERROR(__xludf.DUMMYFUNCTION("""COMPUTED_VALUE"""),208.0)</f>
        <v>208</v>
      </c>
      <c r="J17" s="151">
        <f>IFERROR(__xludf.DUMMYFUNCTION("""COMPUTED_VALUE"""),176.0)</f>
        <v>176</v>
      </c>
      <c r="K17" s="151">
        <f>IFERROR(__xludf.DUMMYFUNCTION("""COMPUTED_VALUE"""),1357.0)</f>
        <v>1357</v>
      </c>
      <c r="L17" s="151">
        <f>IFERROR(__xludf.DUMMYFUNCTION("""COMPUTED_VALUE"""),1548.0)</f>
        <v>1548</v>
      </c>
      <c r="M17" s="151">
        <f>IFERROR(__xludf.DUMMYFUNCTION("""COMPUTED_VALUE"""),8541.0)</f>
        <v>8541</v>
      </c>
      <c r="N17" s="151">
        <f>IFERROR(__xludf.DUMMYFUNCTION("""COMPUTED_VALUE"""),9898.0)</f>
        <v>9898</v>
      </c>
      <c r="O17" s="151">
        <f>IFERROR(__xludf.DUMMYFUNCTION("""COMPUTED_VALUE"""),26.0)</f>
        <v>26</v>
      </c>
      <c r="P17" s="151">
        <f>IFERROR(__xludf.DUMMYFUNCTION("""COMPUTED_VALUE"""),262.0)</f>
        <v>262</v>
      </c>
      <c r="Q17" s="151">
        <f>IFERROR(__xludf.DUMMYFUNCTION("""COMPUTED_VALUE"""),7.0)</f>
        <v>7</v>
      </c>
      <c r="R17" s="151">
        <f>IFERROR(__xludf.DUMMYFUNCTION("""COMPUTED_VALUE"""),71.0)</f>
        <v>71</v>
      </c>
      <c r="S17" s="151">
        <f>IFERROR(__xludf.DUMMYFUNCTION("""COMPUTED_VALUE"""),0.0)</f>
        <v>0</v>
      </c>
      <c r="T17" s="151">
        <f>IFERROR(__xludf.DUMMYFUNCTION("""COMPUTED_VALUE"""),13.0)</f>
        <v>13</v>
      </c>
      <c r="U17" s="151">
        <f>IFERROR(__xludf.DUMMYFUNCTION("""COMPUTED_VALUE"""),178.0)</f>
        <v>178</v>
      </c>
      <c r="V17" s="151">
        <f>IFERROR(__xludf.DUMMYFUNCTION("""COMPUTED_VALUE"""),162.0)</f>
        <v>162</v>
      </c>
      <c r="W17" s="151">
        <f>IFERROR(__xludf.DUMMYFUNCTION("""COMPUTED_VALUE"""),48.0)</f>
        <v>48</v>
      </c>
      <c r="X17" s="151">
        <f>IFERROR(__xludf.DUMMYFUNCTION("""COMPUTED_VALUE"""),40.0)</f>
        <v>40</v>
      </c>
      <c r="Y17" s="151">
        <f>IFERROR(__xludf.DUMMYFUNCTION("""COMPUTED_VALUE"""),7.0)</f>
        <v>7</v>
      </c>
      <c r="Z17" s="151">
        <f>IFERROR(__xludf.DUMMYFUNCTION("""COMPUTED_VALUE"""),37.0)</f>
        <v>37</v>
      </c>
    </row>
    <row r="18">
      <c r="A18" s="210">
        <f>IFERROR(__xludf.DUMMYFUNCTION("""COMPUTED_VALUE"""),43928.0)</f>
        <v>43928</v>
      </c>
      <c r="B18" s="151">
        <f>IFERROR(__xludf.DUMMYFUNCTION("""COMPUTED_VALUE"""),284.0)</f>
        <v>284</v>
      </c>
      <c r="C18" s="151">
        <f>IFERROR(__xludf.DUMMYFUNCTION("""COMPUTED_VALUE"""),230.0)</f>
        <v>230</v>
      </c>
      <c r="D18" s="151">
        <f>IFERROR(__xludf.DUMMYFUNCTION("""COMPUTED_VALUE"""),1617.0)</f>
        <v>1617</v>
      </c>
      <c r="E18" s="151">
        <f>IFERROR(__xludf.DUMMYFUNCTION("""COMPUTED_VALUE"""),1629.0)</f>
        <v>1629</v>
      </c>
      <c r="F18" s="151">
        <f>IFERROR(__xludf.DUMMYFUNCTION("""COMPUTED_VALUE"""),10908.0)</f>
        <v>10908</v>
      </c>
      <c r="G18" s="151">
        <f>IFERROR(__xludf.DUMMYFUNCTION("""COMPUTED_VALUE"""),1913.0)</f>
        <v>1913</v>
      </c>
      <c r="H18" s="151">
        <f>IFERROR(__xludf.DUMMYFUNCTION("""COMPUTED_VALUE"""),12525.0)</f>
        <v>12525</v>
      </c>
      <c r="I18" s="151">
        <f>IFERROR(__xludf.DUMMYFUNCTION("""COMPUTED_VALUE"""),261.0)</f>
        <v>261</v>
      </c>
      <c r="J18" s="151">
        <f>IFERROR(__xludf.DUMMYFUNCTION("""COMPUTED_VALUE"""),217.0)</f>
        <v>217</v>
      </c>
      <c r="K18" s="151">
        <f>IFERROR(__xludf.DUMMYFUNCTION("""COMPUTED_VALUE"""),1618.0)</f>
        <v>1618</v>
      </c>
      <c r="L18" s="151">
        <f>IFERROR(__xludf.DUMMYFUNCTION("""COMPUTED_VALUE"""),1478.0)</f>
        <v>1478</v>
      </c>
      <c r="M18" s="151">
        <f>IFERROR(__xludf.DUMMYFUNCTION("""COMPUTED_VALUE"""),10019.0)</f>
        <v>10019</v>
      </c>
      <c r="N18" s="151">
        <f>IFERROR(__xludf.DUMMYFUNCTION("""COMPUTED_VALUE"""),11637.0)</f>
        <v>11637</v>
      </c>
      <c r="O18" s="151">
        <f>IFERROR(__xludf.DUMMYFUNCTION("""COMPUTED_VALUE"""),20.0)</f>
        <v>20</v>
      </c>
      <c r="P18" s="151">
        <f>IFERROR(__xludf.DUMMYFUNCTION("""COMPUTED_VALUE"""),282.0)</f>
        <v>282</v>
      </c>
      <c r="Q18" s="151">
        <f>IFERROR(__xludf.DUMMYFUNCTION("""COMPUTED_VALUE"""),4.0)</f>
        <v>4</v>
      </c>
      <c r="R18" s="151">
        <f>IFERROR(__xludf.DUMMYFUNCTION("""COMPUTED_VALUE"""),75.0)</f>
        <v>75</v>
      </c>
      <c r="S18" s="151">
        <f>IFERROR(__xludf.DUMMYFUNCTION("""COMPUTED_VALUE"""),2.0)</f>
        <v>2</v>
      </c>
      <c r="T18" s="151">
        <f>IFERROR(__xludf.DUMMYFUNCTION("""COMPUTED_VALUE"""),15.0)</f>
        <v>15</v>
      </c>
      <c r="U18" s="151">
        <f>IFERROR(__xludf.DUMMYFUNCTION("""COMPUTED_VALUE"""),192.0)</f>
        <v>192</v>
      </c>
      <c r="V18" s="151">
        <f>IFERROR(__xludf.DUMMYFUNCTION("""COMPUTED_VALUE"""),176.0)</f>
        <v>176</v>
      </c>
      <c r="W18" s="151">
        <f>IFERROR(__xludf.DUMMYFUNCTION("""COMPUTED_VALUE"""),50.0)</f>
        <v>50</v>
      </c>
      <c r="X18" s="151">
        <f>IFERROR(__xludf.DUMMYFUNCTION("""COMPUTED_VALUE"""),42.0)</f>
        <v>42</v>
      </c>
      <c r="Y18" s="151">
        <f>IFERROR(__xludf.DUMMYFUNCTION("""COMPUTED_VALUE"""),5.0)</f>
        <v>5</v>
      </c>
      <c r="Z18" s="151">
        <f>IFERROR(__xludf.DUMMYFUNCTION("""COMPUTED_VALUE"""),42.0)</f>
        <v>42</v>
      </c>
    </row>
    <row r="19">
      <c r="A19" s="210">
        <f>IFERROR(__xludf.DUMMYFUNCTION("""COMPUTED_VALUE"""),43929.0)</f>
        <v>43929</v>
      </c>
      <c r="B19" s="151">
        <f>IFERROR(__xludf.DUMMYFUNCTION("""COMPUTED_VALUE"""),290.0)</f>
        <v>290</v>
      </c>
      <c r="C19" s="151">
        <f>IFERROR(__xludf.DUMMYFUNCTION("""COMPUTED_VALUE"""),264.0)</f>
        <v>264</v>
      </c>
      <c r="D19" s="151">
        <f>IFERROR(__xludf.DUMMYFUNCTION("""COMPUTED_VALUE"""),1907.0)</f>
        <v>1907</v>
      </c>
      <c r="E19" s="151">
        <f>IFERROR(__xludf.DUMMYFUNCTION("""COMPUTED_VALUE"""),1720.0)</f>
        <v>1720</v>
      </c>
      <c r="F19" s="151">
        <f>IFERROR(__xludf.DUMMYFUNCTION("""COMPUTED_VALUE"""),12628.0)</f>
        <v>12628</v>
      </c>
      <c r="G19" s="151">
        <f>IFERROR(__xludf.DUMMYFUNCTION("""COMPUTED_VALUE"""),2010.0)</f>
        <v>2010</v>
      </c>
      <c r="H19" s="151">
        <f>IFERROR(__xludf.DUMMYFUNCTION("""COMPUTED_VALUE"""),14535.0)</f>
        <v>14535</v>
      </c>
      <c r="I19" s="151">
        <f>IFERROR(__xludf.DUMMYFUNCTION("""COMPUTED_VALUE"""),271.0)</f>
        <v>271</v>
      </c>
      <c r="J19" s="151">
        <f>IFERROR(__xludf.DUMMYFUNCTION("""COMPUTED_VALUE"""),247.0)</f>
        <v>247</v>
      </c>
      <c r="K19" s="151">
        <f>IFERROR(__xludf.DUMMYFUNCTION("""COMPUTED_VALUE"""),1889.0)</f>
        <v>1889</v>
      </c>
      <c r="L19" s="151">
        <f>IFERROR(__xludf.DUMMYFUNCTION("""COMPUTED_VALUE"""),1558.0)</f>
        <v>1558</v>
      </c>
      <c r="M19" s="151">
        <f>IFERROR(__xludf.DUMMYFUNCTION("""COMPUTED_VALUE"""),11577.0)</f>
        <v>11577</v>
      </c>
      <c r="N19" s="151">
        <f>IFERROR(__xludf.DUMMYFUNCTION("""COMPUTED_VALUE"""),13466.0)</f>
        <v>13466</v>
      </c>
      <c r="O19" s="151">
        <f>IFERROR(__xludf.DUMMYFUNCTION("""COMPUTED_VALUE"""),19.0)</f>
        <v>19</v>
      </c>
      <c r="P19" s="151">
        <f>IFERROR(__xludf.DUMMYFUNCTION("""COMPUTED_VALUE"""),301.0)</f>
        <v>301</v>
      </c>
      <c r="Q19" s="151">
        <f>IFERROR(__xludf.DUMMYFUNCTION("""COMPUTED_VALUE"""),7.0)</f>
        <v>7</v>
      </c>
      <c r="R19" s="151">
        <f>IFERROR(__xludf.DUMMYFUNCTION("""COMPUTED_VALUE"""),82.0)</f>
        <v>82</v>
      </c>
      <c r="S19" s="151">
        <f>IFERROR(__xludf.DUMMYFUNCTION("""COMPUTED_VALUE"""),6.0)</f>
        <v>6</v>
      </c>
      <c r="T19" s="151">
        <f>IFERROR(__xludf.DUMMYFUNCTION("""COMPUTED_VALUE"""),21.0)</f>
        <v>21</v>
      </c>
      <c r="U19" s="151">
        <f>IFERROR(__xludf.DUMMYFUNCTION("""COMPUTED_VALUE"""),198.0)</f>
        <v>198</v>
      </c>
      <c r="V19" s="151">
        <f>IFERROR(__xludf.DUMMYFUNCTION("""COMPUTED_VALUE"""),189.0)</f>
        <v>189</v>
      </c>
      <c r="W19" s="151">
        <f>IFERROR(__xludf.DUMMYFUNCTION("""COMPUTED_VALUE"""),50.0)</f>
        <v>50</v>
      </c>
      <c r="X19" s="151">
        <f>IFERROR(__xludf.DUMMYFUNCTION("""COMPUTED_VALUE"""),38.0)</f>
        <v>38</v>
      </c>
      <c r="Y19" s="151">
        <f>IFERROR(__xludf.DUMMYFUNCTION("""COMPUTED_VALUE"""),10.0)</f>
        <v>10</v>
      </c>
      <c r="Z19" s="151">
        <f>IFERROR(__xludf.DUMMYFUNCTION("""COMPUTED_VALUE"""),52.0)</f>
        <v>52</v>
      </c>
    </row>
    <row r="20">
      <c r="A20" s="210">
        <f>IFERROR(__xludf.DUMMYFUNCTION("""COMPUTED_VALUE"""),43930.0)</f>
        <v>43930</v>
      </c>
      <c r="B20" s="151">
        <f>IFERROR(__xludf.DUMMYFUNCTION("""COMPUTED_VALUE"""),283.0)</f>
        <v>283</v>
      </c>
      <c r="C20" s="151">
        <f>IFERROR(__xludf.DUMMYFUNCTION("""COMPUTED_VALUE"""),286.0)</f>
        <v>286</v>
      </c>
      <c r="D20" s="151">
        <f>IFERROR(__xludf.DUMMYFUNCTION("""COMPUTED_VALUE"""),2190.0)</f>
        <v>2190</v>
      </c>
      <c r="E20" s="151">
        <f>IFERROR(__xludf.DUMMYFUNCTION("""COMPUTED_VALUE"""),1516.0)</f>
        <v>1516</v>
      </c>
      <c r="F20" s="151">
        <f>IFERROR(__xludf.DUMMYFUNCTION("""COMPUTED_VALUE"""),14144.0)</f>
        <v>14144</v>
      </c>
      <c r="G20" s="151">
        <f>IFERROR(__xludf.DUMMYFUNCTION("""COMPUTED_VALUE"""),1799.0)</f>
        <v>1799</v>
      </c>
      <c r="H20" s="151">
        <f>IFERROR(__xludf.DUMMYFUNCTION("""COMPUTED_VALUE"""),16334.0)</f>
        <v>16334</v>
      </c>
      <c r="I20" s="151">
        <f>IFERROR(__xludf.DUMMYFUNCTION("""COMPUTED_VALUE"""),277.0)</f>
        <v>277</v>
      </c>
      <c r="J20" s="151">
        <f>IFERROR(__xludf.DUMMYFUNCTION("""COMPUTED_VALUE"""),270.0)</f>
        <v>270</v>
      </c>
      <c r="K20" s="151">
        <f>IFERROR(__xludf.DUMMYFUNCTION("""COMPUTED_VALUE"""),2166.0)</f>
        <v>2166</v>
      </c>
      <c r="L20" s="151">
        <f>IFERROR(__xludf.DUMMYFUNCTION("""COMPUTED_VALUE"""),1354.0)</f>
        <v>1354</v>
      </c>
      <c r="M20" s="151">
        <f>IFERROR(__xludf.DUMMYFUNCTION("""COMPUTED_VALUE"""),12931.0)</f>
        <v>12931</v>
      </c>
      <c r="N20" s="151">
        <f>IFERROR(__xludf.DUMMYFUNCTION("""COMPUTED_VALUE"""),15097.0)</f>
        <v>15097</v>
      </c>
      <c r="O20" s="151">
        <f>IFERROR(__xludf.DUMMYFUNCTION("""COMPUTED_VALUE"""),32.0)</f>
        <v>32</v>
      </c>
      <c r="P20" s="151">
        <f>IFERROR(__xludf.DUMMYFUNCTION("""COMPUTED_VALUE"""),333.0)</f>
        <v>333</v>
      </c>
      <c r="Q20" s="151">
        <f>IFERROR(__xludf.DUMMYFUNCTION("""COMPUTED_VALUE"""),9.0)</f>
        <v>9</v>
      </c>
      <c r="R20" s="151">
        <f>IFERROR(__xludf.DUMMYFUNCTION("""COMPUTED_VALUE"""),91.0)</f>
        <v>91</v>
      </c>
      <c r="S20" s="151">
        <f>IFERROR(__xludf.DUMMYFUNCTION("""COMPUTED_VALUE"""),4.0)</f>
        <v>4</v>
      </c>
      <c r="T20" s="151">
        <f>IFERROR(__xludf.DUMMYFUNCTION("""COMPUTED_VALUE"""),25.0)</f>
        <v>25</v>
      </c>
      <c r="U20" s="151">
        <f>IFERROR(__xludf.DUMMYFUNCTION("""COMPUTED_VALUE"""),217.0)</f>
        <v>217</v>
      </c>
      <c r="V20" s="151">
        <f>IFERROR(__xludf.DUMMYFUNCTION("""COMPUTED_VALUE"""),202.0)</f>
        <v>202</v>
      </c>
      <c r="W20" s="151">
        <f>IFERROR(__xludf.DUMMYFUNCTION("""COMPUTED_VALUE"""),53.0)</f>
        <v>53</v>
      </c>
      <c r="X20" s="151">
        <f>IFERROR(__xludf.DUMMYFUNCTION("""COMPUTED_VALUE"""),40.0)</f>
        <v>40</v>
      </c>
      <c r="Y20" s="151">
        <f>IFERROR(__xludf.DUMMYFUNCTION("""COMPUTED_VALUE"""),7.0)</f>
        <v>7</v>
      </c>
      <c r="Z20" s="151">
        <f>IFERROR(__xludf.DUMMYFUNCTION("""COMPUTED_VALUE"""),59.0)</f>
        <v>59</v>
      </c>
    </row>
    <row r="21">
      <c r="A21" s="210">
        <f>IFERROR(__xludf.DUMMYFUNCTION("""COMPUTED_VALUE"""),43931.0)</f>
        <v>43931</v>
      </c>
      <c r="B21" s="151">
        <f>IFERROR(__xludf.DUMMYFUNCTION("""COMPUTED_VALUE"""),419.0)</f>
        <v>419</v>
      </c>
      <c r="C21" s="151">
        <f>IFERROR(__xludf.DUMMYFUNCTION("""COMPUTED_VALUE"""),331.0)</f>
        <v>331</v>
      </c>
      <c r="D21" s="151">
        <f>IFERROR(__xludf.DUMMYFUNCTION("""COMPUTED_VALUE"""),2609.0)</f>
        <v>2609</v>
      </c>
      <c r="E21" s="151">
        <f>IFERROR(__xludf.DUMMYFUNCTION("""COMPUTED_VALUE"""),2574.0)</f>
        <v>2574</v>
      </c>
      <c r="F21" s="151">
        <f>IFERROR(__xludf.DUMMYFUNCTION("""COMPUTED_VALUE"""),16718.0)</f>
        <v>16718</v>
      </c>
      <c r="G21" s="151">
        <f>IFERROR(__xludf.DUMMYFUNCTION("""COMPUTED_VALUE"""),2993.0)</f>
        <v>2993</v>
      </c>
      <c r="H21" s="151">
        <f>IFERROR(__xludf.DUMMYFUNCTION("""COMPUTED_VALUE"""),19327.0)</f>
        <v>19327</v>
      </c>
      <c r="I21" s="151">
        <f>IFERROR(__xludf.DUMMYFUNCTION("""COMPUTED_VALUE"""),401.0)</f>
        <v>401</v>
      </c>
      <c r="J21" s="151">
        <f>IFERROR(__xludf.DUMMYFUNCTION("""COMPUTED_VALUE"""),316.0)</f>
        <v>316</v>
      </c>
      <c r="K21" s="151">
        <f>IFERROR(__xludf.DUMMYFUNCTION("""COMPUTED_VALUE"""),2567.0)</f>
        <v>2567</v>
      </c>
      <c r="L21" s="151">
        <f>IFERROR(__xludf.DUMMYFUNCTION("""COMPUTED_VALUE"""),2368.0)</f>
        <v>2368</v>
      </c>
      <c r="M21" s="151">
        <f>IFERROR(__xludf.DUMMYFUNCTION("""COMPUTED_VALUE"""),15299.0)</f>
        <v>15299</v>
      </c>
      <c r="N21" s="151">
        <f>IFERROR(__xludf.DUMMYFUNCTION("""COMPUTED_VALUE"""),17866.0)</f>
        <v>17866</v>
      </c>
      <c r="O21" s="151">
        <f>IFERROR(__xludf.DUMMYFUNCTION("""COMPUTED_VALUE"""),29.0)</f>
        <v>29</v>
      </c>
      <c r="P21" s="151">
        <f>IFERROR(__xludf.DUMMYFUNCTION("""COMPUTED_VALUE"""),362.0)</f>
        <v>362</v>
      </c>
      <c r="Q21" s="151">
        <f>IFERROR(__xludf.DUMMYFUNCTION("""COMPUTED_VALUE"""),17.0)</f>
        <v>17</v>
      </c>
      <c r="R21" s="151">
        <f>IFERROR(__xludf.DUMMYFUNCTION("""COMPUTED_VALUE"""),108.0)</f>
        <v>108</v>
      </c>
      <c r="S21" s="151">
        <f>IFERROR(__xludf.DUMMYFUNCTION("""COMPUTED_VALUE"""),5.0)</f>
        <v>5</v>
      </c>
      <c r="T21" s="151">
        <f>IFERROR(__xludf.DUMMYFUNCTION("""COMPUTED_VALUE"""),30.0)</f>
        <v>30</v>
      </c>
      <c r="U21" s="151">
        <f>IFERROR(__xludf.DUMMYFUNCTION("""COMPUTED_VALUE"""),224.0)</f>
        <v>224</v>
      </c>
      <c r="V21" s="151">
        <f>IFERROR(__xludf.DUMMYFUNCTION("""COMPUTED_VALUE"""),213.0)</f>
        <v>213</v>
      </c>
      <c r="W21" s="151">
        <f>IFERROR(__xludf.DUMMYFUNCTION("""COMPUTED_VALUE"""),59.0)</f>
        <v>59</v>
      </c>
      <c r="X21" s="151">
        <f>IFERROR(__xludf.DUMMYFUNCTION("""COMPUTED_VALUE"""),41.0)</f>
        <v>41</v>
      </c>
      <c r="Y21" s="151">
        <f>IFERROR(__xludf.DUMMYFUNCTION("""COMPUTED_VALUE"""),11.0)</f>
        <v>11</v>
      </c>
      <c r="Z21" s="151">
        <f>IFERROR(__xludf.DUMMYFUNCTION("""COMPUTED_VALUE"""),70.0)</f>
        <v>70</v>
      </c>
    </row>
    <row r="22">
      <c r="A22" s="210">
        <f>IFERROR(__xludf.DUMMYFUNCTION("""COMPUTED_VALUE"""),43932.0)</f>
        <v>43932</v>
      </c>
      <c r="B22" s="151">
        <f>IFERROR(__xludf.DUMMYFUNCTION("""COMPUTED_VALUE"""),297.0)</f>
        <v>297</v>
      </c>
      <c r="C22" s="151">
        <f>IFERROR(__xludf.DUMMYFUNCTION("""COMPUTED_VALUE"""),333.0)</f>
        <v>333</v>
      </c>
      <c r="D22" s="151">
        <f>IFERROR(__xludf.DUMMYFUNCTION("""COMPUTED_VALUE"""),2906.0)</f>
        <v>2906</v>
      </c>
      <c r="E22" s="151">
        <f>IFERROR(__xludf.DUMMYFUNCTION("""COMPUTED_VALUE"""),1905.0)</f>
        <v>1905</v>
      </c>
      <c r="F22" s="151">
        <f>IFERROR(__xludf.DUMMYFUNCTION("""COMPUTED_VALUE"""),18623.0)</f>
        <v>18623</v>
      </c>
      <c r="G22" s="151">
        <f>IFERROR(__xludf.DUMMYFUNCTION("""COMPUTED_VALUE"""),2202.0)</f>
        <v>2202</v>
      </c>
      <c r="H22" s="151">
        <f>IFERROR(__xludf.DUMMYFUNCTION("""COMPUTED_VALUE"""),21529.0)</f>
        <v>21529</v>
      </c>
      <c r="I22" s="151">
        <f>IFERROR(__xludf.DUMMYFUNCTION("""COMPUTED_VALUE"""),280.0)</f>
        <v>280</v>
      </c>
      <c r="J22" s="151">
        <f>IFERROR(__xludf.DUMMYFUNCTION("""COMPUTED_VALUE"""),319.0)</f>
        <v>319</v>
      </c>
      <c r="K22" s="151">
        <f>IFERROR(__xludf.DUMMYFUNCTION("""COMPUTED_VALUE"""),2847.0)</f>
        <v>2847</v>
      </c>
      <c r="L22" s="151">
        <f>IFERROR(__xludf.DUMMYFUNCTION("""COMPUTED_VALUE"""),1714.0)</f>
        <v>1714</v>
      </c>
      <c r="M22" s="151">
        <f>IFERROR(__xludf.DUMMYFUNCTION("""COMPUTED_VALUE"""),17013.0)</f>
        <v>17013</v>
      </c>
      <c r="N22" s="151">
        <f>IFERROR(__xludf.DUMMYFUNCTION("""COMPUTED_VALUE"""),19860.0)</f>
        <v>19860</v>
      </c>
      <c r="O22" s="151">
        <f>IFERROR(__xludf.DUMMYFUNCTION("""COMPUTED_VALUE"""),29.0)</f>
        <v>29</v>
      </c>
      <c r="P22" s="151">
        <f>IFERROR(__xludf.DUMMYFUNCTION("""COMPUTED_VALUE"""),391.0)</f>
        <v>391</v>
      </c>
      <c r="Q22" s="151">
        <f>IFERROR(__xludf.DUMMYFUNCTION("""COMPUTED_VALUE"""),11.0)</f>
        <v>11</v>
      </c>
      <c r="R22" s="151">
        <f>IFERROR(__xludf.DUMMYFUNCTION("""COMPUTED_VALUE"""),119.0)</f>
        <v>119</v>
      </c>
      <c r="S22" s="151">
        <f>IFERROR(__xludf.DUMMYFUNCTION("""COMPUTED_VALUE"""),2.0)</f>
        <v>2</v>
      </c>
      <c r="T22" s="151">
        <f>IFERROR(__xludf.DUMMYFUNCTION("""COMPUTED_VALUE"""),32.0)</f>
        <v>32</v>
      </c>
      <c r="U22" s="151">
        <f>IFERROR(__xludf.DUMMYFUNCTION("""COMPUTED_VALUE"""),240.0)</f>
        <v>240</v>
      </c>
      <c r="V22" s="151">
        <f>IFERROR(__xludf.DUMMYFUNCTION("""COMPUTED_VALUE"""),227.0)</f>
        <v>227</v>
      </c>
      <c r="W22" s="151">
        <f>IFERROR(__xludf.DUMMYFUNCTION("""COMPUTED_VALUE"""),61.0)</f>
        <v>61</v>
      </c>
      <c r="X22" s="151">
        <f>IFERROR(__xludf.DUMMYFUNCTION("""COMPUTED_VALUE"""),48.0)</f>
        <v>48</v>
      </c>
      <c r="Y22" s="151">
        <f>IFERROR(__xludf.DUMMYFUNCTION("""COMPUTED_VALUE"""),12.0)</f>
        <v>12</v>
      </c>
      <c r="Z22" s="151">
        <f>IFERROR(__xludf.DUMMYFUNCTION("""COMPUTED_VALUE"""),82.0)</f>
        <v>82</v>
      </c>
    </row>
    <row r="23">
      <c r="A23" s="210">
        <f>IFERROR(__xludf.DUMMYFUNCTION("""COMPUTED_VALUE"""),43933.0)</f>
        <v>43933</v>
      </c>
      <c r="B23" s="151">
        <f>IFERROR(__xludf.DUMMYFUNCTION("""COMPUTED_VALUE"""),314.0)</f>
        <v>314</v>
      </c>
      <c r="C23" s="151">
        <f>IFERROR(__xludf.DUMMYFUNCTION("""COMPUTED_VALUE"""),343.0)</f>
        <v>343</v>
      </c>
      <c r="D23" s="151">
        <f>IFERROR(__xludf.DUMMYFUNCTION("""COMPUTED_VALUE"""),3220.0)</f>
        <v>3220</v>
      </c>
      <c r="E23" s="151">
        <f>IFERROR(__xludf.DUMMYFUNCTION("""COMPUTED_VALUE"""),1670.0)</f>
        <v>1670</v>
      </c>
      <c r="F23" s="151">
        <f>IFERROR(__xludf.DUMMYFUNCTION("""COMPUTED_VALUE"""),20293.0)</f>
        <v>20293</v>
      </c>
      <c r="G23" s="151">
        <f>IFERROR(__xludf.DUMMYFUNCTION("""COMPUTED_VALUE"""),1984.0)</f>
        <v>1984</v>
      </c>
      <c r="H23" s="151">
        <f>IFERROR(__xludf.DUMMYFUNCTION("""COMPUTED_VALUE"""),23513.0)</f>
        <v>23513</v>
      </c>
      <c r="I23" s="151">
        <f>IFERROR(__xludf.DUMMYFUNCTION("""COMPUTED_VALUE"""),284.0)</f>
        <v>284</v>
      </c>
      <c r="J23" s="151">
        <f>IFERROR(__xludf.DUMMYFUNCTION("""COMPUTED_VALUE"""),322.0)</f>
        <v>322</v>
      </c>
      <c r="K23" s="151">
        <f>IFERROR(__xludf.DUMMYFUNCTION("""COMPUTED_VALUE"""),3131.0)</f>
        <v>3131</v>
      </c>
      <c r="L23" s="151">
        <f>IFERROR(__xludf.DUMMYFUNCTION("""COMPUTED_VALUE"""),1433.0)</f>
        <v>1433</v>
      </c>
      <c r="M23" s="151">
        <f>IFERROR(__xludf.DUMMYFUNCTION("""COMPUTED_VALUE"""),18446.0)</f>
        <v>18446</v>
      </c>
      <c r="N23" s="151">
        <f>IFERROR(__xludf.DUMMYFUNCTION("""COMPUTED_VALUE"""),21577.0)</f>
        <v>21577</v>
      </c>
      <c r="O23" s="151">
        <f>IFERROR(__xludf.DUMMYFUNCTION("""COMPUTED_VALUE"""),35.0)</f>
        <v>35</v>
      </c>
      <c r="P23" s="151">
        <f>IFERROR(__xludf.DUMMYFUNCTION("""COMPUTED_VALUE"""),426.0)</f>
        <v>426</v>
      </c>
      <c r="Q23" s="151">
        <f>IFERROR(__xludf.DUMMYFUNCTION("""COMPUTED_VALUE"""),13.0)</f>
        <v>13</v>
      </c>
      <c r="R23" s="151">
        <f>IFERROR(__xludf.DUMMYFUNCTION("""COMPUTED_VALUE"""),132.0)</f>
        <v>132</v>
      </c>
      <c r="S23" s="151">
        <f>IFERROR(__xludf.DUMMYFUNCTION("""COMPUTED_VALUE"""),5.0)</f>
        <v>5</v>
      </c>
      <c r="T23" s="151">
        <f>IFERROR(__xludf.DUMMYFUNCTION("""COMPUTED_VALUE"""),37.0)</f>
        <v>37</v>
      </c>
      <c r="U23" s="151">
        <f>IFERROR(__xludf.DUMMYFUNCTION("""COMPUTED_VALUE"""),257.0)</f>
        <v>257</v>
      </c>
      <c r="V23" s="151">
        <f>IFERROR(__xludf.DUMMYFUNCTION("""COMPUTED_VALUE"""),240.0)</f>
        <v>240</v>
      </c>
      <c r="W23" s="151">
        <f>IFERROR(__xludf.DUMMYFUNCTION("""COMPUTED_VALUE"""),59.0)</f>
        <v>59</v>
      </c>
      <c r="X23" s="151">
        <f>IFERROR(__xludf.DUMMYFUNCTION("""COMPUTED_VALUE"""),49.0)</f>
        <v>49</v>
      </c>
      <c r="Y23" s="151">
        <f>IFERROR(__xludf.DUMMYFUNCTION("""COMPUTED_VALUE"""),9.0)</f>
        <v>9</v>
      </c>
      <c r="Z23" s="151">
        <f>IFERROR(__xludf.DUMMYFUNCTION("""COMPUTED_VALUE"""),91.0)</f>
        <v>91</v>
      </c>
    </row>
    <row r="24">
      <c r="A24" s="210">
        <f>IFERROR(__xludf.DUMMYFUNCTION("""COMPUTED_VALUE"""),43934.0)</f>
        <v>43934</v>
      </c>
      <c r="B24" s="151">
        <f>IFERROR(__xludf.DUMMYFUNCTION("""COMPUTED_VALUE"""),161.0)</f>
        <v>161</v>
      </c>
      <c r="C24" s="151">
        <f>IFERROR(__xludf.DUMMYFUNCTION("""COMPUTED_VALUE"""),257.0)</f>
        <v>257</v>
      </c>
      <c r="D24" s="151">
        <f>IFERROR(__xludf.DUMMYFUNCTION("""COMPUTED_VALUE"""),3381.0)</f>
        <v>3381</v>
      </c>
      <c r="E24" s="151">
        <f>IFERROR(__xludf.DUMMYFUNCTION("""COMPUTED_VALUE"""),935.0)</f>
        <v>935</v>
      </c>
      <c r="F24" s="151">
        <f>IFERROR(__xludf.DUMMYFUNCTION("""COMPUTED_VALUE"""),21228.0)</f>
        <v>21228</v>
      </c>
      <c r="G24" s="151">
        <f>IFERROR(__xludf.DUMMYFUNCTION("""COMPUTED_VALUE"""),1096.0)</f>
        <v>1096</v>
      </c>
      <c r="H24" s="151">
        <f>IFERROR(__xludf.DUMMYFUNCTION("""COMPUTED_VALUE"""),24609.0)</f>
        <v>24609</v>
      </c>
      <c r="I24" s="151">
        <f>IFERROR(__xludf.DUMMYFUNCTION("""COMPUTED_VALUE"""),187.0)</f>
        <v>187</v>
      </c>
      <c r="J24" s="151">
        <f>IFERROR(__xludf.DUMMYFUNCTION("""COMPUTED_VALUE"""),250.0)</f>
        <v>250</v>
      </c>
      <c r="K24" s="151">
        <f>IFERROR(__xludf.DUMMYFUNCTION("""COMPUTED_VALUE"""),3318.0)</f>
        <v>3318</v>
      </c>
      <c r="L24" s="151">
        <f>IFERROR(__xludf.DUMMYFUNCTION("""COMPUTED_VALUE"""),837.0)</f>
        <v>837</v>
      </c>
      <c r="M24" s="151">
        <f>IFERROR(__xludf.DUMMYFUNCTION("""COMPUTED_VALUE"""),19283.0)</f>
        <v>19283</v>
      </c>
      <c r="N24" s="151">
        <f>IFERROR(__xludf.DUMMYFUNCTION("""COMPUTED_VALUE"""),22601.0)</f>
        <v>22601</v>
      </c>
      <c r="O24" s="151">
        <f>IFERROR(__xludf.DUMMYFUNCTION("""COMPUTED_VALUE"""),35.0)</f>
        <v>35</v>
      </c>
      <c r="P24" s="151">
        <f>IFERROR(__xludf.DUMMYFUNCTION("""COMPUTED_VALUE"""),461.0)</f>
        <v>461</v>
      </c>
      <c r="Q24" s="151">
        <f>IFERROR(__xludf.DUMMYFUNCTION("""COMPUTED_VALUE"""),13.0)</f>
        <v>13</v>
      </c>
      <c r="R24" s="151">
        <f>IFERROR(__xludf.DUMMYFUNCTION("""COMPUTED_VALUE"""),145.0)</f>
        <v>145</v>
      </c>
      <c r="S24" s="151">
        <f>IFERROR(__xludf.DUMMYFUNCTION("""COMPUTED_VALUE"""),3.0)</f>
        <v>3</v>
      </c>
      <c r="T24" s="151">
        <f>IFERROR(__xludf.DUMMYFUNCTION("""COMPUTED_VALUE"""),40.0)</f>
        <v>40</v>
      </c>
      <c r="U24" s="151">
        <f>IFERROR(__xludf.DUMMYFUNCTION("""COMPUTED_VALUE"""),276.0)</f>
        <v>276</v>
      </c>
      <c r="V24" s="151">
        <f>IFERROR(__xludf.DUMMYFUNCTION("""COMPUTED_VALUE"""),258.0)</f>
        <v>258</v>
      </c>
      <c r="W24" s="151">
        <f>IFERROR(__xludf.DUMMYFUNCTION("""COMPUTED_VALUE"""),64.0)</f>
        <v>64</v>
      </c>
      <c r="X24" s="151">
        <f>IFERROR(__xludf.DUMMYFUNCTION("""COMPUTED_VALUE"""),54.0)</f>
        <v>54</v>
      </c>
      <c r="Y24" s="151">
        <f>IFERROR(__xludf.DUMMYFUNCTION("""COMPUTED_VALUE"""),9.0)</f>
        <v>9</v>
      </c>
      <c r="Z24" s="151">
        <f>IFERROR(__xludf.DUMMYFUNCTION("""COMPUTED_VALUE"""),100.0)</f>
        <v>100</v>
      </c>
    </row>
    <row r="25">
      <c r="A25" s="210">
        <f>IFERROR(__xludf.DUMMYFUNCTION("""COMPUTED_VALUE"""),43935.0)</f>
        <v>43935</v>
      </c>
      <c r="B25" s="151">
        <f>IFERROR(__xludf.DUMMYFUNCTION("""COMPUTED_VALUE"""),289.0)</f>
        <v>289</v>
      </c>
      <c r="C25" s="151">
        <f>IFERROR(__xludf.DUMMYFUNCTION("""COMPUTED_VALUE"""),255.0)</f>
        <v>255</v>
      </c>
      <c r="D25" s="151">
        <f>IFERROR(__xludf.DUMMYFUNCTION("""COMPUTED_VALUE"""),3670.0)</f>
        <v>3670</v>
      </c>
      <c r="E25" s="151">
        <f>IFERROR(__xludf.DUMMYFUNCTION("""COMPUTED_VALUE"""),1787.0)</f>
        <v>1787</v>
      </c>
      <c r="F25" s="151">
        <f>IFERROR(__xludf.DUMMYFUNCTION("""COMPUTED_VALUE"""),23015.0)</f>
        <v>23015</v>
      </c>
      <c r="G25" s="151">
        <f>IFERROR(__xludf.DUMMYFUNCTION("""COMPUTED_VALUE"""),2076.0)</f>
        <v>2076</v>
      </c>
      <c r="H25" s="151">
        <f>IFERROR(__xludf.DUMMYFUNCTION("""COMPUTED_VALUE"""),26685.0)</f>
        <v>26685</v>
      </c>
      <c r="I25" s="151">
        <f>IFERROR(__xludf.DUMMYFUNCTION("""COMPUTED_VALUE"""),262.0)</f>
        <v>262</v>
      </c>
      <c r="J25" s="151">
        <f>IFERROR(__xludf.DUMMYFUNCTION("""COMPUTED_VALUE"""),244.0)</f>
        <v>244</v>
      </c>
      <c r="K25" s="151">
        <f>IFERROR(__xludf.DUMMYFUNCTION("""COMPUTED_VALUE"""),3580.0)</f>
        <v>3580</v>
      </c>
      <c r="L25" s="151">
        <f>IFERROR(__xludf.DUMMYFUNCTION("""COMPUTED_VALUE"""),1528.0)</f>
        <v>1528</v>
      </c>
      <c r="M25" s="151">
        <f>IFERROR(__xludf.DUMMYFUNCTION("""COMPUTED_VALUE"""),20811.0)</f>
        <v>20811</v>
      </c>
      <c r="N25" s="151">
        <f>IFERROR(__xludf.DUMMYFUNCTION("""COMPUTED_VALUE"""),24391.0)</f>
        <v>24391</v>
      </c>
      <c r="O25" s="151">
        <f>IFERROR(__xludf.DUMMYFUNCTION("""COMPUTED_VALUE"""),27.0)</f>
        <v>27</v>
      </c>
      <c r="P25" s="151">
        <f>IFERROR(__xludf.DUMMYFUNCTION("""COMPUTED_VALUE"""),488.0)</f>
        <v>488</v>
      </c>
      <c r="Q25" s="151">
        <f>IFERROR(__xludf.DUMMYFUNCTION("""COMPUTED_VALUE"""),17.0)</f>
        <v>17</v>
      </c>
      <c r="R25" s="151">
        <f>IFERROR(__xludf.DUMMYFUNCTION("""COMPUTED_VALUE"""),162.0)</f>
        <v>162</v>
      </c>
      <c r="S25" s="151">
        <f>IFERROR(__xludf.DUMMYFUNCTION("""COMPUTED_VALUE"""),5.0)</f>
        <v>5</v>
      </c>
      <c r="T25" s="151">
        <f>IFERROR(__xludf.DUMMYFUNCTION("""COMPUTED_VALUE"""),45.0)</f>
        <v>45</v>
      </c>
      <c r="U25" s="151">
        <f>IFERROR(__xludf.DUMMYFUNCTION("""COMPUTED_VALUE"""),281.0)</f>
        <v>281</v>
      </c>
      <c r="V25" s="151">
        <f>IFERROR(__xludf.DUMMYFUNCTION("""COMPUTED_VALUE"""),271.0)</f>
        <v>271</v>
      </c>
      <c r="W25" s="151">
        <f>IFERROR(__xludf.DUMMYFUNCTION("""COMPUTED_VALUE"""),72.0)</f>
        <v>72</v>
      </c>
      <c r="X25" s="151">
        <f>IFERROR(__xludf.DUMMYFUNCTION("""COMPUTED_VALUE"""),53.0)</f>
        <v>53</v>
      </c>
      <c r="Y25" s="151">
        <f>IFERROR(__xludf.DUMMYFUNCTION("""COMPUTED_VALUE"""),8.0)</f>
        <v>8</v>
      </c>
      <c r="Z25" s="151">
        <f>IFERROR(__xludf.DUMMYFUNCTION("""COMPUTED_VALUE"""),108.0)</f>
        <v>108</v>
      </c>
    </row>
    <row r="26">
      <c r="A26" s="210">
        <f>IFERROR(__xludf.DUMMYFUNCTION("""COMPUTED_VALUE"""),43936.0)</f>
        <v>43936</v>
      </c>
      <c r="B26" s="151">
        <f>IFERROR(__xludf.DUMMYFUNCTION("""COMPUTED_VALUE"""),351.0)</f>
        <v>351</v>
      </c>
      <c r="C26" s="151">
        <f>IFERROR(__xludf.DUMMYFUNCTION("""COMPUTED_VALUE"""),267.0)</f>
        <v>267</v>
      </c>
      <c r="D26" s="151">
        <f>IFERROR(__xludf.DUMMYFUNCTION("""COMPUTED_VALUE"""),4021.0)</f>
        <v>4021</v>
      </c>
      <c r="E26" s="151">
        <f>IFERROR(__xludf.DUMMYFUNCTION("""COMPUTED_VALUE"""),1799.0)</f>
        <v>1799</v>
      </c>
      <c r="F26" s="151">
        <f>IFERROR(__xludf.DUMMYFUNCTION("""COMPUTED_VALUE"""),24814.0)</f>
        <v>24814</v>
      </c>
      <c r="G26" s="151">
        <f>IFERROR(__xludf.DUMMYFUNCTION("""COMPUTED_VALUE"""),2150.0)</f>
        <v>2150</v>
      </c>
      <c r="H26" s="151">
        <f>IFERROR(__xludf.DUMMYFUNCTION("""COMPUTED_VALUE"""),28835.0)</f>
        <v>28835</v>
      </c>
      <c r="I26" s="151">
        <f>IFERROR(__xludf.DUMMYFUNCTION("""COMPUTED_VALUE"""),306.0)</f>
        <v>306</v>
      </c>
      <c r="J26" s="151">
        <f>IFERROR(__xludf.DUMMYFUNCTION("""COMPUTED_VALUE"""),252.0)</f>
        <v>252</v>
      </c>
      <c r="K26" s="151">
        <f>IFERROR(__xludf.DUMMYFUNCTION("""COMPUTED_VALUE"""),3886.0)</f>
        <v>3886</v>
      </c>
      <c r="L26" s="151">
        <f>IFERROR(__xludf.DUMMYFUNCTION("""COMPUTED_VALUE"""),1549.0)</f>
        <v>1549</v>
      </c>
      <c r="M26" s="151">
        <f>IFERROR(__xludf.DUMMYFUNCTION("""COMPUTED_VALUE"""),22360.0)</f>
        <v>22360</v>
      </c>
      <c r="N26" s="151">
        <f>IFERROR(__xludf.DUMMYFUNCTION("""COMPUTED_VALUE"""),26246.0)</f>
        <v>26246</v>
      </c>
      <c r="O26" s="151">
        <f>IFERROR(__xludf.DUMMYFUNCTION("""COMPUTED_VALUE"""),31.0)</f>
        <v>31</v>
      </c>
      <c r="P26" s="151">
        <f>IFERROR(__xludf.DUMMYFUNCTION("""COMPUTED_VALUE"""),519.0)</f>
        <v>519</v>
      </c>
      <c r="Q26" s="151">
        <f>IFERROR(__xludf.DUMMYFUNCTION("""COMPUTED_VALUE"""),20.0)</f>
        <v>20</v>
      </c>
      <c r="R26" s="151">
        <f>IFERROR(__xludf.DUMMYFUNCTION("""COMPUTED_VALUE"""),182.0)</f>
        <v>182</v>
      </c>
      <c r="S26" s="151">
        <f>IFERROR(__xludf.DUMMYFUNCTION("""COMPUTED_VALUE"""),3.0)</f>
        <v>3</v>
      </c>
      <c r="T26" s="151">
        <f>IFERROR(__xludf.DUMMYFUNCTION("""COMPUTED_VALUE"""),48.0)</f>
        <v>48</v>
      </c>
      <c r="U26" s="151">
        <f>IFERROR(__xludf.DUMMYFUNCTION("""COMPUTED_VALUE"""),289.0)</f>
        <v>289</v>
      </c>
      <c r="V26" s="151">
        <f>IFERROR(__xludf.DUMMYFUNCTION("""COMPUTED_VALUE"""),282.0)</f>
        <v>282</v>
      </c>
      <c r="W26" s="151">
        <f>IFERROR(__xludf.DUMMYFUNCTION("""COMPUTED_VALUE"""),72.0)</f>
        <v>72</v>
      </c>
      <c r="X26" s="151">
        <f>IFERROR(__xludf.DUMMYFUNCTION("""COMPUTED_VALUE"""),54.0)</f>
        <v>54</v>
      </c>
      <c r="Y26" s="151">
        <f>IFERROR(__xludf.DUMMYFUNCTION("""COMPUTED_VALUE"""),17.0)</f>
        <v>17</v>
      </c>
      <c r="Z26" s="151">
        <f>IFERROR(__xludf.DUMMYFUNCTION("""COMPUTED_VALUE"""),125.0)</f>
        <v>125</v>
      </c>
    </row>
    <row r="27">
      <c r="A27" s="210">
        <f>IFERROR(__xludf.DUMMYFUNCTION("""COMPUTED_VALUE"""),43937.0)</f>
        <v>43937</v>
      </c>
      <c r="B27" s="151">
        <f>IFERROR(__xludf.DUMMYFUNCTION("""COMPUTED_VALUE"""),447.0)</f>
        <v>447</v>
      </c>
      <c r="C27" s="151">
        <f>IFERROR(__xludf.DUMMYFUNCTION("""COMPUTED_VALUE"""),362.0)</f>
        <v>362</v>
      </c>
      <c r="D27" s="151">
        <f>IFERROR(__xludf.DUMMYFUNCTION("""COMPUTED_VALUE"""),4468.0)</f>
        <v>4468</v>
      </c>
      <c r="E27" s="151">
        <f>IFERROR(__xludf.DUMMYFUNCTION("""COMPUTED_VALUE"""),2494.0)</f>
        <v>2494</v>
      </c>
      <c r="F27" s="151">
        <f>IFERROR(__xludf.DUMMYFUNCTION("""COMPUTED_VALUE"""),27308.0)</f>
        <v>27308</v>
      </c>
      <c r="G27" s="151">
        <f>IFERROR(__xludf.DUMMYFUNCTION("""COMPUTED_VALUE"""),2941.0)</f>
        <v>2941</v>
      </c>
      <c r="H27" s="151">
        <f>IFERROR(__xludf.DUMMYFUNCTION("""COMPUTED_VALUE"""),31776.0)</f>
        <v>31776</v>
      </c>
      <c r="I27" s="151">
        <f>IFERROR(__xludf.DUMMYFUNCTION("""COMPUTED_VALUE"""),387.0)</f>
        <v>387</v>
      </c>
      <c r="J27" s="151">
        <f>IFERROR(__xludf.DUMMYFUNCTION("""COMPUTED_VALUE"""),318.0)</f>
        <v>318</v>
      </c>
      <c r="K27" s="151">
        <f>IFERROR(__xludf.DUMMYFUNCTION("""COMPUTED_VALUE"""),4273.0)</f>
        <v>4273</v>
      </c>
      <c r="L27" s="151">
        <f>IFERROR(__xludf.DUMMYFUNCTION("""COMPUTED_VALUE"""),2070.0)</f>
        <v>2070</v>
      </c>
      <c r="M27" s="151">
        <f>IFERROR(__xludf.DUMMYFUNCTION("""COMPUTED_VALUE"""),24430.0)</f>
        <v>24430</v>
      </c>
      <c r="N27" s="151">
        <f>IFERROR(__xludf.DUMMYFUNCTION("""COMPUTED_VALUE"""),28703.0)</f>
        <v>28703</v>
      </c>
      <c r="O27" s="151">
        <f>IFERROR(__xludf.DUMMYFUNCTION("""COMPUTED_VALUE"""),36.0)</f>
        <v>36</v>
      </c>
      <c r="P27" s="151">
        <f>IFERROR(__xludf.DUMMYFUNCTION("""COMPUTED_VALUE"""),555.0)</f>
        <v>555</v>
      </c>
      <c r="Q27" s="151">
        <f>IFERROR(__xludf.DUMMYFUNCTION("""COMPUTED_VALUE"""),25.0)</f>
        <v>25</v>
      </c>
      <c r="R27" s="151">
        <f>IFERROR(__xludf.DUMMYFUNCTION("""COMPUTED_VALUE"""),207.0)</f>
        <v>207</v>
      </c>
      <c r="S27" s="151">
        <f>IFERROR(__xludf.DUMMYFUNCTION("""COMPUTED_VALUE"""),6.0)</f>
        <v>6</v>
      </c>
      <c r="T27" s="151">
        <f>IFERROR(__xludf.DUMMYFUNCTION("""COMPUTED_VALUE"""),54.0)</f>
        <v>54</v>
      </c>
      <c r="U27" s="151">
        <f>IFERROR(__xludf.DUMMYFUNCTION("""COMPUTED_VALUE"""),294.0)</f>
        <v>294</v>
      </c>
      <c r="V27" s="151">
        <f>IFERROR(__xludf.DUMMYFUNCTION("""COMPUTED_VALUE"""),288.0)</f>
        <v>288</v>
      </c>
      <c r="W27" s="151">
        <f>IFERROR(__xludf.DUMMYFUNCTION("""COMPUTED_VALUE"""),72.0)</f>
        <v>72</v>
      </c>
      <c r="X27" s="151">
        <f>IFERROR(__xludf.DUMMYFUNCTION("""COMPUTED_VALUE"""),53.0)</f>
        <v>53</v>
      </c>
      <c r="Y27" s="151">
        <f>IFERROR(__xludf.DUMMYFUNCTION("""COMPUTED_VALUE"""),14.0)</f>
        <v>14</v>
      </c>
      <c r="Z27" s="151">
        <f>IFERROR(__xludf.DUMMYFUNCTION("""COMPUTED_VALUE"""),139.0)</f>
        <v>139</v>
      </c>
    </row>
    <row r="28">
      <c r="A28" s="210">
        <f>IFERROR(__xludf.DUMMYFUNCTION("""COMPUTED_VALUE"""),43938.0)</f>
        <v>43938</v>
      </c>
      <c r="B28" s="151">
        <f>IFERROR(__xludf.DUMMYFUNCTION("""COMPUTED_VALUE"""),304.0)</f>
        <v>304</v>
      </c>
      <c r="C28" s="151">
        <f>IFERROR(__xludf.DUMMYFUNCTION("""COMPUTED_VALUE"""),367.0)</f>
        <v>367</v>
      </c>
      <c r="D28" s="151">
        <f>IFERROR(__xludf.DUMMYFUNCTION("""COMPUTED_VALUE"""),4772.0)</f>
        <v>4772</v>
      </c>
      <c r="E28" s="151">
        <f>IFERROR(__xludf.DUMMYFUNCTION("""COMPUTED_VALUE"""),1821.0)</f>
        <v>1821</v>
      </c>
      <c r="F28" s="151">
        <f>IFERROR(__xludf.DUMMYFUNCTION("""COMPUTED_VALUE"""),29129.0)</f>
        <v>29129</v>
      </c>
      <c r="G28" s="151">
        <f>IFERROR(__xludf.DUMMYFUNCTION("""COMPUTED_VALUE"""),2125.0)</f>
        <v>2125</v>
      </c>
      <c r="H28" s="151">
        <f>IFERROR(__xludf.DUMMYFUNCTION("""COMPUTED_VALUE"""),33901.0)</f>
        <v>33901</v>
      </c>
      <c r="I28" s="151">
        <f>IFERROR(__xludf.DUMMYFUNCTION("""COMPUTED_VALUE"""),290.0)</f>
        <v>290</v>
      </c>
      <c r="J28" s="151">
        <f>IFERROR(__xludf.DUMMYFUNCTION("""COMPUTED_VALUE"""),328.0)</f>
        <v>328</v>
      </c>
      <c r="K28" s="151">
        <f>IFERROR(__xludf.DUMMYFUNCTION("""COMPUTED_VALUE"""),4563.0)</f>
        <v>4563</v>
      </c>
      <c r="L28" s="151">
        <f>IFERROR(__xludf.DUMMYFUNCTION("""COMPUTED_VALUE"""),1444.0)</f>
        <v>1444</v>
      </c>
      <c r="M28" s="151">
        <f>IFERROR(__xludf.DUMMYFUNCTION("""COMPUTED_VALUE"""),25874.0)</f>
        <v>25874</v>
      </c>
      <c r="N28" s="151">
        <f>IFERROR(__xludf.DUMMYFUNCTION("""COMPUTED_VALUE"""),30437.0)</f>
        <v>30437</v>
      </c>
      <c r="O28" s="151">
        <f>IFERROR(__xludf.DUMMYFUNCTION("""COMPUTED_VALUE"""),32.0)</f>
        <v>32</v>
      </c>
      <c r="P28" s="151">
        <f>IFERROR(__xludf.DUMMYFUNCTION("""COMPUTED_VALUE"""),587.0)</f>
        <v>587</v>
      </c>
      <c r="Q28" s="151">
        <f>IFERROR(__xludf.DUMMYFUNCTION("""COMPUTED_VALUE"""),20.0)</f>
        <v>20</v>
      </c>
      <c r="R28" s="151">
        <f>IFERROR(__xludf.DUMMYFUNCTION("""COMPUTED_VALUE"""),227.0)</f>
        <v>227</v>
      </c>
      <c r="S28" s="151">
        <f>IFERROR(__xludf.DUMMYFUNCTION("""COMPUTED_VALUE"""),7.0)</f>
        <v>7</v>
      </c>
      <c r="T28" s="151">
        <f>IFERROR(__xludf.DUMMYFUNCTION("""COMPUTED_VALUE"""),61.0)</f>
        <v>61</v>
      </c>
      <c r="U28" s="151">
        <f>IFERROR(__xludf.DUMMYFUNCTION("""COMPUTED_VALUE"""),299.0)</f>
        <v>299</v>
      </c>
      <c r="V28" s="151">
        <f>IFERROR(__xludf.DUMMYFUNCTION("""COMPUTED_VALUE"""),294.0)</f>
        <v>294</v>
      </c>
      <c r="W28" s="151">
        <f>IFERROR(__xludf.DUMMYFUNCTION("""COMPUTED_VALUE"""),66.0)</f>
        <v>66</v>
      </c>
      <c r="X28" s="151">
        <f>IFERROR(__xludf.DUMMYFUNCTION("""COMPUTED_VALUE"""),45.0)</f>
        <v>45</v>
      </c>
      <c r="Y28" s="151">
        <f>IFERROR(__xludf.DUMMYFUNCTION("""COMPUTED_VALUE"""),21.0)</f>
        <v>21</v>
      </c>
      <c r="Z28" s="151">
        <f>IFERROR(__xludf.DUMMYFUNCTION("""COMPUTED_VALUE"""),160.0)</f>
        <v>160</v>
      </c>
    </row>
    <row r="29">
      <c r="A29" s="210">
        <f>IFERROR(__xludf.DUMMYFUNCTION("""COMPUTED_VALUE"""),43939.0)</f>
        <v>43939</v>
      </c>
      <c r="B29" s="151">
        <f>IFERROR(__xludf.DUMMYFUNCTION("""COMPUTED_VALUE"""),321.0)</f>
        <v>321</v>
      </c>
      <c r="C29" s="151">
        <f>IFERROR(__xludf.DUMMYFUNCTION("""COMPUTED_VALUE"""),357.0)</f>
        <v>357</v>
      </c>
      <c r="D29" s="151">
        <f>IFERROR(__xludf.DUMMYFUNCTION("""COMPUTED_VALUE"""),5093.0)</f>
        <v>5093</v>
      </c>
      <c r="E29" s="151">
        <f>IFERROR(__xludf.DUMMYFUNCTION("""COMPUTED_VALUE"""),1725.0)</f>
        <v>1725</v>
      </c>
      <c r="F29" s="151">
        <f>IFERROR(__xludf.DUMMYFUNCTION("""COMPUTED_VALUE"""),30854.0)</f>
        <v>30854</v>
      </c>
      <c r="G29" s="151">
        <f>IFERROR(__xludf.DUMMYFUNCTION("""COMPUTED_VALUE"""),2046.0)</f>
        <v>2046</v>
      </c>
      <c r="H29" s="151">
        <f>IFERROR(__xludf.DUMMYFUNCTION("""COMPUTED_VALUE"""),35947.0)</f>
        <v>35947</v>
      </c>
      <c r="I29" s="151">
        <f>IFERROR(__xludf.DUMMYFUNCTION("""COMPUTED_VALUE"""),284.0)</f>
        <v>284</v>
      </c>
      <c r="J29" s="151">
        <f>IFERROR(__xludf.DUMMYFUNCTION("""COMPUTED_VALUE"""),320.0)</f>
        <v>320</v>
      </c>
      <c r="K29" s="151">
        <f>IFERROR(__xludf.DUMMYFUNCTION("""COMPUTED_VALUE"""),4847.0)</f>
        <v>4847</v>
      </c>
      <c r="L29" s="151">
        <f>IFERROR(__xludf.DUMMYFUNCTION("""COMPUTED_VALUE"""),1324.0)</f>
        <v>1324</v>
      </c>
      <c r="M29" s="151">
        <f>IFERROR(__xludf.DUMMYFUNCTION("""COMPUTED_VALUE"""),27198.0)</f>
        <v>27198</v>
      </c>
      <c r="N29" s="151">
        <f>IFERROR(__xludf.DUMMYFUNCTION("""COMPUTED_VALUE"""),32045.0)</f>
        <v>32045</v>
      </c>
      <c r="O29" s="151">
        <f>IFERROR(__xludf.DUMMYFUNCTION("""COMPUTED_VALUE"""),26.0)</f>
        <v>26</v>
      </c>
      <c r="P29" s="151">
        <f>IFERROR(__xludf.DUMMYFUNCTION("""COMPUTED_VALUE"""),613.0)</f>
        <v>613</v>
      </c>
      <c r="Q29" s="151">
        <f>IFERROR(__xludf.DUMMYFUNCTION("""COMPUTED_VALUE"""),18.0)</f>
        <v>18</v>
      </c>
      <c r="R29" s="151">
        <f>IFERROR(__xludf.DUMMYFUNCTION("""COMPUTED_VALUE"""),245.0)</f>
        <v>245</v>
      </c>
      <c r="S29" s="151">
        <f>IFERROR(__xludf.DUMMYFUNCTION("""COMPUTED_VALUE"""),4.0)</f>
        <v>4</v>
      </c>
      <c r="T29" s="151">
        <f>IFERROR(__xludf.DUMMYFUNCTION("""COMPUTED_VALUE"""),65.0)</f>
        <v>65</v>
      </c>
      <c r="U29" s="151">
        <f>IFERROR(__xludf.DUMMYFUNCTION("""COMPUTED_VALUE"""),303.0)</f>
        <v>303</v>
      </c>
      <c r="V29" s="151">
        <f>IFERROR(__xludf.DUMMYFUNCTION("""COMPUTED_VALUE"""),299.0)</f>
        <v>299</v>
      </c>
      <c r="W29" s="151">
        <f>IFERROR(__xludf.DUMMYFUNCTION("""COMPUTED_VALUE"""),63.0)</f>
        <v>63</v>
      </c>
      <c r="X29" s="151">
        <f>IFERROR(__xludf.DUMMYFUNCTION("""COMPUTED_VALUE"""),49.0)</f>
        <v>49</v>
      </c>
      <c r="Y29" s="151">
        <f>IFERROR(__xludf.DUMMYFUNCTION("""COMPUTED_VALUE"""),15.0)</f>
        <v>15</v>
      </c>
      <c r="Z29" s="151">
        <f>IFERROR(__xludf.DUMMYFUNCTION("""COMPUTED_VALUE"""),175.0)</f>
        <v>175</v>
      </c>
    </row>
    <row r="30">
      <c r="A30" s="210">
        <f>IFERROR(__xludf.DUMMYFUNCTION("""COMPUTED_VALUE"""),43940.0)</f>
        <v>43940</v>
      </c>
      <c r="B30" s="151">
        <f>IFERROR(__xludf.DUMMYFUNCTION("""COMPUTED_VALUE"""),381.0)</f>
        <v>381</v>
      </c>
      <c r="C30" s="151">
        <f>IFERROR(__xludf.DUMMYFUNCTION("""COMPUTED_VALUE"""),335.0)</f>
        <v>335</v>
      </c>
      <c r="D30" s="151">
        <f>IFERROR(__xludf.DUMMYFUNCTION("""COMPUTED_VALUE"""),5474.0)</f>
        <v>5474</v>
      </c>
      <c r="E30" s="151">
        <f>IFERROR(__xludf.DUMMYFUNCTION("""COMPUTED_VALUE"""),2047.0)</f>
        <v>2047</v>
      </c>
      <c r="F30" s="151">
        <f>IFERROR(__xludf.DUMMYFUNCTION("""COMPUTED_VALUE"""),32901.0)</f>
        <v>32901</v>
      </c>
      <c r="G30" s="151">
        <f>IFERROR(__xludf.DUMMYFUNCTION("""COMPUTED_VALUE"""),2428.0)</f>
        <v>2428</v>
      </c>
      <c r="H30" s="151">
        <f>IFERROR(__xludf.DUMMYFUNCTION("""COMPUTED_VALUE"""),38375.0)</f>
        <v>38375</v>
      </c>
      <c r="I30" s="151">
        <f>IFERROR(__xludf.DUMMYFUNCTION("""COMPUTED_VALUE"""),336.0)</f>
        <v>336</v>
      </c>
      <c r="J30" s="151">
        <f>IFERROR(__xludf.DUMMYFUNCTION("""COMPUTED_VALUE"""),303.0)</f>
        <v>303</v>
      </c>
      <c r="K30" s="151">
        <f>IFERROR(__xludf.DUMMYFUNCTION("""COMPUTED_VALUE"""),5183.0)</f>
        <v>5183</v>
      </c>
      <c r="L30" s="151">
        <f>IFERROR(__xludf.DUMMYFUNCTION("""COMPUTED_VALUE"""),1739.0)</f>
        <v>1739</v>
      </c>
      <c r="M30" s="151">
        <f>IFERROR(__xludf.DUMMYFUNCTION("""COMPUTED_VALUE"""),28937.0)</f>
        <v>28937</v>
      </c>
      <c r="N30" s="151">
        <f>IFERROR(__xludf.DUMMYFUNCTION("""COMPUTED_VALUE"""),34120.0)</f>
        <v>34120</v>
      </c>
      <c r="O30" s="151">
        <f>IFERROR(__xludf.DUMMYFUNCTION("""COMPUTED_VALUE"""),23.0)</f>
        <v>23</v>
      </c>
      <c r="P30" s="151">
        <f>IFERROR(__xludf.DUMMYFUNCTION("""COMPUTED_VALUE"""),636.0)</f>
        <v>636</v>
      </c>
      <c r="Q30" s="151">
        <f>IFERROR(__xludf.DUMMYFUNCTION("""COMPUTED_VALUE"""),26.0)</f>
        <v>26</v>
      </c>
      <c r="R30" s="151">
        <f>IFERROR(__xludf.DUMMYFUNCTION("""COMPUTED_VALUE"""),271.0)</f>
        <v>271</v>
      </c>
      <c r="S30" s="151">
        <f>IFERROR(__xludf.DUMMYFUNCTION("""COMPUTED_VALUE"""),1.0)</f>
        <v>1</v>
      </c>
      <c r="T30" s="151">
        <f>IFERROR(__xludf.DUMMYFUNCTION("""COMPUTED_VALUE"""),66.0)</f>
        <v>66</v>
      </c>
      <c r="U30" s="151">
        <f>IFERROR(__xludf.DUMMYFUNCTION("""COMPUTED_VALUE"""),299.0)</f>
        <v>299</v>
      </c>
      <c r="V30" s="151">
        <f>IFERROR(__xludf.DUMMYFUNCTION("""COMPUTED_VALUE"""),300.0)</f>
        <v>300</v>
      </c>
      <c r="W30" s="151">
        <f>IFERROR(__xludf.DUMMYFUNCTION("""COMPUTED_VALUE"""),65.0)</f>
        <v>65</v>
      </c>
      <c r="X30" s="151">
        <f>IFERROR(__xludf.DUMMYFUNCTION("""COMPUTED_VALUE"""),55.0)</f>
        <v>55</v>
      </c>
      <c r="Y30" s="151">
        <f>IFERROR(__xludf.DUMMYFUNCTION("""COMPUTED_VALUE"""),11.0)</f>
        <v>11</v>
      </c>
      <c r="Z30" s="151">
        <f>IFERROR(__xludf.DUMMYFUNCTION("""COMPUTED_VALUE"""),186.0)</f>
        <v>186</v>
      </c>
    </row>
    <row r="31">
      <c r="A31" s="210">
        <f>IFERROR(__xludf.DUMMYFUNCTION("""COMPUTED_VALUE"""),43941.0)</f>
        <v>43941</v>
      </c>
      <c r="B31" s="151">
        <f>IFERROR(__xludf.DUMMYFUNCTION("""COMPUTED_VALUE"""),394.0)</f>
        <v>394</v>
      </c>
      <c r="C31" s="151">
        <f>IFERROR(__xludf.DUMMYFUNCTION("""COMPUTED_VALUE"""),365.0)</f>
        <v>365</v>
      </c>
      <c r="D31" s="151">
        <f>IFERROR(__xludf.DUMMYFUNCTION("""COMPUTED_VALUE"""),5868.0)</f>
        <v>5868</v>
      </c>
      <c r="E31" s="151">
        <f>IFERROR(__xludf.DUMMYFUNCTION("""COMPUTED_VALUE"""),1907.0)</f>
        <v>1907</v>
      </c>
      <c r="F31" s="151">
        <f>IFERROR(__xludf.DUMMYFUNCTION("""COMPUTED_VALUE"""),34808.0)</f>
        <v>34808</v>
      </c>
      <c r="G31" s="151">
        <f>IFERROR(__xludf.DUMMYFUNCTION("""COMPUTED_VALUE"""),2301.0)</f>
        <v>2301</v>
      </c>
      <c r="H31" s="151">
        <f>IFERROR(__xludf.DUMMYFUNCTION("""COMPUTED_VALUE"""),40676.0)</f>
        <v>40676</v>
      </c>
      <c r="I31" s="151">
        <f>IFERROR(__xludf.DUMMYFUNCTION("""COMPUTED_VALUE"""),376.0)</f>
        <v>376</v>
      </c>
      <c r="J31" s="151">
        <f>IFERROR(__xludf.DUMMYFUNCTION("""COMPUTED_VALUE"""),332.0)</f>
        <v>332</v>
      </c>
      <c r="K31" s="151">
        <f>IFERROR(__xludf.DUMMYFUNCTION("""COMPUTED_VALUE"""),5559.0)</f>
        <v>5559</v>
      </c>
      <c r="L31" s="151">
        <f>IFERROR(__xludf.DUMMYFUNCTION("""COMPUTED_VALUE"""),1567.0)</f>
        <v>1567</v>
      </c>
      <c r="M31" s="151">
        <f>IFERROR(__xludf.DUMMYFUNCTION("""COMPUTED_VALUE"""),30504.0)</f>
        <v>30504</v>
      </c>
      <c r="N31" s="151">
        <f>IFERROR(__xludf.DUMMYFUNCTION("""COMPUTED_VALUE"""),36063.0)</f>
        <v>36063</v>
      </c>
      <c r="O31" s="151">
        <f>IFERROR(__xludf.DUMMYFUNCTION("""COMPUTED_VALUE"""),46.0)</f>
        <v>46</v>
      </c>
      <c r="P31" s="151">
        <f>IFERROR(__xludf.DUMMYFUNCTION("""COMPUTED_VALUE"""),682.0)</f>
        <v>682</v>
      </c>
      <c r="Q31" s="151">
        <f>IFERROR(__xludf.DUMMYFUNCTION("""COMPUTED_VALUE"""),29.0)</f>
        <v>29</v>
      </c>
      <c r="R31" s="151">
        <f>IFERROR(__xludf.DUMMYFUNCTION("""COMPUTED_VALUE"""),300.0)</f>
        <v>300</v>
      </c>
      <c r="S31" s="151">
        <f>IFERROR(__xludf.DUMMYFUNCTION("""COMPUTED_VALUE"""),2.0)</f>
        <v>2</v>
      </c>
      <c r="T31" s="151">
        <f>IFERROR(__xludf.DUMMYFUNCTION("""COMPUTED_VALUE"""),68.0)</f>
        <v>68</v>
      </c>
      <c r="U31" s="151">
        <f>IFERROR(__xludf.DUMMYFUNCTION("""COMPUTED_VALUE"""),314.0)</f>
        <v>314</v>
      </c>
      <c r="V31" s="151">
        <f>IFERROR(__xludf.DUMMYFUNCTION("""COMPUTED_VALUE"""),305.0)</f>
        <v>305</v>
      </c>
      <c r="W31" s="151">
        <f>IFERROR(__xludf.DUMMYFUNCTION("""COMPUTED_VALUE"""),75.0)</f>
        <v>75</v>
      </c>
      <c r="X31" s="151">
        <f>IFERROR(__xludf.DUMMYFUNCTION("""COMPUTED_VALUE"""),56.0)</f>
        <v>56</v>
      </c>
      <c r="Y31" s="151">
        <f>IFERROR(__xludf.DUMMYFUNCTION("""COMPUTED_VALUE"""),10.0)</f>
        <v>10</v>
      </c>
      <c r="Z31" s="151">
        <f>IFERROR(__xludf.DUMMYFUNCTION("""COMPUTED_VALUE"""),196.0)</f>
        <v>196</v>
      </c>
    </row>
    <row r="32">
      <c r="A32" s="210">
        <f>IFERROR(__xludf.DUMMYFUNCTION("""COMPUTED_VALUE"""),43942.0)</f>
        <v>43942</v>
      </c>
      <c r="B32" s="151">
        <f>IFERROR(__xludf.DUMMYFUNCTION("""COMPUTED_VALUE"""),444.0)</f>
        <v>444</v>
      </c>
      <c r="C32" s="151">
        <f>IFERROR(__xludf.DUMMYFUNCTION("""COMPUTED_VALUE"""),406.0)</f>
        <v>406</v>
      </c>
      <c r="D32" s="151">
        <f>IFERROR(__xludf.DUMMYFUNCTION("""COMPUTED_VALUE"""),6312.0)</f>
        <v>6312</v>
      </c>
      <c r="E32" s="151">
        <f>IFERROR(__xludf.DUMMYFUNCTION("""COMPUTED_VALUE"""),2110.0)</f>
        <v>2110</v>
      </c>
      <c r="F32" s="151">
        <f>IFERROR(__xludf.DUMMYFUNCTION("""COMPUTED_VALUE"""),36918.0)</f>
        <v>36918</v>
      </c>
      <c r="G32" s="151">
        <f>IFERROR(__xludf.DUMMYFUNCTION("""COMPUTED_VALUE"""),2554.0)</f>
        <v>2554</v>
      </c>
      <c r="H32" s="151">
        <f>IFERROR(__xludf.DUMMYFUNCTION("""COMPUTED_VALUE"""),43230.0)</f>
        <v>43230</v>
      </c>
      <c r="I32" s="151">
        <f>IFERROR(__xludf.DUMMYFUNCTION("""COMPUTED_VALUE"""),384.0)</f>
        <v>384</v>
      </c>
      <c r="J32" s="151">
        <f>IFERROR(__xludf.DUMMYFUNCTION("""COMPUTED_VALUE"""),365.0)</f>
        <v>365</v>
      </c>
      <c r="K32" s="151">
        <f>IFERROR(__xludf.DUMMYFUNCTION("""COMPUTED_VALUE"""),5943.0)</f>
        <v>5943</v>
      </c>
      <c r="L32" s="151">
        <f>IFERROR(__xludf.DUMMYFUNCTION("""COMPUTED_VALUE"""),1700.0)</f>
        <v>1700</v>
      </c>
      <c r="M32" s="151">
        <f>IFERROR(__xludf.DUMMYFUNCTION("""COMPUTED_VALUE"""),32204.0)</f>
        <v>32204</v>
      </c>
      <c r="N32" s="151">
        <f>IFERROR(__xludf.DUMMYFUNCTION("""COMPUTED_VALUE"""),38147.0)</f>
        <v>38147</v>
      </c>
      <c r="O32" s="151">
        <f>IFERROR(__xludf.DUMMYFUNCTION("""COMPUTED_VALUE"""),45.0)</f>
        <v>45</v>
      </c>
      <c r="P32" s="151">
        <f>IFERROR(__xludf.DUMMYFUNCTION("""COMPUTED_VALUE"""),727.0)</f>
        <v>727</v>
      </c>
      <c r="Q32" s="151">
        <f>IFERROR(__xludf.DUMMYFUNCTION("""COMPUTED_VALUE"""),33.0)</f>
        <v>33</v>
      </c>
      <c r="R32" s="151">
        <f>IFERROR(__xludf.DUMMYFUNCTION("""COMPUTED_VALUE"""),333.0)</f>
        <v>333</v>
      </c>
      <c r="S32" s="151">
        <f>IFERROR(__xludf.DUMMYFUNCTION("""COMPUTED_VALUE"""),5.0)</f>
        <v>5</v>
      </c>
      <c r="T32" s="151">
        <f>IFERROR(__xludf.DUMMYFUNCTION("""COMPUTED_VALUE"""),73.0)</f>
        <v>73</v>
      </c>
      <c r="U32" s="151">
        <f>IFERROR(__xludf.DUMMYFUNCTION("""COMPUTED_VALUE"""),321.0)</f>
        <v>321</v>
      </c>
      <c r="V32" s="151">
        <f>IFERROR(__xludf.DUMMYFUNCTION("""COMPUTED_VALUE"""),311.0)</f>
        <v>311</v>
      </c>
      <c r="W32" s="151">
        <f>IFERROR(__xludf.DUMMYFUNCTION("""COMPUTED_VALUE"""),72.0)</f>
        <v>72</v>
      </c>
      <c r="X32" s="151">
        <f>IFERROR(__xludf.DUMMYFUNCTION("""COMPUTED_VALUE"""),56.0)</f>
        <v>56</v>
      </c>
      <c r="Y32" s="151">
        <f>IFERROR(__xludf.DUMMYFUNCTION("""COMPUTED_VALUE"""),18.0)</f>
        <v>18</v>
      </c>
      <c r="Z32" s="151">
        <f>IFERROR(__xludf.DUMMYFUNCTION("""COMPUTED_VALUE"""),214.0)</f>
        <v>214</v>
      </c>
    </row>
    <row r="33">
      <c r="A33" s="210">
        <f>IFERROR(__xludf.DUMMYFUNCTION("""COMPUTED_VALUE"""),43943.0)</f>
        <v>43943</v>
      </c>
      <c r="B33" s="151">
        <f>IFERROR(__xludf.DUMMYFUNCTION("""COMPUTED_VALUE"""),418.0)</f>
        <v>418</v>
      </c>
      <c r="C33" s="151">
        <f>IFERROR(__xludf.DUMMYFUNCTION("""COMPUTED_VALUE"""),419.0)</f>
        <v>419</v>
      </c>
      <c r="D33" s="151">
        <f>IFERROR(__xludf.DUMMYFUNCTION("""COMPUTED_VALUE"""),6730.0)</f>
        <v>6730</v>
      </c>
      <c r="E33" s="151">
        <f>IFERROR(__xludf.DUMMYFUNCTION("""COMPUTED_VALUE"""),2390.0)</f>
        <v>2390</v>
      </c>
      <c r="F33" s="151">
        <f>IFERROR(__xludf.DUMMYFUNCTION("""COMPUTED_VALUE"""),39308.0)</f>
        <v>39308</v>
      </c>
      <c r="G33" s="151">
        <f>IFERROR(__xludf.DUMMYFUNCTION("""COMPUTED_VALUE"""),2808.0)</f>
        <v>2808</v>
      </c>
      <c r="H33" s="151">
        <f>IFERROR(__xludf.DUMMYFUNCTION("""COMPUTED_VALUE"""),46038.0)</f>
        <v>46038</v>
      </c>
      <c r="I33" s="151">
        <f>IFERROR(__xludf.DUMMYFUNCTION("""COMPUTED_VALUE"""),379.0)</f>
        <v>379</v>
      </c>
      <c r="J33" s="151">
        <f>IFERROR(__xludf.DUMMYFUNCTION("""COMPUTED_VALUE"""),380.0)</f>
        <v>380</v>
      </c>
      <c r="K33" s="151">
        <f>IFERROR(__xludf.DUMMYFUNCTION("""COMPUTED_VALUE"""),6322.0)</f>
        <v>6322</v>
      </c>
      <c r="L33" s="151">
        <f>IFERROR(__xludf.DUMMYFUNCTION("""COMPUTED_VALUE"""),1913.0)</f>
        <v>1913</v>
      </c>
      <c r="M33" s="151">
        <f>IFERROR(__xludf.DUMMYFUNCTION("""COMPUTED_VALUE"""),34117.0)</f>
        <v>34117</v>
      </c>
      <c r="N33" s="151">
        <f>IFERROR(__xludf.DUMMYFUNCTION("""COMPUTED_VALUE"""),40439.0)</f>
        <v>40439</v>
      </c>
      <c r="O33" s="151">
        <f>IFERROR(__xludf.DUMMYFUNCTION("""COMPUTED_VALUE"""),41.0)</f>
        <v>41</v>
      </c>
      <c r="P33" s="151">
        <f>IFERROR(__xludf.DUMMYFUNCTION("""COMPUTED_VALUE"""),768.0)</f>
        <v>768</v>
      </c>
      <c r="Q33" s="151">
        <f>IFERROR(__xludf.DUMMYFUNCTION("""COMPUTED_VALUE"""),32.0)</f>
        <v>32</v>
      </c>
      <c r="R33" s="151">
        <f>IFERROR(__xludf.DUMMYFUNCTION("""COMPUTED_VALUE"""),365.0)</f>
        <v>365</v>
      </c>
      <c r="S33" s="151">
        <f>IFERROR(__xludf.DUMMYFUNCTION("""COMPUTED_VALUE"""),5.0)</f>
        <v>5</v>
      </c>
      <c r="T33" s="151">
        <f>IFERROR(__xludf.DUMMYFUNCTION("""COMPUTED_VALUE"""),78.0)</f>
        <v>78</v>
      </c>
      <c r="U33" s="151">
        <f>IFERROR(__xludf.DUMMYFUNCTION("""COMPUTED_VALUE"""),325.0)</f>
        <v>325</v>
      </c>
      <c r="V33" s="151">
        <f>IFERROR(__xludf.DUMMYFUNCTION("""COMPUTED_VALUE"""),320.0)</f>
        <v>320</v>
      </c>
      <c r="W33" s="151">
        <f>IFERROR(__xludf.DUMMYFUNCTION("""COMPUTED_VALUE"""),73.0)</f>
        <v>73</v>
      </c>
      <c r="X33" s="151">
        <f>IFERROR(__xludf.DUMMYFUNCTION("""COMPUTED_VALUE"""),58.0)</f>
        <v>58</v>
      </c>
      <c r="Y33" s="151">
        <f>IFERROR(__xludf.DUMMYFUNCTION("""COMPUTED_VALUE"""),18.0)</f>
        <v>18</v>
      </c>
      <c r="Z33" s="151">
        <f>IFERROR(__xludf.DUMMYFUNCTION("""COMPUTED_VALUE"""),232.0)</f>
        <v>232</v>
      </c>
    </row>
    <row r="34">
      <c r="A34" s="210">
        <f>IFERROR(__xludf.DUMMYFUNCTION("""COMPUTED_VALUE"""),43944.0)</f>
        <v>43944</v>
      </c>
      <c r="B34" s="151">
        <f>IFERROR(__xludf.DUMMYFUNCTION("""COMPUTED_VALUE"""),479.0)</f>
        <v>479</v>
      </c>
      <c r="C34" s="151">
        <f>IFERROR(__xludf.DUMMYFUNCTION("""COMPUTED_VALUE"""),447.0)</f>
        <v>447</v>
      </c>
      <c r="D34" s="151">
        <f>IFERROR(__xludf.DUMMYFUNCTION("""COMPUTED_VALUE"""),7209.0)</f>
        <v>7209</v>
      </c>
      <c r="E34" s="151">
        <f>IFERROR(__xludf.DUMMYFUNCTION("""COMPUTED_VALUE"""),2469.0)</f>
        <v>2469</v>
      </c>
      <c r="F34" s="151">
        <f>IFERROR(__xludf.DUMMYFUNCTION("""COMPUTED_VALUE"""),41777.0)</f>
        <v>41777</v>
      </c>
      <c r="G34" s="151">
        <f>IFERROR(__xludf.DUMMYFUNCTION("""COMPUTED_VALUE"""),2948.0)</f>
        <v>2948</v>
      </c>
      <c r="H34" s="151">
        <f>IFERROR(__xludf.DUMMYFUNCTION("""COMPUTED_VALUE"""),48986.0)</f>
        <v>48986</v>
      </c>
      <c r="I34" s="151">
        <f>IFERROR(__xludf.DUMMYFUNCTION("""COMPUTED_VALUE"""),412.0)</f>
        <v>412</v>
      </c>
      <c r="J34" s="151">
        <f>IFERROR(__xludf.DUMMYFUNCTION("""COMPUTED_VALUE"""),392.0)</f>
        <v>392</v>
      </c>
      <c r="K34" s="151">
        <f>IFERROR(__xludf.DUMMYFUNCTION("""COMPUTED_VALUE"""),6734.0)</f>
        <v>6734</v>
      </c>
      <c r="L34" s="151">
        <f>IFERROR(__xludf.DUMMYFUNCTION("""COMPUTED_VALUE"""),1853.0)</f>
        <v>1853</v>
      </c>
      <c r="M34" s="151">
        <f>IFERROR(__xludf.DUMMYFUNCTION("""COMPUTED_VALUE"""),35970.0)</f>
        <v>35970</v>
      </c>
      <c r="N34" s="151">
        <f>IFERROR(__xludf.DUMMYFUNCTION("""COMPUTED_VALUE"""),42704.0)</f>
        <v>42704</v>
      </c>
      <c r="O34" s="151">
        <f>IFERROR(__xludf.DUMMYFUNCTION("""COMPUTED_VALUE"""),32.0)</f>
        <v>32</v>
      </c>
      <c r="P34" s="151">
        <f>IFERROR(__xludf.DUMMYFUNCTION("""COMPUTED_VALUE"""),800.0)</f>
        <v>800</v>
      </c>
      <c r="Q34" s="151">
        <f>IFERROR(__xludf.DUMMYFUNCTION("""COMPUTED_VALUE"""),28.0)</f>
        <v>28</v>
      </c>
      <c r="R34" s="151">
        <f>IFERROR(__xludf.DUMMYFUNCTION("""COMPUTED_VALUE"""),393.0)</f>
        <v>393</v>
      </c>
      <c r="S34" s="151">
        <f>IFERROR(__xludf.DUMMYFUNCTION("""COMPUTED_VALUE"""),5.0)</f>
        <v>5</v>
      </c>
      <c r="T34" s="151">
        <f>IFERROR(__xludf.DUMMYFUNCTION("""COMPUTED_VALUE"""),83.0)</f>
        <v>83</v>
      </c>
      <c r="U34" s="151">
        <f>IFERROR(__xludf.DUMMYFUNCTION("""COMPUTED_VALUE"""),324.0)</f>
        <v>324</v>
      </c>
      <c r="V34" s="151">
        <f>IFERROR(__xludf.DUMMYFUNCTION("""COMPUTED_VALUE"""),323.0)</f>
        <v>323</v>
      </c>
      <c r="W34" s="151">
        <f>IFERROR(__xludf.DUMMYFUNCTION("""COMPUTED_VALUE"""),76.0)</f>
        <v>76</v>
      </c>
      <c r="X34" s="151">
        <f>IFERROR(__xludf.DUMMYFUNCTION("""COMPUTED_VALUE"""),62.0)</f>
        <v>62</v>
      </c>
      <c r="Y34" s="151">
        <f>IFERROR(__xludf.DUMMYFUNCTION("""COMPUTED_VALUE"""),15.0)</f>
        <v>15</v>
      </c>
      <c r="Z34" s="151">
        <f>IFERROR(__xludf.DUMMYFUNCTION("""COMPUTED_VALUE"""),247.0)</f>
        <v>247</v>
      </c>
    </row>
    <row r="35">
      <c r="A35" s="210">
        <f>IFERROR(__xludf.DUMMYFUNCTION("""COMPUTED_VALUE"""),43945.0)</f>
        <v>43945</v>
      </c>
      <c r="B35" s="151">
        <f>IFERROR(__xludf.DUMMYFUNCTION("""COMPUTED_VALUE"""),491.0)</f>
        <v>491</v>
      </c>
      <c r="C35" s="151">
        <f>IFERROR(__xludf.DUMMYFUNCTION("""COMPUTED_VALUE"""),463.0)</f>
        <v>463</v>
      </c>
      <c r="D35" s="151">
        <f>IFERROR(__xludf.DUMMYFUNCTION("""COMPUTED_VALUE"""),7700.0)</f>
        <v>7700</v>
      </c>
      <c r="E35" s="151">
        <f>IFERROR(__xludf.DUMMYFUNCTION("""COMPUTED_VALUE"""),3284.0)</f>
        <v>3284</v>
      </c>
      <c r="F35" s="151">
        <f>IFERROR(__xludf.DUMMYFUNCTION("""COMPUTED_VALUE"""),45061.0)</f>
        <v>45061</v>
      </c>
      <c r="G35" s="151">
        <f>IFERROR(__xludf.DUMMYFUNCTION("""COMPUTED_VALUE"""),3775.0)</f>
        <v>3775</v>
      </c>
      <c r="H35" s="151">
        <f>IFERROR(__xludf.DUMMYFUNCTION("""COMPUTED_VALUE"""),52761.0)</f>
        <v>52761</v>
      </c>
      <c r="I35" s="151">
        <f>IFERROR(__xludf.DUMMYFUNCTION("""COMPUTED_VALUE"""),407.0)</f>
        <v>407</v>
      </c>
      <c r="J35" s="151">
        <f>IFERROR(__xludf.DUMMYFUNCTION("""COMPUTED_VALUE"""),399.0)</f>
        <v>399</v>
      </c>
      <c r="K35" s="151">
        <f>IFERROR(__xludf.DUMMYFUNCTION("""COMPUTED_VALUE"""),7141.0)</f>
        <v>7141</v>
      </c>
      <c r="L35" s="151">
        <f>IFERROR(__xludf.DUMMYFUNCTION("""COMPUTED_VALUE"""),2622.0)</f>
        <v>2622</v>
      </c>
      <c r="M35" s="151">
        <f>IFERROR(__xludf.DUMMYFUNCTION("""COMPUTED_VALUE"""),38592.0)</f>
        <v>38592</v>
      </c>
      <c r="N35" s="151">
        <f>IFERROR(__xludf.DUMMYFUNCTION("""COMPUTED_VALUE"""),45733.0)</f>
        <v>45733</v>
      </c>
      <c r="O35" s="151">
        <f>IFERROR(__xludf.DUMMYFUNCTION("""COMPUTED_VALUE"""),35.0)</f>
        <v>35</v>
      </c>
      <c r="P35" s="151">
        <f>IFERROR(__xludf.DUMMYFUNCTION("""COMPUTED_VALUE"""),835.0)</f>
        <v>835</v>
      </c>
      <c r="Q35" s="151">
        <f>IFERROR(__xludf.DUMMYFUNCTION("""COMPUTED_VALUE"""),26.0)</f>
        <v>26</v>
      </c>
      <c r="R35" s="151">
        <f>IFERROR(__xludf.DUMMYFUNCTION("""COMPUTED_VALUE"""),419.0)</f>
        <v>419</v>
      </c>
      <c r="S35" s="151">
        <f>IFERROR(__xludf.DUMMYFUNCTION("""COMPUTED_VALUE"""),4.0)</f>
        <v>4</v>
      </c>
      <c r="T35" s="151">
        <f>IFERROR(__xludf.DUMMYFUNCTION("""COMPUTED_VALUE"""),87.0)</f>
        <v>87</v>
      </c>
      <c r="U35" s="151">
        <f>IFERROR(__xludf.DUMMYFUNCTION("""COMPUTED_VALUE"""),329.0)</f>
        <v>329</v>
      </c>
      <c r="V35" s="151">
        <f>IFERROR(__xludf.DUMMYFUNCTION("""COMPUTED_VALUE"""),326.0)</f>
        <v>326</v>
      </c>
      <c r="W35" s="151">
        <f>IFERROR(__xludf.DUMMYFUNCTION("""COMPUTED_VALUE"""),85.0)</f>
        <v>85</v>
      </c>
      <c r="X35" s="151">
        <f>IFERROR(__xludf.DUMMYFUNCTION("""COMPUTED_VALUE"""),63.0)</f>
        <v>63</v>
      </c>
      <c r="Y35" s="151">
        <f>IFERROR(__xludf.DUMMYFUNCTION("""COMPUTED_VALUE"""),15.0)</f>
        <v>15</v>
      </c>
      <c r="Z35" s="151">
        <f>IFERROR(__xludf.DUMMYFUNCTION("""COMPUTED_VALUE"""),262.0)</f>
        <v>262</v>
      </c>
    </row>
    <row r="36">
      <c r="A36" s="210">
        <f>IFERROR(__xludf.DUMMYFUNCTION("""COMPUTED_VALUE"""),43946.0)</f>
        <v>43946</v>
      </c>
      <c r="B36" s="151">
        <f>IFERROR(__xludf.DUMMYFUNCTION("""COMPUTED_VALUE"""),393.0)</f>
        <v>393</v>
      </c>
      <c r="C36" s="151">
        <f>IFERROR(__xludf.DUMMYFUNCTION("""COMPUTED_VALUE"""),454.0)</f>
        <v>454</v>
      </c>
      <c r="D36" s="151">
        <f>IFERROR(__xludf.DUMMYFUNCTION("""COMPUTED_VALUE"""),8093.0)</f>
        <v>8093</v>
      </c>
      <c r="E36" s="151">
        <f>IFERROR(__xludf.DUMMYFUNCTION("""COMPUTED_VALUE"""),2206.0)</f>
        <v>2206</v>
      </c>
      <c r="F36" s="151">
        <f>IFERROR(__xludf.DUMMYFUNCTION("""COMPUTED_VALUE"""),47267.0)</f>
        <v>47267</v>
      </c>
      <c r="G36" s="151">
        <f>IFERROR(__xludf.DUMMYFUNCTION("""COMPUTED_VALUE"""),2599.0)</f>
        <v>2599</v>
      </c>
      <c r="H36" s="151">
        <f>IFERROR(__xludf.DUMMYFUNCTION("""COMPUTED_VALUE"""),55360.0)</f>
        <v>55360</v>
      </c>
      <c r="I36" s="151">
        <f>IFERROR(__xludf.DUMMYFUNCTION("""COMPUTED_VALUE"""),300.0)</f>
        <v>300</v>
      </c>
      <c r="J36" s="151">
        <f>IFERROR(__xludf.DUMMYFUNCTION("""COMPUTED_VALUE"""),373.0)</f>
        <v>373</v>
      </c>
      <c r="K36" s="151">
        <f>IFERROR(__xludf.DUMMYFUNCTION("""COMPUTED_VALUE"""),7441.0)</f>
        <v>7441</v>
      </c>
      <c r="L36" s="151">
        <f>IFERROR(__xludf.DUMMYFUNCTION("""COMPUTED_VALUE"""),1762.0)</f>
        <v>1762</v>
      </c>
      <c r="M36" s="151">
        <f>IFERROR(__xludf.DUMMYFUNCTION("""COMPUTED_VALUE"""),40354.0)</f>
        <v>40354</v>
      </c>
      <c r="N36" s="151">
        <f>IFERROR(__xludf.DUMMYFUNCTION("""COMPUTED_VALUE"""),47795.0)</f>
        <v>47795</v>
      </c>
      <c r="O36" s="151">
        <f>IFERROR(__xludf.DUMMYFUNCTION("""COMPUTED_VALUE"""),34.0)</f>
        <v>34</v>
      </c>
      <c r="P36" s="151">
        <f>IFERROR(__xludf.DUMMYFUNCTION("""COMPUTED_VALUE"""),869.0)</f>
        <v>869</v>
      </c>
      <c r="Q36" s="151">
        <f>IFERROR(__xludf.DUMMYFUNCTION("""COMPUTED_VALUE"""),17.0)</f>
        <v>17</v>
      </c>
      <c r="R36" s="151">
        <f>IFERROR(__xludf.DUMMYFUNCTION("""COMPUTED_VALUE"""),436.0)</f>
        <v>436</v>
      </c>
      <c r="S36" s="151">
        <f>IFERROR(__xludf.DUMMYFUNCTION("""COMPUTED_VALUE"""),5.0)</f>
        <v>5</v>
      </c>
      <c r="T36" s="151">
        <f>IFERROR(__xludf.DUMMYFUNCTION("""COMPUTED_VALUE"""),92.0)</f>
        <v>92</v>
      </c>
      <c r="U36" s="151">
        <f>IFERROR(__xludf.DUMMYFUNCTION("""COMPUTED_VALUE"""),341.0)</f>
        <v>341</v>
      </c>
      <c r="V36" s="151">
        <f>IFERROR(__xludf.DUMMYFUNCTION("""COMPUTED_VALUE"""),331.0)</f>
        <v>331</v>
      </c>
      <c r="W36" s="151">
        <f>IFERROR(__xludf.DUMMYFUNCTION("""COMPUTED_VALUE"""),85.0)</f>
        <v>85</v>
      </c>
      <c r="X36" s="151">
        <f>IFERROR(__xludf.DUMMYFUNCTION("""COMPUTED_VALUE"""),62.0)</f>
        <v>62</v>
      </c>
      <c r="Y36" s="151">
        <f>IFERROR(__xludf.DUMMYFUNCTION("""COMPUTED_VALUE"""),14.0)</f>
        <v>14</v>
      </c>
      <c r="Z36" s="151">
        <f>IFERROR(__xludf.DUMMYFUNCTION("""COMPUTED_VALUE"""),276.0)</f>
        <v>276</v>
      </c>
    </row>
    <row r="37">
      <c r="A37" s="210">
        <f>IFERROR(__xludf.DUMMYFUNCTION("""COMPUTED_VALUE"""),43947.0)</f>
        <v>43947</v>
      </c>
      <c r="B37" s="151">
        <f>IFERROR(__xludf.DUMMYFUNCTION("""COMPUTED_VALUE"""),316.0)</f>
        <v>316</v>
      </c>
      <c r="C37" s="151">
        <f>IFERROR(__xludf.DUMMYFUNCTION("""COMPUTED_VALUE"""),400.0)</f>
        <v>400</v>
      </c>
      <c r="D37" s="151">
        <f>IFERROR(__xludf.DUMMYFUNCTION("""COMPUTED_VALUE"""),8409.0)</f>
        <v>8409</v>
      </c>
      <c r="E37" s="151">
        <f>IFERROR(__xludf.DUMMYFUNCTION("""COMPUTED_VALUE"""),2309.0)</f>
        <v>2309</v>
      </c>
      <c r="F37" s="151">
        <f>IFERROR(__xludf.DUMMYFUNCTION("""COMPUTED_VALUE"""),49576.0)</f>
        <v>49576</v>
      </c>
      <c r="G37" s="151">
        <f>IFERROR(__xludf.DUMMYFUNCTION("""COMPUTED_VALUE"""),2625.0)</f>
        <v>2625</v>
      </c>
      <c r="H37" s="151">
        <f>IFERROR(__xludf.DUMMYFUNCTION("""COMPUTED_VALUE"""),57985.0)</f>
        <v>57985</v>
      </c>
      <c r="I37" s="151">
        <f>IFERROR(__xludf.DUMMYFUNCTION("""COMPUTED_VALUE"""),274.0)</f>
        <v>274</v>
      </c>
      <c r="J37" s="151">
        <f>IFERROR(__xludf.DUMMYFUNCTION("""COMPUTED_VALUE"""),327.0)</f>
        <v>327</v>
      </c>
      <c r="K37" s="151">
        <f>IFERROR(__xludf.DUMMYFUNCTION("""COMPUTED_VALUE"""),7715.0)</f>
        <v>7715</v>
      </c>
      <c r="L37" s="151">
        <f>IFERROR(__xludf.DUMMYFUNCTION("""COMPUTED_VALUE"""),1875.0)</f>
        <v>1875</v>
      </c>
      <c r="M37" s="151">
        <f>IFERROR(__xludf.DUMMYFUNCTION("""COMPUTED_VALUE"""),42229.0)</f>
        <v>42229</v>
      </c>
      <c r="N37" s="151">
        <f>IFERROR(__xludf.DUMMYFUNCTION("""COMPUTED_VALUE"""),49944.0)</f>
        <v>49944</v>
      </c>
      <c r="O37" s="151">
        <f>IFERROR(__xludf.DUMMYFUNCTION("""COMPUTED_VALUE"""),33.0)</f>
        <v>33</v>
      </c>
      <c r="P37" s="151">
        <f>IFERROR(__xludf.DUMMYFUNCTION("""COMPUTED_VALUE"""),902.0)</f>
        <v>902</v>
      </c>
      <c r="Q37" s="151">
        <f>IFERROR(__xludf.DUMMYFUNCTION("""COMPUTED_VALUE"""),15.0)</f>
        <v>15</v>
      </c>
      <c r="R37" s="151">
        <f>IFERROR(__xludf.DUMMYFUNCTION("""COMPUTED_VALUE"""),451.0)</f>
        <v>451</v>
      </c>
      <c r="S37" s="151">
        <f>IFERROR(__xludf.DUMMYFUNCTION("""COMPUTED_VALUE"""),3.0)</f>
        <v>3</v>
      </c>
      <c r="T37" s="151">
        <f>IFERROR(__xludf.DUMMYFUNCTION("""COMPUTED_VALUE"""),95.0)</f>
        <v>95</v>
      </c>
      <c r="U37" s="151">
        <f>IFERROR(__xludf.DUMMYFUNCTION("""COMPUTED_VALUE"""),356.0)</f>
        <v>356</v>
      </c>
      <c r="V37" s="151">
        <f>IFERROR(__xludf.DUMMYFUNCTION("""COMPUTED_VALUE"""),342.0)</f>
        <v>342</v>
      </c>
      <c r="W37" s="151">
        <f>IFERROR(__xludf.DUMMYFUNCTION("""COMPUTED_VALUE"""),86.0)</f>
        <v>86</v>
      </c>
      <c r="X37" s="151">
        <f>IFERROR(__xludf.DUMMYFUNCTION("""COMPUTED_VALUE"""),59.0)</f>
        <v>59</v>
      </c>
      <c r="Y37" s="151">
        <f>IFERROR(__xludf.DUMMYFUNCTION("""COMPUTED_VALUE"""),14.0)</f>
        <v>14</v>
      </c>
      <c r="Z37" s="151">
        <f>IFERROR(__xludf.DUMMYFUNCTION("""COMPUTED_VALUE"""),290.0)</f>
        <v>290</v>
      </c>
    </row>
    <row r="38">
      <c r="A38" s="210">
        <f>IFERROR(__xludf.DUMMYFUNCTION("""COMPUTED_VALUE"""),43948.0)</f>
        <v>43948</v>
      </c>
      <c r="B38" s="151">
        <f>IFERROR(__xludf.DUMMYFUNCTION("""COMPUTED_VALUE"""),249.0)</f>
        <v>249</v>
      </c>
      <c r="C38" s="151">
        <f>IFERROR(__xludf.DUMMYFUNCTION("""COMPUTED_VALUE"""),319.0)</f>
        <v>319</v>
      </c>
      <c r="D38" s="151">
        <f>IFERROR(__xludf.DUMMYFUNCTION("""COMPUTED_VALUE"""),8658.0)</f>
        <v>8658</v>
      </c>
      <c r="E38" s="151">
        <f>IFERROR(__xludf.DUMMYFUNCTION("""COMPUTED_VALUE"""),1620.0)</f>
        <v>1620</v>
      </c>
      <c r="F38" s="151">
        <f>IFERROR(__xludf.DUMMYFUNCTION("""COMPUTED_VALUE"""),51196.0)</f>
        <v>51196</v>
      </c>
      <c r="G38" s="151">
        <f>IFERROR(__xludf.DUMMYFUNCTION("""COMPUTED_VALUE"""),1869.0)</f>
        <v>1869</v>
      </c>
      <c r="H38" s="151">
        <f>IFERROR(__xludf.DUMMYFUNCTION("""COMPUTED_VALUE"""),59854.0)</f>
        <v>59854</v>
      </c>
      <c r="I38" s="151">
        <f>IFERROR(__xludf.DUMMYFUNCTION("""COMPUTED_VALUE"""),206.0)</f>
        <v>206</v>
      </c>
      <c r="J38" s="151">
        <f>IFERROR(__xludf.DUMMYFUNCTION("""COMPUTED_VALUE"""),260.0)</f>
        <v>260</v>
      </c>
      <c r="K38" s="151">
        <f>IFERROR(__xludf.DUMMYFUNCTION("""COMPUTED_VALUE"""),7921.0)</f>
        <v>7921</v>
      </c>
      <c r="L38" s="151">
        <f>IFERROR(__xludf.DUMMYFUNCTION("""COMPUTED_VALUE"""),1161.0)</f>
        <v>1161</v>
      </c>
      <c r="M38" s="151">
        <f>IFERROR(__xludf.DUMMYFUNCTION("""COMPUTED_VALUE"""),43390.0)</f>
        <v>43390</v>
      </c>
      <c r="N38" s="151">
        <f>IFERROR(__xludf.DUMMYFUNCTION("""COMPUTED_VALUE"""),51311.0)</f>
        <v>51311</v>
      </c>
      <c r="O38" s="151">
        <f>IFERROR(__xludf.DUMMYFUNCTION("""COMPUTED_VALUE"""),29.0)</f>
        <v>29</v>
      </c>
      <c r="P38" s="151">
        <f>IFERROR(__xludf.DUMMYFUNCTION("""COMPUTED_VALUE"""),931.0)</f>
        <v>931</v>
      </c>
      <c r="Q38" s="151">
        <f>IFERROR(__xludf.DUMMYFUNCTION("""COMPUTED_VALUE"""),21.0)</f>
        <v>21</v>
      </c>
      <c r="R38" s="151">
        <f>IFERROR(__xludf.DUMMYFUNCTION("""COMPUTED_VALUE"""),472.0)</f>
        <v>472</v>
      </c>
      <c r="S38" s="151">
        <f>IFERROR(__xludf.DUMMYFUNCTION("""COMPUTED_VALUE"""),4.0)</f>
        <v>4</v>
      </c>
      <c r="T38" s="151">
        <f>IFERROR(__xludf.DUMMYFUNCTION("""COMPUTED_VALUE"""),99.0)</f>
        <v>99</v>
      </c>
      <c r="U38" s="151">
        <f>IFERROR(__xludf.DUMMYFUNCTION("""COMPUTED_VALUE"""),360.0)</f>
        <v>360</v>
      </c>
      <c r="V38" s="151">
        <f>IFERROR(__xludf.DUMMYFUNCTION("""COMPUTED_VALUE"""),352.0)</f>
        <v>352</v>
      </c>
      <c r="W38" s="151">
        <f>IFERROR(__xludf.DUMMYFUNCTION("""COMPUTED_VALUE"""),86.0)</f>
        <v>86</v>
      </c>
      <c r="X38" s="151">
        <f>IFERROR(__xludf.DUMMYFUNCTION("""COMPUTED_VALUE"""),61.0)</f>
        <v>61</v>
      </c>
      <c r="Y38" s="151">
        <f>IFERROR(__xludf.DUMMYFUNCTION("""COMPUTED_VALUE"""),10.0)</f>
        <v>10</v>
      </c>
      <c r="Z38" s="151">
        <f>IFERROR(__xludf.DUMMYFUNCTION("""COMPUTED_VALUE"""),300.0)</f>
        <v>300</v>
      </c>
    </row>
    <row r="39">
      <c r="A39" s="210">
        <f>IFERROR(__xludf.DUMMYFUNCTION("""COMPUTED_VALUE"""),43949.0)</f>
        <v>43949</v>
      </c>
      <c r="B39" s="151">
        <f>IFERROR(__xludf.DUMMYFUNCTION("""COMPUTED_VALUE"""),410.0)</f>
        <v>410</v>
      </c>
      <c r="C39" s="151">
        <f>IFERROR(__xludf.DUMMYFUNCTION("""COMPUTED_VALUE"""),325.0)</f>
        <v>325</v>
      </c>
      <c r="D39" s="151">
        <f>IFERROR(__xludf.DUMMYFUNCTION("""COMPUTED_VALUE"""),9068.0)</f>
        <v>9068</v>
      </c>
      <c r="E39" s="151">
        <f>IFERROR(__xludf.DUMMYFUNCTION("""COMPUTED_VALUE"""),2263.0)</f>
        <v>2263</v>
      </c>
      <c r="F39" s="151">
        <f>IFERROR(__xludf.DUMMYFUNCTION("""COMPUTED_VALUE"""),53459.0)</f>
        <v>53459</v>
      </c>
      <c r="G39" s="151">
        <f>IFERROR(__xludf.DUMMYFUNCTION("""COMPUTED_VALUE"""),2673.0)</f>
        <v>2673</v>
      </c>
      <c r="H39" s="151">
        <f>IFERROR(__xludf.DUMMYFUNCTION("""COMPUTED_VALUE"""),62527.0)</f>
        <v>62527</v>
      </c>
      <c r="I39" s="151">
        <f>IFERROR(__xludf.DUMMYFUNCTION("""COMPUTED_VALUE"""),331.0)</f>
        <v>331</v>
      </c>
      <c r="J39" s="151">
        <f>IFERROR(__xludf.DUMMYFUNCTION("""COMPUTED_VALUE"""),270.0)</f>
        <v>270</v>
      </c>
      <c r="K39" s="151">
        <f>IFERROR(__xludf.DUMMYFUNCTION("""COMPUTED_VALUE"""),8252.0)</f>
        <v>8252</v>
      </c>
      <c r="L39" s="151">
        <f>IFERROR(__xludf.DUMMYFUNCTION("""COMPUTED_VALUE"""),1761.0)</f>
        <v>1761</v>
      </c>
      <c r="M39" s="151">
        <f>IFERROR(__xludf.DUMMYFUNCTION("""COMPUTED_VALUE"""),45151.0)</f>
        <v>45151</v>
      </c>
      <c r="N39" s="151">
        <f>IFERROR(__xludf.DUMMYFUNCTION("""COMPUTED_VALUE"""),53403.0)</f>
        <v>53403</v>
      </c>
      <c r="O39" s="151">
        <f>IFERROR(__xludf.DUMMYFUNCTION("""COMPUTED_VALUE"""),44.0)</f>
        <v>44</v>
      </c>
      <c r="P39" s="151">
        <f>IFERROR(__xludf.DUMMYFUNCTION("""COMPUTED_VALUE"""),975.0)</f>
        <v>975</v>
      </c>
      <c r="Q39" s="151">
        <f>IFERROR(__xludf.DUMMYFUNCTION("""COMPUTED_VALUE"""),24.0)</f>
        <v>24</v>
      </c>
      <c r="R39" s="151">
        <f>IFERROR(__xludf.DUMMYFUNCTION("""COMPUTED_VALUE"""),496.0)</f>
        <v>496</v>
      </c>
      <c r="S39" s="151">
        <f>IFERROR(__xludf.DUMMYFUNCTION("""COMPUTED_VALUE"""),3.0)</f>
        <v>3</v>
      </c>
      <c r="T39" s="151">
        <f>IFERROR(__xludf.DUMMYFUNCTION("""COMPUTED_VALUE"""),102.0)</f>
        <v>102</v>
      </c>
      <c r="U39" s="151">
        <f>IFERROR(__xludf.DUMMYFUNCTION("""COMPUTED_VALUE"""),377.0)</f>
        <v>377</v>
      </c>
      <c r="V39" s="151">
        <f>IFERROR(__xludf.DUMMYFUNCTION("""COMPUTED_VALUE"""),364.0)</f>
        <v>364</v>
      </c>
      <c r="W39" s="151">
        <f>IFERROR(__xludf.DUMMYFUNCTION("""COMPUTED_VALUE"""),88.0)</f>
        <v>88</v>
      </c>
      <c r="X39" s="151">
        <f>IFERROR(__xludf.DUMMYFUNCTION("""COMPUTED_VALUE"""),59.0)</f>
        <v>59</v>
      </c>
      <c r="Y39" s="151">
        <f>IFERROR(__xludf.DUMMYFUNCTION("""COMPUTED_VALUE"""),22.0)</f>
        <v>22</v>
      </c>
      <c r="Z39" s="151">
        <f>IFERROR(__xludf.DUMMYFUNCTION("""COMPUTED_VALUE"""),322.0)</f>
        <v>322</v>
      </c>
    </row>
    <row r="40">
      <c r="A40" s="210">
        <f>IFERROR(__xludf.DUMMYFUNCTION("""COMPUTED_VALUE"""),43950.0)</f>
        <v>43950</v>
      </c>
      <c r="B40" s="151">
        <f>IFERROR(__xludf.DUMMYFUNCTION("""COMPUTED_VALUE"""),476.0)</f>
        <v>476</v>
      </c>
      <c r="C40" s="151">
        <f>IFERROR(__xludf.DUMMYFUNCTION("""COMPUTED_VALUE"""),378.0)</f>
        <v>378</v>
      </c>
      <c r="D40" s="151">
        <f>IFERROR(__xludf.DUMMYFUNCTION("""COMPUTED_VALUE"""),9544.0)</f>
        <v>9544</v>
      </c>
      <c r="E40" s="151">
        <f>IFERROR(__xludf.DUMMYFUNCTION("""COMPUTED_VALUE"""),3343.0)</f>
        <v>3343</v>
      </c>
      <c r="F40" s="151">
        <f>IFERROR(__xludf.DUMMYFUNCTION("""COMPUTED_VALUE"""),56802.0)</f>
        <v>56802</v>
      </c>
      <c r="G40" s="151">
        <f>IFERROR(__xludf.DUMMYFUNCTION("""COMPUTED_VALUE"""),3819.0)</f>
        <v>3819</v>
      </c>
      <c r="H40" s="151">
        <f>IFERROR(__xludf.DUMMYFUNCTION("""COMPUTED_VALUE"""),66346.0)</f>
        <v>66346</v>
      </c>
      <c r="I40" s="151">
        <f>IFERROR(__xludf.DUMMYFUNCTION("""COMPUTED_VALUE"""),371.0)</f>
        <v>371</v>
      </c>
      <c r="J40" s="151">
        <f>IFERROR(__xludf.DUMMYFUNCTION("""COMPUTED_VALUE"""),303.0)</f>
        <v>303</v>
      </c>
      <c r="K40" s="151">
        <f>IFERROR(__xludf.DUMMYFUNCTION("""COMPUTED_VALUE"""),8623.0)</f>
        <v>8623</v>
      </c>
      <c r="L40" s="151">
        <f>IFERROR(__xludf.DUMMYFUNCTION("""COMPUTED_VALUE"""),2420.0)</f>
        <v>2420</v>
      </c>
      <c r="M40" s="151">
        <f>IFERROR(__xludf.DUMMYFUNCTION("""COMPUTED_VALUE"""),47571.0)</f>
        <v>47571</v>
      </c>
      <c r="N40" s="151">
        <f>IFERROR(__xludf.DUMMYFUNCTION("""COMPUTED_VALUE"""),56194.0)</f>
        <v>56194</v>
      </c>
      <c r="O40" s="151">
        <f>IFERROR(__xludf.DUMMYFUNCTION("""COMPUTED_VALUE"""),36.0)</f>
        <v>36</v>
      </c>
      <c r="P40" s="151">
        <f>IFERROR(__xludf.DUMMYFUNCTION("""COMPUTED_VALUE"""),1011.0)</f>
        <v>1011</v>
      </c>
      <c r="Q40" s="151">
        <f>IFERROR(__xludf.DUMMYFUNCTION("""COMPUTED_VALUE"""),38.0)</f>
        <v>38</v>
      </c>
      <c r="R40" s="151">
        <f>IFERROR(__xludf.DUMMYFUNCTION("""COMPUTED_VALUE"""),534.0)</f>
        <v>534</v>
      </c>
      <c r="S40" s="151">
        <f>IFERROR(__xludf.DUMMYFUNCTION("""COMPUTED_VALUE"""),11.0)</f>
        <v>11</v>
      </c>
      <c r="T40" s="151">
        <f>IFERROR(__xludf.DUMMYFUNCTION("""COMPUTED_VALUE"""),113.0)</f>
        <v>113</v>
      </c>
      <c r="U40" s="151">
        <f>IFERROR(__xludf.DUMMYFUNCTION("""COMPUTED_VALUE"""),364.0)</f>
        <v>364</v>
      </c>
      <c r="V40" s="151">
        <f>IFERROR(__xludf.DUMMYFUNCTION("""COMPUTED_VALUE"""),367.0)</f>
        <v>367</v>
      </c>
      <c r="W40" s="151">
        <f>IFERROR(__xludf.DUMMYFUNCTION("""COMPUTED_VALUE"""),78.0)</f>
        <v>78</v>
      </c>
      <c r="X40" s="151">
        <f>IFERROR(__xludf.DUMMYFUNCTION("""COMPUTED_VALUE"""),53.0)</f>
        <v>53</v>
      </c>
      <c r="Y40" s="151">
        <f>IFERROR(__xludf.DUMMYFUNCTION("""COMPUTED_VALUE"""),18.0)</f>
        <v>18</v>
      </c>
      <c r="Z40" s="151">
        <f>IFERROR(__xludf.DUMMYFUNCTION("""COMPUTED_VALUE"""),340.0)</f>
        <v>340</v>
      </c>
    </row>
    <row r="41">
      <c r="A41" s="210">
        <f>IFERROR(__xludf.DUMMYFUNCTION("""COMPUTED_VALUE"""),43951.0)</f>
        <v>43951</v>
      </c>
      <c r="B41" s="151">
        <f>IFERROR(__xludf.DUMMYFUNCTION("""COMPUTED_VALUE"""),432.0)</f>
        <v>432</v>
      </c>
      <c r="C41" s="151">
        <f>IFERROR(__xludf.DUMMYFUNCTION("""COMPUTED_VALUE"""),439.0)</f>
        <v>439</v>
      </c>
      <c r="D41" s="151">
        <f>IFERROR(__xludf.DUMMYFUNCTION("""COMPUTED_VALUE"""),9976.0)</f>
        <v>9976</v>
      </c>
      <c r="E41" s="151">
        <f>IFERROR(__xludf.DUMMYFUNCTION("""COMPUTED_VALUE"""),2769.0)</f>
        <v>2769</v>
      </c>
      <c r="F41" s="151">
        <f>IFERROR(__xludf.DUMMYFUNCTION("""COMPUTED_VALUE"""),59571.0)</f>
        <v>59571</v>
      </c>
      <c r="G41" s="151">
        <f>IFERROR(__xludf.DUMMYFUNCTION("""COMPUTED_VALUE"""),3201.0)</f>
        <v>3201</v>
      </c>
      <c r="H41" s="151">
        <f>IFERROR(__xludf.DUMMYFUNCTION("""COMPUTED_VALUE"""),69547.0)</f>
        <v>69547</v>
      </c>
      <c r="I41" s="151">
        <f>IFERROR(__xludf.DUMMYFUNCTION("""COMPUTED_VALUE"""),350.0)</f>
        <v>350</v>
      </c>
      <c r="J41" s="151">
        <f>IFERROR(__xludf.DUMMYFUNCTION("""COMPUTED_VALUE"""),351.0)</f>
        <v>351</v>
      </c>
      <c r="K41" s="151">
        <f>IFERROR(__xludf.DUMMYFUNCTION("""COMPUTED_VALUE"""),8973.0)</f>
        <v>8973</v>
      </c>
      <c r="L41" s="151">
        <f>IFERROR(__xludf.DUMMYFUNCTION("""COMPUTED_VALUE"""),1915.0)</f>
        <v>1915</v>
      </c>
      <c r="M41" s="151">
        <f>IFERROR(__xludf.DUMMYFUNCTION("""COMPUTED_VALUE"""),49486.0)</f>
        <v>49486</v>
      </c>
      <c r="N41" s="151">
        <f>IFERROR(__xludf.DUMMYFUNCTION("""COMPUTED_VALUE"""),58459.0)</f>
        <v>58459</v>
      </c>
      <c r="O41" s="151">
        <f>IFERROR(__xludf.DUMMYFUNCTION("""COMPUTED_VALUE"""),33.0)</f>
        <v>33</v>
      </c>
      <c r="P41" s="151">
        <f>IFERROR(__xludf.DUMMYFUNCTION("""COMPUTED_VALUE"""),1044.0)</f>
        <v>1044</v>
      </c>
      <c r="Q41" s="151">
        <f>IFERROR(__xludf.DUMMYFUNCTION("""COMPUTED_VALUE"""),38.0)</f>
        <v>38</v>
      </c>
      <c r="R41" s="151">
        <f>IFERROR(__xludf.DUMMYFUNCTION("""COMPUTED_VALUE"""),572.0)</f>
        <v>572</v>
      </c>
      <c r="S41" s="151">
        <f>IFERROR(__xludf.DUMMYFUNCTION("""COMPUTED_VALUE"""),6.0)</f>
        <v>6</v>
      </c>
      <c r="T41" s="151">
        <f>IFERROR(__xludf.DUMMYFUNCTION("""COMPUTED_VALUE"""),119.0)</f>
        <v>119</v>
      </c>
      <c r="U41" s="151">
        <f>IFERROR(__xludf.DUMMYFUNCTION("""COMPUTED_VALUE"""),353.0)</f>
        <v>353</v>
      </c>
      <c r="V41" s="151">
        <f>IFERROR(__xludf.DUMMYFUNCTION("""COMPUTED_VALUE"""),365.0)</f>
        <v>365</v>
      </c>
      <c r="W41" s="151">
        <f>IFERROR(__xludf.DUMMYFUNCTION("""COMPUTED_VALUE"""),83.0)</f>
        <v>83</v>
      </c>
      <c r="X41" s="151">
        <f>IFERROR(__xludf.DUMMYFUNCTION("""COMPUTED_VALUE"""),57.0)</f>
        <v>57</v>
      </c>
      <c r="Y41" s="151">
        <f>IFERROR(__xludf.DUMMYFUNCTION("""COMPUTED_VALUE"""),24.0)</f>
        <v>24</v>
      </c>
      <c r="Z41" s="151">
        <f>IFERROR(__xludf.DUMMYFUNCTION("""COMPUTED_VALUE"""),364.0)</f>
        <v>364</v>
      </c>
    </row>
    <row r="42">
      <c r="A42" s="210">
        <f>IFERROR(__xludf.DUMMYFUNCTION("""COMPUTED_VALUE"""),43952.0)</f>
        <v>43952</v>
      </c>
      <c r="B42" s="151">
        <f>IFERROR(__xludf.DUMMYFUNCTION("""COMPUTED_VALUE"""),454.0)</f>
        <v>454</v>
      </c>
      <c r="C42" s="151">
        <f>IFERROR(__xludf.DUMMYFUNCTION("""COMPUTED_VALUE"""),454.0)</f>
        <v>454</v>
      </c>
      <c r="D42" s="151">
        <f>IFERROR(__xludf.DUMMYFUNCTION("""COMPUTED_VALUE"""),10430.0)</f>
        <v>10430</v>
      </c>
      <c r="E42" s="151">
        <f>IFERROR(__xludf.DUMMYFUNCTION("""COMPUTED_VALUE"""),3086.0)</f>
        <v>3086</v>
      </c>
      <c r="F42" s="151">
        <f>IFERROR(__xludf.DUMMYFUNCTION("""COMPUTED_VALUE"""),62657.0)</f>
        <v>62657</v>
      </c>
      <c r="G42" s="151">
        <f>IFERROR(__xludf.DUMMYFUNCTION("""COMPUTED_VALUE"""),3540.0)</f>
        <v>3540</v>
      </c>
      <c r="H42" s="151">
        <f>IFERROR(__xludf.DUMMYFUNCTION("""COMPUTED_VALUE"""),73087.0)</f>
        <v>73087</v>
      </c>
      <c r="I42" s="151">
        <f>IFERROR(__xludf.DUMMYFUNCTION("""COMPUTED_VALUE"""),325.0)</f>
        <v>325</v>
      </c>
      <c r="J42" s="151">
        <f>IFERROR(__xludf.DUMMYFUNCTION("""COMPUTED_VALUE"""),349.0)</f>
        <v>349</v>
      </c>
      <c r="K42" s="151">
        <f>IFERROR(__xludf.DUMMYFUNCTION("""COMPUTED_VALUE"""),9298.0)</f>
        <v>9298</v>
      </c>
      <c r="L42" s="151">
        <f>IFERROR(__xludf.DUMMYFUNCTION("""COMPUTED_VALUE"""),2168.0)</f>
        <v>2168</v>
      </c>
      <c r="M42" s="151">
        <f>IFERROR(__xludf.DUMMYFUNCTION("""COMPUTED_VALUE"""),51654.0)</f>
        <v>51654</v>
      </c>
      <c r="N42" s="151">
        <f>IFERROR(__xludf.DUMMYFUNCTION("""COMPUTED_VALUE"""),60952.0)</f>
        <v>60952</v>
      </c>
      <c r="O42" s="151">
        <f>IFERROR(__xludf.DUMMYFUNCTION("""COMPUTED_VALUE"""),51.0)</f>
        <v>51</v>
      </c>
      <c r="P42" s="151">
        <f>IFERROR(__xludf.DUMMYFUNCTION("""COMPUTED_VALUE"""),1095.0)</f>
        <v>1095</v>
      </c>
      <c r="Q42" s="151">
        <f>IFERROR(__xludf.DUMMYFUNCTION("""COMPUTED_VALUE"""),39.0)</f>
        <v>39</v>
      </c>
      <c r="R42" s="151">
        <f>IFERROR(__xludf.DUMMYFUNCTION("""COMPUTED_VALUE"""),611.0)</f>
        <v>611</v>
      </c>
      <c r="S42" s="151">
        <f>IFERROR(__xludf.DUMMYFUNCTION("""COMPUTED_VALUE"""),3.0)</f>
        <v>3</v>
      </c>
      <c r="T42" s="151">
        <f>IFERROR(__xludf.DUMMYFUNCTION("""COMPUTED_VALUE"""),122.0)</f>
        <v>122</v>
      </c>
      <c r="U42" s="151">
        <f>IFERROR(__xludf.DUMMYFUNCTION("""COMPUTED_VALUE"""),362.0)</f>
        <v>362</v>
      </c>
      <c r="V42" s="151">
        <f>IFERROR(__xludf.DUMMYFUNCTION("""COMPUTED_VALUE"""),360.0)</f>
        <v>360</v>
      </c>
      <c r="W42" s="151">
        <f>IFERROR(__xludf.DUMMYFUNCTION("""COMPUTED_VALUE"""),84.0)</f>
        <v>84</v>
      </c>
      <c r="X42" s="151">
        <f>IFERROR(__xludf.DUMMYFUNCTION("""COMPUTED_VALUE"""),58.0)</f>
        <v>58</v>
      </c>
      <c r="Y42" s="151">
        <f>IFERROR(__xludf.DUMMYFUNCTION("""COMPUTED_VALUE"""),14.0)</f>
        <v>14</v>
      </c>
      <c r="Z42" s="151">
        <f>IFERROR(__xludf.DUMMYFUNCTION("""COMPUTED_VALUE"""),378.0)</f>
        <v>378</v>
      </c>
    </row>
    <row r="43">
      <c r="A43" s="210">
        <f>IFERROR(__xludf.DUMMYFUNCTION("""COMPUTED_VALUE"""),43953.0)</f>
        <v>43953</v>
      </c>
      <c r="B43" s="151">
        <f>IFERROR(__xludf.DUMMYFUNCTION("""COMPUTED_VALUE"""),257.0)</f>
        <v>257</v>
      </c>
      <c r="C43" s="151">
        <f>IFERROR(__xludf.DUMMYFUNCTION("""COMPUTED_VALUE"""),381.0)</f>
        <v>381</v>
      </c>
      <c r="D43" s="151">
        <f>IFERROR(__xludf.DUMMYFUNCTION("""COMPUTED_VALUE"""),10687.0)</f>
        <v>10687</v>
      </c>
      <c r="E43" s="151">
        <f>IFERROR(__xludf.DUMMYFUNCTION("""COMPUTED_VALUE"""),1926.0)</f>
        <v>1926</v>
      </c>
      <c r="F43" s="151">
        <f>IFERROR(__xludf.DUMMYFUNCTION("""COMPUTED_VALUE"""),64583.0)</f>
        <v>64583</v>
      </c>
      <c r="G43" s="151">
        <f>IFERROR(__xludf.DUMMYFUNCTION("""COMPUTED_VALUE"""),2183.0)</f>
        <v>2183</v>
      </c>
      <c r="H43" s="151">
        <f>IFERROR(__xludf.DUMMYFUNCTION("""COMPUTED_VALUE"""),75270.0)</f>
        <v>75270</v>
      </c>
      <c r="I43" s="151">
        <f>IFERROR(__xludf.DUMMYFUNCTION("""COMPUTED_VALUE"""),192.0)</f>
        <v>192</v>
      </c>
      <c r="J43" s="151">
        <f>IFERROR(__xludf.DUMMYFUNCTION("""COMPUTED_VALUE"""),289.0)</f>
        <v>289</v>
      </c>
      <c r="K43" s="151">
        <f>IFERROR(__xludf.DUMMYFUNCTION("""COMPUTED_VALUE"""),9490.0)</f>
        <v>9490</v>
      </c>
      <c r="L43" s="151">
        <f>IFERROR(__xludf.DUMMYFUNCTION("""COMPUTED_VALUE"""),1274.0)</f>
        <v>1274</v>
      </c>
      <c r="M43" s="151">
        <f>IFERROR(__xludf.DUMMYFUNCTION("""COMPUTED_VALUE"""),52928.0)</f>
        <v>52928</v>
      </c>
      <c r="N43" s="151">
        <f>IFERROR(__xludf.DUMMYFUNCTION("""COMPUTED_VALUE"""),62418.0)</f>
        <v>62418</v>
      </c>
      <c r="O43" s="151">
        <f>IFERROR(__xludf.DUMMYFUNCTION("""COMPUTED_VALUE"""),36.0)</f>
        <v>36</v>
      </c>
      <c r="P43" s="151">
        <f>IFERROR(__xludf.DUMMYFUNCTION("""COMPUTED_VALUE"""),1131.0)</f>
        <v>1131</v>
      </c>
      <c r="Q43" s="151">
        <f>IFERROR(__xludf.DUMMYFUNCTION("""COMPUTED_VALUE"""),38.0)</f>
        <v>38</v>
      </c>
      <c r="R43" s="151">
        <f>IFERROR(__xludf.DUMMYFUNCTION("""COMPUTED_VALUE"""),649.0)</f>
        <v>649</v>
      </c>
      <c r="S43" s="151">
        <f>IFERROR(__xludf.DUMMYFUNCTION("""COMPUTED_VALUE"""),5.0)</f>
        <v>5</v>
      </c>
      <c r="T43" s="151">
        <f>IFERROR(__xludf.DUMMYFUNCTION("""COMPUTED_VALUE"""),127.0)</f>
        <v>127</v>
      </c>
      <c r="U43" s="151">
        <f>IFERROR(__xludf.DUMMYFUNCTION("""COMPUTED_VALUE"""),355.0)</f>
        <v>355</v>
      </c>
      <c r="V43" s="151">
        <f>IFERROR(__xludf.DUMMYFUNCTION("""COMPUTED_VALUE"""),357.0)</f>
        <v>357</v>
      </c>
      <c r="W43" s="151">
        <f>IFERROR(__xludf.DUMMYFUNCTION("""COMPUTED_VALUE"""),91.0)</f>
        <v>91</v>
      </c>
      <c r="X43" s="151">
        <f>IFERROR(__xludf.DUMMYFUNCTION("""COMPUTED_VALUE"""),62.0)</f>
        <v>62</v>
      </c>
      <c r="Y43" s="151">
        <f>IFERROR(__xludf.DUMMYFUNCTION("""COMPUTED_VALUE"""),24.0)</f>
        <v>24</v>
      </c>
      <c r="Z43" s="151">
        <f>IFERROR(__xludf.DUMMYFUNCTION("""COMPUTED_VALUE"""),402.0)</f>
        <v>402</v>
      </c>
    </row>
    <row r="44">
      <c r="A44" s="210">
        <f>IFERROR(__xludf.DUMMYFUNCTION("""COMPUTED_VALUE"""),43954.0)</f>
        <v>43954</v>
      </c>
      <c r="B44" s="151">
        <f>IFERROR(__xludf.DUMMYFUNCTION("""COMPUTED_VALUE"""),283.0)</f>
        <v>283</v>
      </c>
      <c r="C44" s="151">
        <f>IFERROR(__xludf.DUMMYFUNCTION("""COMPUTED_VALUE"""),331.0)</f>
        <v>331</v>
      </c>
      <c r="D44" s="151">
        <f>IFERROR(__xludf.DUMMYFUNCTION("""COMPUTED_VALUE"""),10970.0)</f>
        <v>10970</v>
      </c>
      <c r="E44" s="151">
        <f>IFERROR(__xludf.DUMMYFUNCTION("""COMPUTED_VALUE"""),2160.0)</f>
        <v>2160</v>
      </c>
      <c r="F44" s="151">
        <f>IFERROR(__xludf.DUMMYFUNCTION("""COMPUTED_VALUE"""),66743.0)</f>
        <v>66743</v>
      </c>
      <c r="G44" s="151">
        <f>IFERROR(__xludf.DUMMYFUNCTION("""COMPUTED_VALUE"""),2443.0)</f>
        <v>2443</v>
      </c>
      <c r="H44" s="151">
        <f>IFERROR(__xludf.DUMMYFUNCTION("""COMPUTED_VALUE"""),77713.0)</f>
        <v>77713</v>
      </c>
      <c r="I44" s="151">
        <f>IFERROR(__xludf.DUMMYFUNCTION("""COMPUTED_VALUE"""),183.0)</f>
        <v>183</v>
      </c>
      <c r="J44" s="151">
        <f>IFERROR(__xludf.DUMMYFUNCTION("""COMPUTED_VALUE"""),233.0)</f>
        <v>233</v>
      </c>
      <c r="K44" s="151">
        <f>IFERROR(__xludf.DUMMYFUNCTION("""COMPUTED_VALUE"""),9673.0)</f>
        <v>9673</v>
      </c>
      <c r="L44" s="151">
        <f>IFERROR(__xludf.DUMMYFUNCTION("""COMPUTED_VALUE"""),1576.0)</f>
        <v>1576</v>
      </c>
      <c r="M44" s="151">
        <f>IFERROR(__xludf.DUMMYFUNCTION("""COMPUTED_VALUE"""),54504.0)</f>
        <v>54504</v>
      </c>
      <c r="N44" s="151">
        <f>IFERROR(__xludf.DUMMYFUNCTION("""COMPUTED_VALUE"""),64177.0)</f>
        <v>64177</v>
      </c>
      <c r="O44" s="151">
        <f>IFERROR(__xludf.DUMMYFUNCTION("""COMPUTED_VALUE"""),31.0)</f>
        <v>31</v>
      </c>
      <c r="P44" s="151">
        <f>IFERROR(__xludf.DUMMYFUNCTION("""COMPUTED_VALUE"""),1162.0)</f>
        <v>1162</v>
      </c>
      <c r="Q44" s="151">
        <f>IFERROR(__xludf.DUMMYFUNCTION("""COMPUTED_VALUE"""),26.0)</f>
        <v>26</v>
      </c>
      <c r="R44" s="151">
        <f>IFERROR(__xludf.DUMMYFUNCTION("""COMPUTED_VALUE"""),675.0)</f>
        <v>675</v>
      </c>
      <c r="S44" s="151">
        <f>IFERROR(__xludf.DUMMYFUNCTION("""COMPUTED_VALUE"""),8.0)</f>
        <v>8</v>
      </c>
      <c r="T44" s="151">
        <f>IFERROR(__xludf.DUMMYFUNCTION("""COMPUTED_VALUE"""),135.0)</f>
        <v>135</v>
      </c>
      <c r="U44" s="151">
        <f>IFERROR(__xludf.DUMMYFUNCTION("""COMPUTED_VALUE"""),352.0)</f>
        <v>352</v>
      </c>
      <c r="V44" s="151">
        <f>IFERROR(__xludf.DUMMYFUNCTION("""COMPUTED_VALUE"""),356.0)</f>
        <v>356</v>
      </c>
      <c r="W44" s="151">
        <f>IFERROR(__xludf.DUMMYFUNCTION("""COMPUTED_VALUE"""),90.0)</f>
        <v>90</v>
      </c>
      <c r="X44" s="151">
        <f>IFERROR(__xludf.DUMMYFUNCTION("""COMPUTED_VALUE"""),61.0)</f>
        <v>61</v>
      </c>
      <c r="Y44" s="151">
        <f>IFERROR(__xludf.DUMMYFUNCTION("""COMPUTED_VALUE"""),21.0)</f>
        <v>21</v>
      </c>
      <c r="Z44" s="151">
        <f>IFERROR(__xludf.DUMMYFUNCTION("""COMPUTED_VALUE"""),423.0)</f>
        <v>423</v>
      </c>
    </row>
    <row r="45">
      <c r="A45" s="210">
        <f>IFERROR(__xludf.DUMMYFUNCTION("""COMPUTED_VALUE"""),43955.0)</f>
        <v>43955</v>
      </c>
      <c r="B45" s="151">
        <f>IFERROR(__xludf.DUMMYFUNCTION("""COMPUTED_VALUE"""),387.0)</f>
        <v>387</v>
      </c>
      <c r="C45" s="151">
        <f>IFERROR(__xludf.DUMMYFUNCTION("""COMPUTED_VALUE"""),309.0)</f>
        <v>309</v>
      </c>
      <c r="D45" s="151">
        <f>IFERROR(__xludf.DUMMYFUNCTION("""COMPUTED_VALUE"""),11357.0)</f>
        <v>11357</v>
      </c>
      <c r="E45" s="151">
        <f>IFERROR(__xludf.DUMMYFUNCTION("""COMPUTED_VALUE"""),2098.0)</f>
        <v>2098</v>
      </c>
      <c r="F45" s="151">
        <f>IFERROR(__xludf.DUMMYFUNCTION("""COMPUTED_VALUE"""),68841.0)</f>
        <v>68841</v>
      </c>
      <c r="G45" s="151">
        <f>IFERROR(__xludf.DUMMYFUNCTION("""COMPUTED_VALUE"""),2485.0)</f>
        <v>2485</v>
      </c>
      <c r="H45" s="151">
        <f>IFERROR(__xludf.DUMMYFUNCTION("""COMPUTED_VALUE"""),80198.0)</f>
        <v>80198</v>
      </c>
      <c r="I45" s="151">
        <f>IFERROR(__xludf.DUMMYFUNCTION("""COMPUTED_VALUE"""),290.0)</f>
        <v>290</v>
      </c>
      <c r="J45" s="151">
        <f>IFERROR(__xludf.DUMMYFUNCTION("""COMPUTED_VALUE"""),222.0)</f>
        <v>222</v>
      </c>
      <c r="K45" s="151">
        <f>IFERROR(__xludf.DUMMYFUNCTION("""COMPUTED_VALUE"""),9963.0)</f>
        <v>9963</v>
      </c>
      <c r="L45" s="151">
        <f>IFERROR(__xludf.DUMMYFUNCTION("""COMPUTED_VALUE"""),1560.0)</f>
        <v>1560</v>
      </c>
      <c r="M45" s="151">
        <f>IFERROR(__xludf.DUMMYFUNCTION("""COMPUTED_VALUE"""),56064.0)</f>
        <v>56064</v>
      </c>
      <c r="N45" s="151">
        <f>IFERROR(__xludf.DUMMYFUNCTION("""COMPUTED_VALUE"""),66027.0)</f>
        <v>66027</v>
      </c>
      <c r="O45" s="151">
        <f>IFERROR(__xludf.DUMMYFUNCTION("""COMPUTED_VALUE"""),30.0)</f>
        <v>30</v>
      </c>
      <c r="P45" s="151">
        <f>IFERROR(__xludf.DUMMYFUNCTION("""COMPUTED_VALUE"""),1192.0)</f>
        <v>1192</v>
      </c>
      <c r="Q45" s="151">
        <f>IFERROR(__xludf.DUMMYFUNCTION("""COMPUTED_VALUE"""),31.0)</f>
        <v>31</v>
      </c>
      <c r="R45" s="151">
        <f>IFERROR(__xludf.DUMMYFUNCTION("""COMPUTED_VALUE"""),706.0)</f>
        <v>706</v>
      </c>
      <c r="S45" s="151">
        <f>IFERROR(__xludf.DUMMYFUNCTION("""COMPUTED_VALUE"""),6.0)</f>
        <v>6</v>
      </c>
      <c r="T45" s="151">
        <f>IFERROR(__xludf.DUMMYFUNCTION("""COMPUTED_VALUE"""),141.0)</f>
        <v>141</v>
      </c>
      <c r="U45" s="151">
        <f>IFERROR(__xludf.DUMMYFUNCTION("""COMPUTED_VALUE"""),345.0)</f>
        <v>345</v>
      </c>
      <c r="V45" s="151">
        <f>IFERROR(__xludf.DUMMYFUNCTION("""COMPUTED_VALUE"""),351.0)</f>
        <v>351</v>
      </c>
      <c r="W45" s="151">
        <f>IFERROR(__xludf.DUMMYFUNCTION("""COMPUTED_VALUE"""),88.0)</f>
        <v>88</v>
      </c>
      <c r="X45" s="151">
        <f>IFERROR(__xludf.DUMMYFUNCTION("""COMPUTED_VALUE"""),57.0)</f>
        <v>57</v>
      </c>
      <c r="Y45" s="151">
        <f>IFERROR(__xludf.DUMMYFUNCTION("""COMPUTED_VALUE"""),18.0)</f>
        <v>18</v>
      </c>
      <c r="Z45" s="151">
        <f>IFERROR(__xludf.DUMMYFUNCTION("""COMPUTED_VALUE"""),441.0)</f>
        <v>441</v>
      </c>
    </row>
    <row r="46">
      <c r="A46" s="210">
        <f>IFERROR(__xludf.DUMMYFUNCTION("""COMPUTED_VALUE"""),43956.0)</f>
        <v>43956</v>
      </c>
      <c r="B46" s="151">
        <f>IFERROR(__xludf.DUMMYFUNCTION("""COMPUTED_VALUE"""),433.0)</f>
        <v>433</v>
      </c>
      <c r="C46" s="151">
        <f>IFERROR(__xludf.DUMMYFUNCTION("""COMPUTED_VALUE"""),368.0)</f>
        <v>368</v>
      </c>
      <c r="D46" s="151">
        <f>IFERROR(__xludf.DUMMYFUNCTION("""COMPUTED_VALUE"""),11790.0)</f>
        <v>11790</v>
      </c>
      <c r="E46" s="151">
        <f>IFERROR(__xludf.DUMMYFUNCTION("""COMPUTED_VALUE"""),2873.0)</f>
        <v>2873</v>
      </c>
      <c r="F46" s="151">
        <f>IFERROR(__xludf.DUMMYFUNCTION("""COMPUTED_VALUE"""),71714.0)</f>
        <v>71714</v>
      </c>
      <c r="G46" s="151">
        <f>IFERROR(__xludf.DUMMYFUNCTION("""COMPUTED_VALUE"""),3306.0)</f>
        <v>3306</v>
      </c>
      <c r="H46" s="151">
        <f>IFERROR(__xludf.DUMMYFUNCTION("""COMPUTED_VALUE"""),83504.0)</f>
        <v>83504</v>
      </c>
      <c r="I46" s="151">
        <f>IFERROR(__xludf.DUMMYFUNCTION("""COMPUTED_VALUE"""),299.0)</f>
        <v>299</v>
      </c>
      <c r="J46" s="151">
        <f>IFERROR(__xludf.DUMMYFUNCTION("""COMPUTED_VALUE"""),257.0)</f>
        <v>257</v>
      </c>
      <c r="K46" s="151">
        <f>IFERROR(__xludf.DUMMYFUNCTION("""COMPUTED_VALUE"""),10262.0)</f>
        <v>10262</v>
      </c>
      <c r="L46" s="151">
        <f>IFERROR(__xludf.DUMMYFUNCTION("""COMPUTED_VALUE"""),1958.0)</f>
        <v>1958</v>
      </c>
      <c r="M46" s="151">
        <f>IFERROR(__xludf.DUMMYFUNCTION("""COMPUTED_VALUE"""),58022.0)</f>
        <v>58022</v>
      </c>
      <c r="N46" s="151">
        <f>IFERROR(__xludf.DUMMYFUNCTION("""COMPUTED_VALUE"""),68284.0)</f>
        <v>68284</v>
      </c>
      <c r="O46" s="151">
        <f>IFERROR(__xludf.DUMMYFUNCTION("""COMPUTED_VALUE"""),29.0)</f>
        <v>29</v>
      </c>
      <c r="P46" s="151">
        <f>IFERROR(__xludf.DUMMYFUNCTION("""COMPUTED_VALUE"""),1221.0)</f>
        <v>1221</v>
      </c>
      <c r="Q46" s="151">
        <f>IFERROR(__xludf.DUMMYFUNCTION("""COMPUTED_VALUE"""),32.0)</f>
        <v>32</v>
      </c>
      <c r="R46" s="151">
        <f>IFERROR(__xludf.DUMMYFUNCTION("""COMPUTED_VALUE"""),738.0)</f>
        <v>738</v>
      </c>
      <c r="S46" s="151">
        <f>IFERROR(__xludf.DUMMYFUNCTION("""COMPUTED_VALUE"""),6.0)</f>
        <v>6</v>
      </c>
      <c r="T46" s="151">
        <f>IFERROR(__xludf.DUMMYFUNCTION("""COMPUTED_VALUE"""),147.0)</f>
        <v>147</v>
      </c>
      <c r="U46" s="151">
        <f>IFERROR(__xludf.DUMMYFUNCTION("""COMPUTED_VALUE"""),336.0)</f>
        <v>336</v>
      </c>
      <c r="V46" s="151">
        <f>IFERROR(__xludf.DUMMYFUNCTION("""COMPUTED_VALUE"""),344.0)</f>
        <v>344</v>
      </c>
      <c r="W46" s="151">
        <f>IFERROR(__xludf.DUMMYFUNCTION("""COMPUTED_VALUE"""),82.0)</f>
        <v>82</v>
      </c>
      <c r="X46" s="151">
        <f>IFERROR(__xludf.DUMMYFUNCTION("""COMPUTED_VALUE"""),54.0)</f>
        <v>54</v>
      </c>
      <c r="Y46" s="151">
        <f>IFERROR(__xludf.DUMMYFUNCTION("""COMPUTED_VALUE"""),16.0)</f>
        <v>16</v>
      </c>
      <c r="Z46" s="151">
        <f>IFERROR(__xludf.DUMMYFUNCTION("""COMPUTED_VALUE"""),457.0)</f>
        <v>457</v>
      </c>
    </row>
    <row r="47">
      <c r="A47" s="210">
        <f>IFERROR(__xludf.DUMMYFUNCTION("""COMPUTED_VALUE"""),43957.0)</f>
        <v>43957</v>
      </c>
      <c r="B47" s="151">
        <f>IFERROR(__xludf.DUMMYFUNCTION("""COMPUTED_VALUE"""),488.0)</f>
        <v>488</v>
      </c>
      <c r="C47" s="151">
        <f>IFERROR(__xludf.DUMMYFUNCTION("""COMPUTED_VALUE"""),436.0)</f>
        <v>436</v>
      </c>
      <c r="D47" s="151">
        <f>IFERROR(__xludf.DUMMYFUNCTION("""COMPUTED_VALUE"""),12278.0)</f>
        <v>12278</v>
      </c>
      <c r="E47" s="151">
        <f>IFERROR(__xludf.DUMMYFUNCTION("""COMPUTED_VALUE"""),2830.0)</f>
        <v>2830</v>
      </c>
      <c r="F47" s="151">
        <f>IFERROR(__xludf.DUMMYFUNCTION("""COMPUTED_VALUE"""),74544.0)</f>
        <v>74544</v>
      </c>
      <c r="G47" s="151">
        <f>IFERROR(__xludf.DUMMYFUNCTION("""COMPUTED_VALUE"""),3318.0)</f>
        <v>3318</v>
      </c>
      <c r="H47" s="151">
        <f>IFERROR(__xludf.DUMMYFUNCTION("""COMPUTED_VALUE"""),86822.0)</f>
        <v>86822</v>
      </c>
      <c r="I47" s="151">
        <f>IFERROR(__xludf.DUMMYFUNCTION("""COMPUTED_VALUE"""),340.0)</f>
        <v>340</v>
      </c>
      <c r="J47" s="151">
        <f>IFERROR(__xludf.DUMMYFUNCTION("""COMPUTED_VALUE"""),310.0)</f>
        <v>310</v>
      </c>
      <c r="K47" s="151">
        <f>IFERROR(__xludf.DUMMYFUNCTION("""COMPUTED_VALUE"""),10602.0)</f>
        <v>10602</v>
      </c>
      <c r="L47" s="151">
        <f>IFERROR(__xludf.DUMMYFUNCTION("""COMPUTED_VALUE"""),1917.0)</f>
        <v>1917</v>
      </c>
      <c r="M47" s="151">
        <f>IFERROR(__xludf.DUMMYFUNCTION("""COMPUTED_VALUE"""),59939.0)</f>
        <v>59939</v>
      </c>
      <c r="N47" s="151">
        <f>IFERROR(__xludf.DUMMYFUNCTION("""COMPUTED_VALUE"""),70541.0)</f>
        <v>70541</v>
      </c>
      <c r="O47" s="151">
        <f>IFERROR(__xludf.DUMMYFUNCTION("""COMPUTED_VALUE"""),28.0)</f>
        <v>28</v>
      </c>
      <c r="P47" s="151">
        <f>IFERROR(__xludf.DUMMYFUNCTION("""COMPUTED_VALUE"""),1249.0)</f>
        <v>1249</v>
      </c>
      <c r="Q47" s="151">
        <f>IFERROR(__xludf.DUMMYFUNCTION("""COMPUTED_VALUE"""),44.0)</f>
        <v>44</v>
      </c>
      <c r="R47" s="151">
        <f>IFERROR(__xludf.DUMMYFUNCTION("""COMPUTED_VALUE"""),782.0)</f>
        <v>782</v>
      </c>
      <c r="S47" s="151">
        <f>IFERROR(__xludf.DUMMYFUNCTION("""COMPUTED_VALUE"""),9.0)</f>
        <v>9</v>
      </c>
      <c r="T47" s="151">
        <f>IFERROR(__xludf.DUMMYFUNCTION("""COMPUTED_VALUE"""),156.0)</f>
        <v>156</v>
      </c>
      <c r="U47" s="151">
        <f>IFERROR(__xludf.DUMMYFUNCTION("""COMPUTED_VALUE"""),311.0)</f>
        <v>311</v>
      </c>
      <c r="V47" s="151">
        <f>IFERROR(__xludf.DUMMYFUNCTION("""COMPUTED_VALUE"""),331.0)</f>
        <v>331</v>
      </c>
      <c r="W47" s="151">
        <f>IFERROR(__xludf.DUMMYFUNCTION("""COMPUTED_VALUE"""),79.0)</f>
        <v>79</v>
      </c>
      <c r="X47" s="151">
        <f>IFERROR(__xludf.DUMMYFUNCTION("""COMPUTED_VALUE"""),54.0)</f>
        <v>54</v>
      </c>
      <c r="Y47" s="151">
        <f>IFERROR(__xludf.DUMMYFUNCTION("""COMPUTED_VALUE"""),21.0)</f>
        <v>21</v>
      </c>
      <c r="Z47" s="151">
        <f>IFERROR(__xludf.DUMMYFUNCTION("""COMPUTED_VALUE"""),478.0)</f>
        <v>478</v>
      </c>
    </row>
    <row r="48">
      <c r="A48" s="210">
        <f>IFERROR(__xludf.DUMMYFUNCTION("""COMPUTED_VALUE"""),43958.0)</f>
        <v>43958</v>
      </c>
      <c r="B48" s="151">
        <f>IFERROR(__xludf.DUMMYFUNCTION("""COMPUTED_VALUE"""),425.0)</f>
        <v>425</v>
      </c>
      <c r="C48" s="151">
        <f>IFERROR(__xludf.DUMMYFUNCTION("""COMPUTED_VALUE"""),449.0)</f>
        <v>449</v>
      </c>
      <c r="D48" s="151">
        <f>IFERROR(__xludf.DUMMYFUNCTION("""COMPUTED_VALUE"""),12703.0)</f>
        <v>12703</v>
      </c>
      <c r="E48" s="151">
        <f>IFERROR(__xludf.DUMMYFUNCTION("""COMPUTED_VALUE"""),2969.0)</f>
        <v>2969</v>
      </c>
      <c r="F48" s="151">
        <f>IFERROR(__xludf.DUMMYFUNCTION("""COMPUTED_VALUE"""),77513.0)</f>
        <v>77513</v>
      </c>
      <c r="G48" s="151">
        <f>IFERROR(__xludf.DUMMYFUNCTION("""COMPUTED_VALUE"""),3394.0)</f>
        <v>3394</v>
      </c>
      <c r="H48" s="151">
        <f>IFERROR(__xludf.DUMMYFUNCTION("""COMPUTED_VALUE"""),90216.0)</f>
        <v>90216</v>
      </c>
      <c r="I48" s="151">
        <f>IFERROR(__xludf.DUMMYFUNCTION("""COMPUTED_VALUE"""),270.0)</f>
        <v>270</v>
      </c>
      <c r="J48" s="151">
        <f>IFERROR(__xludf.DUMMYFUNCTION("""COMPUTED_VALUE"""),303.0)</f>
        <v>303</v>
      </c>
      <c r="K48" s="151">
        <f>IFERROR(__xludf.DUMMYFUNCTION("""COMPUTED_VALUE"""),10872.0)</f>
        <v>10872</v>
      </c>
      <c r="L48" s="151">
        <f>IFERROR(__xludf.DUMMYFUNCTION("""COMPUTED_VALUE"""),1960.0)</f>
        <v>1960</v>
      </c>
      <c r="M48" s="151">
        <f>IFERROR(__xludf.DUMMYFUNCTION("""COMPUTED_VALUE"""),61899.0)</f>
        <v>61899</v>
      </c>
      <c r="N48" s="151">
        <f>IFERROR(__xludf.DUMMYFUNCTION("""COMPUTED_VALUE"""),72771.0)</f>
        <v>72771</v>
      </c>
      <c r="O48" s="151">
        <f>IFERROR(__xludf.DUMMYFUNCTION("""COMPUTED_VALUE"""),36.0)</f>
        <v>36</v>
      </c>
      <c r="P48" s="151">
        <f>IFERROR(__xludf.DUMMYFUNCTION("""COMPUTED_VALUE"""),1285.0)</f>
        <v>1285</v>
      </c>
      <c r="Q48" s="151">
        <f>IFERROR(__xludf.DUMMYFUNCTION("""COMPUTED_VALUE"""),41.0)</f>
        <v>41</v>
      </c>
      <c r="R48" s="151">
        <f>IFERROR(__xludf.DUMMYFUNCTION("""COMPUTED_VALUE"""),823.0)</f>
        <v>823</v>
      </c>
      <c r="S48" s="151">
        <f>IFERROR(__xludf.DUMMYFUNCTION("""COMPUTED_VALUE"""),5.0)</f>
        <v>5</v>
      </c>
      <c r="T48" s="151">
        <f>IFERROR(__xludf.DUMMYFUNCTION("""COMPUTED_VALUE"""),161.0)</f>
        <v>161</v>
      </c>
      <c r="U48" s="151">
        <f>IFERROR(__xludf.DUMMYFUNCTION("""COMPUTED_VALUE"""),301.0)</f>
        <v>301</v>
      </c>
      <c r="V48" s="151">
        <f>IFERROR(__xludf.DUMMYFUNCTION("""COMPUTED_VALUE"""),316.0)</f>
        <v>316</v>
      </c>
      <c r="W48" s="151">
        <f>IFERROR(__xludf.DUMMYFUNCTION("""COMPUTED_VALUE"""),71.0)</f>
        <v>71</v>
      </c>
      <c r="X48" s="151">
        <f>IFERROR(__xludf.DUMMYFUNCTION("""COMPUTED_VALUE"""),52.0)</f>
        <v>52</v>
      </c>
      <c r="Y48" s="151">
        <f>IFERROR(__xludf.DUMMYFUNCTION("""COMPUTED_VALUE"""),21.0)</f>
        <v>21</v>
      </c>
      <c r="Z48" s="151">
        <f>IFERROR(__xludf.DUMMYFUNCTION("""COMPUTED_VALUE"""),499.0)</f>
        <v>499</v>
      </c>
    </row>
    <row r="49">
      <c r="A49" s="210">
        <f>IFERROR(__xludf.DUMMYFUNCTION("""COMPUTED_VALUE"""),43959.0)</f>
        <v>43959</v>
      </c>
      <c r="B49" s="151">
        <f>IFERROR(__xludf.DUMMYFUNCTION("""COMPUTED_VALUE"""),359.0)</f>
        <v>359</v>
      </c>
      <c r="C49" s="151">
        <f>IFERROR(__xludf.DUMMYFUNCTION("""COMPUTED_VALUE"""),424.0)</f>
        <v>424</v>
      </c>
      <c r="D49" s="151">
        <f>IFERROR(__xludf.DUMMYFUNCTION("""COMPUTED_VALUE"""),13062.0)</f>
        <v>13062</v>
      </c>
      <c r="E49" s="151">
        <f>IFERROR(__xludf.DUMMYFUNCTION("""COMPUTED_VALUE"""),2598.0)</f>
        <v>2598</v>
      </c>
      <c r="F49" s="151">
        <f>IFERROR(__xludf.DUMMYFUNCTION("""COMPUTED_VALUE"""),80111.0)</f>
        <v>80111</v>
      </c>
      <c r="G49" s="151">
        <f>IFERROR(__xludf.DUMMYFUNCTION("""COMPUTED_VALUE"""),2957.0)</f>
        <v>2957</v>
      </c>
      <c r="H49" s="151">
        <f>IFERROR(__xludf.DUMMYFUNCTION("""COMPUTED_VALUE"""),93173.0)</f>
        <v>93173</v>
      </c>
      <c r="I49" s="151">
        <f>IFERROR(__xludf.DUMMYFUNCTION("""COMPUTED_VALUE"""),230.0)</f>
        <v>230</v>
      </c>
      <c r="J49" s="151">
        <f>IFERROR(__xludf.DUMMYFUNCTION("""COMPUTED_VALUE"""),280.0)</f>
        <v>280</v>
      </c>
      <c r="K49" s="151">
        <f>IFERROR(__xludf.DUMMYFUNCTION("""COMPUTED_VALUE"""),11102.0)</f>
        <v>11102</v>
      </c>
      <c r="L49" s="151">
        <f>IFERROR(__xludf.DUMMYFUNCTION("""COMPUTED_VALUE"""),1737.0)</f>
        <v>1737</v>
      </c>
      <c r="M49" s="151">
        <f>IFERROR(__xludf.DUMMYFUNCTION("""COMPUTED_VALUE"""),63636.0)</f>
        <v>63636</v>
      </c>
      <c r="N49" s="151">
        <f>IFERROR(__xludf.DUMMYFUNCTION("""COMPUTED_VALUE"""),74738.0)</f>
        <v>74738</v>
      </c>
      <c r="O49" s="151">
        <f>IFERROR(__xludf.DUMMYFUNCTION("""COMPUTED_VALUE"""),30.0)</f>
        <v>30</v>
      </c>
      <c r="P49" s="151">
        <f>IFERROR(__xludf.DUMMYFUNCTION("""COMPUTED_VALUE"""),1315.0)</f>
        <v>1315</v>
      </c>
      <c r="Q49" s="151">
        <f>IFERROR(__xludf.DUMMYFUNCTION("""COMPUTED_VALUE"""),29.0)</f>
        <v>29</v>
      </c>
      <c r="R49" s="151">
        <f>IFERROR(__xludf.DUMMYFUNCTION("""COMPUTED_VALUE"""),852.0)</f>
        <v>852</v>
      </c>
      <c r="S49" s="151">
        <f>IFERROR(__xludf.DUMMYFUNCTION("""COMPUTED_VALUE"""),5.0)</f>
        <v>5</v>
      </c>
      <c r="T49" s="151">
        <f>IFERROR(__xludf.DUMMYFUNCTION("""COMPUTED_VALUE"""),166.0)</f>
        <v>166</v>
      </c>
      <c r="U49" s="151">
        <f>IFERROR(__xludf.DUMMYFUNCTION("""COMPUTED_VALUE"""),297.0)</f>
        <v>297</v>
      </c>
      <c r="V49" s="151">
        <f>IFERROR(__xludf.DUMMYFUNCTION("""COMPUTED_VALUE"""),303.0)</f>
        <v>303</v>
      </c>
      <c r="W49" s="151">
        <f>IFERROR(__xludf.DUMMYFUNCTION("""COMPUTED_VALUE"""),71.0)</f>
        <v>71</v>
      </c>
      <c r="X49" s="151">
        <f>IFERROR(__xludf.DUMMYFUNCTION("""COMPUTED_VALUE"""),53.0)</f>
        <v>53</v>
      </c>
      <c r="Y49" s="151">
        <f>IFERROR(__xludf.DUMMYFUNCTION("""COMPUTED_VALUE"""),22.0)</f>
        <v>22</v>
      </c>
      <c r="Z49" s="151">
        <f>IFERROR(__xludf.DUMMYFUNCTION("""COMPUTED_VALUE"""),521.0)</f>
        <v>521</v>
      </c>
    </row>
    <row r="50">
      <c r="A50" s="210">
        <f>IFERROR(__xludf.DUMMYFUNCTION("""COMPUTED_VALUE"""),43960.0)</f>
        <v>43960</v>
      </c>
      <c r="B50" s="151">
        <f>IFERROR(__xludf.DUMMYFUNCTION("""COMPUTED_VALUE"""),467.0)</f>
        <v>467</v>
      </c>
      <c r="C50" s="151">
        <f>IFERROR(__xludf.DUMMYFUNCTION("""COMPUTED_VALUE"""),417.0)</f>
        <v>417</v>
      </c>
      <c r="D50" s="151">
        <f>IFERROR(__xludf.DUMMYFUNCTION("""COMPUTED_VALUE"""),13529.0)</f>
        <v>13529</v>
      </c>
      <c r="E50" s="151">
        <f>IFERROR(__xludf.DUMMYFUNCTION("""COMPUTED_VALUE"""),3346.0)</f>
        <v>3346</v>
      </c>
      <c r="F50" s="151">
        <f>IFERROR(__xludf.DUMMYFUNCTION("""COMPUTED_VALUE"""),83457.0)</f>
        <v>83457</v>
      </c>
      <c r="G50" s="151">
        <f>IFERROR(__xludf.DUMMYFUNCTION("""COMPUTED_VALUE"""),3813.0)</f>
        <v>3813</v>
      </c>
      <c r="H50" s="151">
        <f>IFERROR(__xludf.DUMMYFUNCTION("""COMPUTED_VALUE"""),96986.0)</f>
        <v>96986</v>
      </c>
      <c r="I50" s="151">
        <f>IFERROR(__xludf.DUMMYFUNCTION("""COMPUTED_VALUE"""),290.0)</f>
        <v>290</v>
      </c>
      <c r="J50" s="151">
        <f>IFERROR(__xludf.DUMMYFUNCTION("""COMPUTED_VALUE"""),263.0)</f>
        <v>263</v>
      </c>
      <c r="K50" s="151">
        <f>IFERROR(__xludf.DUMMYFUNCTION("""COMPUTED_VALUE"""),11392.0)</f>
        <v>11392</v>
      </c>
      <c r="L50" s="151">
        <f>IFERROR(__xludf.DUMMYFUNCTION("""COMPUTED_VALUE"""),2256.0)</f>
        <v>2256</v>
      </c>
      <c r="M50" s="151">
        <f>IFERROR(__xludf.DUMMYFUNCTION("""COMPUTED_VALUE"""),65892.0)</f>
        <v>65892</v>
      </c>
      <c r="N50" s="151">
        <f>IFERROR(__xludf.DUMMYFUNCTION("""COMPUTED_VALUE"""),77284.0)</f>
        <v>77284</v>
      </c>
      <c r="O50" s="151">
        <f>IFERROR(__xludf.DUMMYFUNCTION("""COMPUTED_VALUE"""),22.0)</f>
        <v>22</v>
      </c>
      <c r="P50" s="151">
        <f>IFERROR(__xludf.DUMMYFUNCTION("""COMPUTED_VALUE"""),1337.0)</f>
        <v>1337</v>
      </c>
      <c r="Q50" s="151">
        <f>IFERROR(__xludf.DUMMYFUNCTION("""COMPUTED_VALUE"""),21.0)</f>
        <v>21</v>
      </c>
      <c r="R50" s="151">
        <f>IFERROR(__xludf.DUMMYFUNCTION("""COMPUTED_VALUE"""),873.0)</f>
        <v>873</v>
      </c>
      <c r="S50" s="151">
        <f>IFERROR(__xludf.DUMMYFUNCTION("""COMPUTED_VALUE"""),4.0)</f>
        <v>4</v>
      </c>
      <c r="T50" s="151">
        <f>IFERROR(__xludf.DUMMYFUNCTION("""COMPUTED_VALUE"""),170.0)</f>
        <v>170</v>
      </c>
      <c r="U50" s="151">
        <f>IFERROR(__xludf.DUMMYFUNCTION("""COMPUTED_VALUE"""),294.0)</f>
        <v>294</v>
      </c>
      <c r="V50" s="151">
        <f>IFERROR(__xludf.DUMMYFUNCTION("""COMPUTED_VALUE"""),297.0)</f>
        <v>297</v>
      </c>
      <c r="W50" s="151">
        <f>IFERROR(__xludf.DUMMYFUNCTION("""COMPUTED_VALUE"""),69.0)</f>
        <v>69</v>
      </c>
      <c r="X50" s="151">
        <f>IFERROR(__xludf.DUMMYFUNCTION("""COMPUTED_VALUE"""),51.0)</f>
        <v>51</v>
      </c>
      <c r="Y50" s="151">
        <f>IFERROR(__xludf.DUMMYFUNCTION("""COMPUTED_VALUE"""),15.0)</f>
        <v>15</v>
      </c>
      <c r="Z50" s="151">
        <f>IFERROR(__xludf.DUMMYFUNCTION("""COMPUTED_VALUE"""),536.0)</f>
        <v>536</v>
      </c>
    </row>
    <row r="51">
      <c r="A51" s="210">
        <f>IFERROR(__xludf.DUMMYFUNCTION("""COMPUTED_VALUE"""),43961.0)</f>
        <v>43961</v>
      </c>
      <c r="B51" s="151">
        <f>IFERROR(__xludf.DUMMYFUNCTION("""COMPUTED_VALUE"""),285.0)</f>
        <v>285</v>
      </c>
      <c r="C51" s="151">
        <f>IFERROR(__xludf.DUMMYFUNCTION("""COMPUTED_VALUE"""),370.0)</f>
        <v>370</v>
      </c>
      <c r="D51" s="151">
        <f>IFERROR(__xludf.DUMMYFUNCTION("""COMPUTED_VALUE"""),13814.0)</f>
        <v>13814</v>
      </c>
      <c r="E51" s="151">
        <f>IFERROR(__xludf.DUMMYFUNCTION("""COMPUTED_VALUE"""),2117.0)</f>
        <v>2117</v>
      </c>
      <c r="F51" s="151">
        <f>IFERROR(__xludf.DUMMYFUNCTION("""COMPUTED_VALUE"""),85574.0)</f>
        <v>85574</v>
      </c>
      <c r="G51" s="151">
        <f>IFERROR(__xludf.DUMMYFUNCTION("""COMPUTED_VALUE"""),2402.0)</f>
        <v>2402</v>
      </c>
      <c r="H51" s="151">
        <f>IFERROR(__xludf.DUMMYFUNCTION("""COMPUTED_VALUE"""),99388.0)</f>
        <v>99388</v>
      </c>
      <c r="I51" s="151">
        <f>IFERROR(__xludf.DUMMYFUNCTION("""COMPUTED_VALUE"""),189.0)</f>
        <v>189</v>
      </c>
      <c r="J51" s="151">
        <f>IFERROR(__xludf.DUMMYFUNCTION("""COMPUTED_VALUE"""),236.0)</f>
        <v>236</v>
      </c>
      <c r="K51" s="151">
        <f>IFERROR(__xludf.DUMMYFUNCTION("""COMPUTED_VALUE"""),11581.0)</f>
        <v>11581</v>
      </c>
      <c r="L51" s="151">
        <f>IFERROR(__xludf.DUMMYFUNCTION("""COMPUTED_VALUE"""),1523.0)</f>
        <v>1523</v>
      </c>
      <c r="M51" s="151">
        <f>IFERROR(__xludf.DUMMYFUNCTION("""COMPUTED_VALUE"""),67415.0)</f>
        <v>67415</v>
      </c>
      <c r="N51" s="151">
        <f>IFERROR(__xludf.DUMMYFUNCTION("""COMPUTED_VALUE"""),78996.0)</f>
        <v>78996</v>
      </c>
      <c r="O51" s="151">
        <f>IFERROR(__xludf.DUMMYFUNCTION("""COMPUTED_VALUE"""),20.0)</f>
        <v>20</v>
      </c>
      <c r="P51" s="151">
        <f>IFERROR(__xludf.DUMMYFUNCTION("""COMPUTED_VALUE"""),1357.0)</f>
        <v>1357</v>
      </c>
      <c r="Q51" s="151">
        <f>IFERROR(__xludf.DUMMYFUNCTION("""COMPUTED_VALUE"""),23.0)</f>
        <v>23</v>
      </c>
      <c r="R51" s="151">
        <f>IFERROR(__xludf.DUMMYFUNCTION("""COMPUTED_VALUE"""),896.0)</f>
        <v>896</v>
      </c>
      <c r="S51" s="151">
        <f>IFERROR(__xludf.DUMMYFUNCTION("""COMPUTED_VALUE"""),6.0)</f>
        <v>6</v>
      </c>
      <c r="T51" s="151">
        <f>IFERROR(__xludf.DUMMYFUNCTION("""COMPUTED_VALUE"""),176.0)</f>
        <v>176</v>
      </c>
      <c r="U51" s="151">
        <f>IFERROR(__xludf.DUMMYFUNCTION("""COMPUTED_VALUE"""),285.0)</f>
        <v>285</v>
      </c>
      <c r="V51" s="151">
        <f>IFERROR(__xludf.DUMMYFUNCTION("""COMPUTED_VALUE"""),292.0)</f>
        <v>292</v>
      </c>
      <c r="W51" s="151">
        <f>IFERROR(__xludf.DUMMYFUNCTION("""COMPUTED_VALUE"""),70.0)</f>
        <v>70</v>
      </c>
      <c r="X51" s="151">
        <f>IFERROR(__xludf.DUMMYFUNCTION("""COMPUTED_VALUE"""),49.0)</f>
        <v>49</v>
      </c>
      <c r="Y51" s="151">
        <f>IFERROR(__xludf.DUMMYFUNCTION("""COMPUTED_VALUE"""),13.0)</f>
        <v>13</v>
      </c>
      <c r="Z51" s="151">
        <f>IFERROR(__xludf.DUMMYFUNCTION("""COMPUTED_VALUE"""),549.0)</f>
        <v>549</v>
      </c>
    </row>
    <row r="52">
      <c r="A52" s="210">
        <f>IFERROR(__xludf.DUMMYFUNCTION("""COMPUTED_VALUE"""),43962.0)</f>
        <v>43962</v>
      </c>
      <c r="B52" s="151">
        <f>IFERROR(__xludf.DUMMYFUNCTION("""COMPUTED_VALUE"""),257.0)</f>
        <v>257</v>
      </c>
      <c r="C52" s="151">
        <f>IFERROR(__xludf.DUMMYFUNCTION("""COMPUTED_VALUE"""),336.0)</f>
        <v>336</v>
      </c>
      <c r="D52" s="151">
        <f>IFERROR(__xludf.DUMMYFUNCTION("""COMPUTED_VALUE"""),14071.0)</f>
        <v>14071</v>
      </c>
      <c r="E52" s="151">
        <f>IFERROR(__xludf.DUMMYFUNCTION("""COMPUTED_VALUE"""),1857.0)</f>
        <v>1857</v>
      </c>
      <c r="F52" s="151">
        <f>IFERROR(__xludf.DUMMYFUNCTION("""COMPUTED_VALUE"""),87431.0)</f>
        <v>87431</v>
      </c>
      <c r="G52" s="151">
        <f>IFERROR(__xludf.DUMMYFUNCTION("""COMPUTED_VALUE"""),2114.0)</f>
        <v>2114</v>
      </c>
      <c r="H52" s="151">
        <f>IFERROR(__xludf.DUMMYFUNCTION("""COMPUTED_VALUE"""),101502.0)</f>
        <v>101502</v>
      </c>
      <c r="I52" s="151">
        <f>IFERROR(__xludf.DUMMYFUNCTION("""COMPUTED_VALUE"""),174.0)</f>
        <v>174</v>
      </c>
      <c r="J52" s="151">
        <f>IFERROR(__xludf.DUMMYFUNCTION("""COMPUTED_VALUE"""),218.0)</f>
        <v>218</v>
      </c>
      <c r="K52" s="151">
        <f>IFERROR(__xludf.DUMMYFUNCTION("""COMPUTED_VALUE"""),11755.0)</f>
        <v>11755</v>
      </c>
      <c r="L52" s="151">
        <f>IFERROR(__xludf.DUMMYFUNCTION("""COMPUTED_VALUE"""),1301.0)</f>
        <v>1301</v>
      </c>
      <c r="M52" s="151">
        <f>IFERROR(__xludf.DUMMYFUNCTION("""COMPUTED_VALUE"""),68716.0)</f>
        <v>68716</v>
      </c>
      <c r="N52" s="151">
        <f>IFERROR(__xludf.DUMMYFUNCTION("""COMPUTED_VALUE"""),80471.0)</f>
        <v>80471</v>
      </c>
      <c r="O52" s="151">
        <f>IFERROR(__xludf.DUMMYFUNCTION("""COMPUTED_VALUE"""),31.0)</f>
        <v>31</v>
      </c>
      <c r="P52" s="151">
        <f>IFERROR(__xludf.DUMMYFUNCTION("""COMPUTED_VALUE"""),1388.0)</f>
        <v>1388</v>
      </c>
      <c r="Q52" s="151">
        <f>IFERROR(__xludf.DUMMYFUNCTION("""COMPUTED_VALUE"""),16.0)</f>
        <v>16</v>
      </c>
      <c r="R52" s="151">
        <f>IFERROR(__xludf.DUMMYFUNCTION("""COMPUTED_VALUE"""),912.0)</f>
        <v>912</v>
      </c>
      <c r="S52" s="151">
        <f>IFERROR(__xludf.DUMMYFUNCTION("""COMPUTED_VALUE"""),6.0)</f>
        <v>6</v>
      </c>
      <c r="T52" s="151">
        <f>IFERROR(__xludf.DUMMYFUNCTION("""COMPUTED_VALUE"""),182.0)</f>
        <v>182</v>
      </c>
      <c r="U52" s="151">
        <f>IFERROR(__xludf.DUMMYFUNCTION("""COMPUTED_VALUE"""),294.0)</f>
        <v>294</v>
      </c>
      <c r="V52" s="151">
        <f>IFERROR(__xludf.DUMMYFUNCTION("""COMPUTED_VALUE"""),291.0)</f>
        <v>291</v>
      </c>
      <c r="W52" s="151">
        <f>IFERROR(__xludf.DUMMYFUNCTION("""COMPUTED_VALUE"""),71.0)</f>
        <v>71</v>
      </c>
      <c r="X52" s="151">
        <f>IFERROR(__xludf.DUMMYFUNCTION("""COMPUTED_VALUE"""),49.0)</f>
        <v>49</v>
      </c>
      <c r="Y52" s="151">
        <f>IFERROR(__xludf.DUMMYFUNCTION("""COMPUTED_VALUE"""),15.0)</f>
        <v>15</v>
      </c>
      <c r="Z52" s="151">
        <f>IFERROR(__xludf.DUMMYFUNCTION("""COMPUTED_VALUE"""),564.0)</f>
        <v>564</v>
      </c>
    </row>
    <row r="53">
      <c r="A53" s="210">
        <f>IFERROR(__xludf.DUMMYFUNCTION("""COMPUTED_VALUE"""),43963.0)</f>
        <v>43963</v>
      </c>
      <c r="B53" s="151">
        <f>IFERROR(__xludf.DUMMYFUNCTION("""COMPUTED_VALUE"""),387.0)</f>
        <v>387</v>
      </c>
      <c r="C53" s="151">
        <f>IFERROR(__xludf.DUMMYFUNCTION("""COMPUTED_VALUE"""),310.0)</f>
        <v>310</v>
      </c>
      <c r="D53" s="151">
        <f>IFERROR(__xludf.DUMMYFUNCTION("""COMPUTED_VALUE"""),14458.0)</f>
        <v>14458</v>
      </c>
      <c r="E53" s="151">
        <f>IFERROR(__xludf.DUMMYFUNCTION("""COMPUTED_VALUE"""),2611.0)</f>
        <v>2611</v>
      </c>
      <c r="F53" s="151">
        <f>IFERROR(__xludf.DUMMYFUNCTION("""COMPUTED_VALUE"""),90042.0)</f>
        <v>90042</v>
      </c>
      <c r="G53" s="151">
        <f>IFERROR(__xludf.DUMMYFUNCTION("""COMPUTED_VALUE"""),2998.0)</f>
        <v>2998</v>
      </c>
      <c r="H53" s="151">
        <f>IFERROR(__xludf.DUMMYFUNCTION("""COMPUTED_VALUE"""),104500.0)</f>
        <v>104500</v>
      </c>
      <c r="I53" s="151">
        <f>IFERROR(__xludf.DUMMYFUNCTION("""COMPUTED_VALUE"""),224.0)</f>
        <v>224</v>
      </c>
      <c r="J53" s="151">
        <f>IFERROR(__xludf.DUMMYFUNCTION("""COMPUTED_VALUE"""),196.0)</f>
        <v>196</v>
      </c>
      <c r="K53" s="151">
        <f>IFERROR(__xludf.DUMMYFUNCTION("""COMPUTED_VALUE"""),11979.0)</f>
        <v>11979</v>
      </c>
      <c r="L53" s="151">
        <f>IFERROR(__xludf.DUMMYFUNCTION("""COMPUTED_VALUE"""),1702.0)</f>
        <v>1702</v>
      </c>
      <c r="M53" s="151">
        <f>IFERROR(__xludf.DUMMYFUNCTION("""COMPUTED_VALUE"""),70418.0)</f>
        <v>70418</v>
      </c>
      <c r="N53" s="151">
        <f>IFERROR(__xludf.DUMMYFUNCTION("""COMPUTED_VALUE"""),82397.0)</f>
        <v>82397</v>
      </c>
      <c r="O53" s="151">
        <f>IFERROR(__xludf.DUMMYFUNCTION("""COMPUTED_VALUE"""),23.0)</f>
        <v>23</v>
      </c>
      <c r="P53" s="151">
        <f>IFERROR(__xludf.DUMMYFUNCTION("""COMPUTED_VALUE"""),1411.0)</f>
        <v>1411</v>
      </c>
      <c r="Q53" s="151">
        <f>IFERROR(__xludf.DUMMYFUNCTION("""COMPUTED_VALUE"""),18.0)</f>
        <v>18</v>
      </c>
      <c r="R53" s="151">
        <f>IFERROR(__xludf.DUMMYFUNCTION("""COMPUTED_VALUE"""),930.0)</f>
        <v>930</v>
      </c>
      <c r="S53" s="151">
        <f>IFERROR(__xludf.DUMMYFUNCTION("""COMPUTED_VALUE"""),4.0)</f>
        <v>4</v>
      </c>
      <c r="T53" s="151">
        <f>IFERROR(__xludf.DUMMYFUNCTION("""COMPUTED_VALUE"""),186.0)</f>
        <v>186</v>
      </c>
      <c r="U53" s="151">
        <f>IFERROR(__xludf.DUMMYFUNCTION("""COMPUTED_VALUE"""),295.0)</f>
        <v>295</v>
      </c>
      <c r="V53" s="151">
        <f>IFERROR(__xludf.DUMMYFUNCTION("""COMPUTED_VALUE"""),291.0)</f>
        <v>291</v>
      </c>
      <c r="W53" s="151">
        <f>IFERROR(__xludf.DUMMYFUNCTION("""COMPUTED_VALUE"""),69.0)</f>
        <v>69</v>
      </c>
      <c r="X53" s="151">
        <f>IFERROR(__xludf.DUMMYFUNCTION("""COMPUTED_VALUE"""),48.0)</f>
        <v>48</v>
      </c>
      <c r="Y53" s="151">
        <f>IFERROR(__xludf.DUMMYFUNCTION("""COMPUTED_VALUE"""),22.0)</f>
        <v>22</v>
      </c>
      <c r="Z53" s="151">
        <f>IFERROR(__xludf.DUMMYFUNCTION("""COMPUTED_VALUE"""),586.0)</f>
        <v>586</v>
      </c>
    </row>
    <row r="54">
      <c r="A54" s="210">
        <f>IFERROR(__xludf.DUMMYFUNCTION("""COMPUTED_VALUE"""),43964.0)</f>
        <v>43964</v>
      </c>
      <c r="B54" s="151">
        <f>IFERROR(__xludf.DUMMYFUNCTION("""COMPUTED_VALUE"""),351.0)</f>
        <v>351</v>
      </c>
      <c r="C54" s="151">
        <f>IFERROR(__xludf.DUMMYFUNCTION("""COMPUTED_VALUE"""),332.0)</f>
        <v>332</v>
      </c>
      <c r="D54" s="151">
        <f>IFERROR(__xludf.DUMMYFUNCTION("""COMPUTED_VALUE"""),14809.0)</f>
        <v>14809</v>
      </c>
      <c r="E54" s="151">
        <f>IFERROR(__xludf.DUMMYFUNCTION("""COMPUTED_VALUE"""),3630.0)</f>
        <v>3630</v>
      </c>
      <c r="F54" s="151">
        <f>IFERROR(__xludf.DUMMYFUNCTION("""COMPUTED_VALUE"""),93672.0)</f>
        <v>93672</v>
      </c>
      <c r="G54" s="151">
        <f>IFERROR(__xludf.DUMMYFUNCTION("""COMPUTED_VALUE"""),3981.0)</f>
        <v>3981</v>
      </c>
      <c r="H54" s="151">
        <f>IFERROR(__xludf.DUMMYFUNCTION("""COMPUTED_VALUE"""),108481.0)</f>
        <v>108481</v>
      </c>
      <c r="I54" s="151">
        <f>IFERROR(__xludf.DUMMYFUNCTION("""COMPUTED_VALUE"""),199.0)</f>
        <v>199</v>
      </c>
      <c r="J54" s="151">
        <f>IFERROR(__xludf.DUMMYFUNCTION("""COMPUTED_VALUE"""),199.0)</f>
        <v>199</v>
      </c>
      <c r="K54" s="151">
        <f>IFERROR(__xludf.DUMMYFUNCTION("""COMPUTED_VALUE"""),12178.0)</f>
        <v>12178</v>
      </c>
      <c r="L54" s="151">
        <f>IFERROR(__xludf.DUMMYFUNCTION("""COMPUTED_VALUE"""),2001.0)</f>
        <v>2001</v>
      </c>
      <c r="M54" s="151">
        <f>IFERROR(__xludf.DUMMYFUNCTION("""COMPUTED_VALUE"""),72419.0)</f>
        <v>72419</v>
      </c>
      <c r="N54" s="151">
        <f>IFERROR(__xludf.DUMMYFUNCTION("""COMPUTED_VALUE"""),84597.0)</f>
        <v>84597</v>
      </c>
      <c r="O54" s="151">
        <f>IFERROR(__xludf.DUMMYFUNCTION("""COMPUTED_VALUE"""),23.0)</f>
        <v>23</v>
      </c>
      <c r="P54" s="151">
        <f>IFERROR(__xludf.DUMMYFUNCTION("""COMPUTED_VALUE"""),1434.0)</f>
        <v>1434</v>
      </c>
      <c r="Q54" s="151">
        <f>IFERROR(__xludf.DUMMYFUNCTION("""COMPUTED_VALUE"""),25.0)</f>
        <v>25</v>
      </c>
      <c r="R54" s="151">
        <f>IFERROR(__xludf.DUMMYFUNCTION("""COMPUTED_VALUE"""),955.0)</f>
        <v>955</v>
      </c>
      <c r="S54" s="151">
        <f>IFERROR(__xludf.DUMMYFUNCTION("""COMPUTED_VALUE"""),1.0)</f>
        <v>1</v>
      </c>
      <c r="T54" s="151">
        <f>IFERROR(__xludf.DUMMYFUNCTION("""COMPUTED_VALUE"""),187.0)</f>
        <v>187</v>
      </c>
      <c r="U54" s="151">
        <f>IFERROR(__xludf.DUMMYFUNCTION("""COMPUTED_VALUE"""),292.0)</f>
        <v>292</v>
      </c>
      <c r="V54" s="151">
        <f>IFERROR(__xludf.DUMMYFUNCTION("""COMPUTED_VALUE"""),294.0)</f>
        <v>294</v>
      </c>
      <c r="W54" s="151">
        <f>IFERROR(__xludf.DUMMYFUNCTION("""COMPUTED_VALUE"""),69.0)</f>
        <v>69</v>
      </c>
      <c r="X54" s="151">
        <f>IFERROR(__xludf.DUMMYFUNCTION("""COMPUTED_VALUE"""),49.0)</f>
        <v>49</v>
      </c>
      <c r="Y54" s="151">
        <f>IFERROR(__xludf.DUMMYFUNCTION("""COMPUTED_VALUE"""),13.0)</f>
        <v>13</v>
      </c>
      <c r="Z54" s="151">
        <f>IFERROR(__xludf.DUMMYFUNCTION("""COMPUTED_VALUE"""),599.0)</f>
        <v>599</v>
      </c>
    </row>
    <row r="55">
      <c r="A55" s="210">
        <f>IFERROR(__xludf.DUMMYFUNCTION("""COMPUTED_VALUE"""),43965.0)</f>
        <v>43965</v>
      </c>
      <c r="B55" s="151">
        <f>IFERROR(__xludf.DUMMYFUNCTION("""COMPUTED_VALUE"""),329.0)</f>
        <v>329</v>
      </c>
      <c r="C55" s="151">
        <f>IFERROR(__xludf.DUMMYFUNCTION("""COMPUTED_VALUE"""),356.0)</f>
        <v>356</v>
      </c>
      <c r="D55" s="151">
        <f>IFERROR(__xludf.DUMMYFUNCTION("""COMPUTED_VALUE"""),15138.0)</f>
        <v>15138</v>
      </c>
      <c r="E55" s="151">
        <f>IFERROR(__xludf.DUMMYFUNCTION("""COMPUTED_VALUE"""),3408.0)</f>
        <v>3408</v>
      </c>
      <c r="F55" s="151">
        <f>IFERROR(__xludf.DUMMYFUNCTION("""COMPUTED_VALUE"""),97080.0)</f>
        <v>97080</v>
      </c>
      <c r="G55" s="151">
        <f>IFERROR(__xludf.DUMMYFUNCTION("""COMPUTED_VALUE"""),3737.0)</f>
        <v>3737</v>
      </c>
      <c r="H55" s="151">
        <f>IFERROR(__xludf.DUMMYFUNCTION("""COMPUTED_VALUE"""),112218.0)</f>
        <v>112218</v>
      </c>
      <c r="I55" s="151">
        <f>IFERROR(__xludf.DUMMYFUNCTION("""COMPUTED_VALUE"""),230.0)</f>
        <v>230</v>
      </c>
      <c r="J55" s="151">
        <f>IFERROR(__xludf.DUMMYFUNCTION("""COMPUTED_VALUE"""),218.0)</f>
        <v>218</v>
      </c>
      <c r="K55" s="151">
        <f>IFERROR(__xludf.DUMMYFUNCTION("""COMPUTED_VALUE"""),12408.0)</f>
        <v>12408</v>
      </c>
      <c r="L55" s="151">
        <f>IFERROR(__xludf.DUMMYFUNCTION("""COMPUTED_VALUE"""),2015.0)</f>
        <v>2015</v>
      </c>
      <c r="M55" s="151">
        <f>IFERROR(__xludf.DUMMYFUNCTION("""COMPUTED_VALUE"""),74434.0)</f>
        <v>74434</v>
      </c>
      <c r="N55" s="151">
        <f>IFERROR(__xludf.DUMMYFUNCTION("""COMPUTED_VALUE"""),86842.0)</f>
        <v>86842</v>
      </c>
      <c r="O55" s="151">
        <f>IFERROR(__xludf.DUMMYFUNCTION("""COMPUTED_VALUE"""),19.0)</f>
        <v>19</v>
      </c>
      <c r="P55" s="151">
        <f>IFERROR(__xludf.DUMMYFUNCTION("""COMPUTED_VALUE"""),1453.0)</f>
        <v>1453</v>
      </c>
      <c r="Q55" s="151">
        <f>IFERROR(__xludf.DUMMYFUNCTION("""COMPUTED_VALUE"""),27.0)</f>
        <v>27</v>
      </c>
      <c r="R55" s="151">
        <f>IFERROR(__xludf.DUMMYFUNCTION("""COMPUTED_VALUE"""),982.0)</f>
        <v>982</v>
      </c>
      <c r="S55" s="151">
        <f>IFERROR(__xludf.DUMMYFUNCTION("""COMPUTED_VALUE"""),3.0)</f>
        <v>3</v>
      </c>
      <c r="T55" s="151">
        <f>IFERROR(__xludf.DUMMYFUNCTION("""COMPUTED_VALUE"""),190.0)</f>
        <v>190</v>
      </c>
      <c r="U55" s="151">
        <f>IFERROR(__xludf.DUMMYFUNCTION("""COMPUTED_VALUE"""),281.0)</f>
        <v>281</v>
      </c>
      <c r="V55" s="151">
        <f>IFERROR(__xludf.DUMMYFUNCTION("""COMPUTED_VALUE"""),289.0)</f>
        <v>289</v>
      </c>
      <c r="W55" s="151">
        <f>IFERROR(__xludf.DUMMYFUNCTION("""COMPUTED_VALUE"""),64.0)</f>
        <v>64</v>
      </c>
      <c r="X55" s="151">
        <f>IFERROR(__xludf.DUMMYFUNCTION("""COMPUTED_VALUE"""),45.0)</f>
        <v>45</v>
      </c>
      <c r="Y55" s="151">
        <f>IFERROR(__xludf.DUMMYFUNCTION("""COMPUTED_VALUE"""),15.0)</f>
        <v>15</v>
      </c>
      <c r="Z55" s="151">
        <f>IFERROR(__xludf.DUMMYFUNCTION("""COMPUTED_VALUE"""),614.0)</f>
        <v>614</v>
      </c>
    </row>
    <row r="56">
      <c r="A56" s="210">
        <f>IFERROR(__xludf.DUMMYFUNCTION("""COMPUTED_VALUE"""),43966.0)</f>
        <v>43966</v>
      </c>
      <c r="B56" s="151">
        <f>IFERROR(__xludf.DUMMYFUNCTION("""COMPUTED_VALUE"""),381.0)</f>
        <v>381</v>
      </c>
      <c r="C56" s="151">
        <f>IFERROR(__xludf.DUMMYFUNCTION("""COMPUTED_VALUE"""),354.0)</f>
        <v>354</v>
      </c>
      <c r="D56" s="151">
        <f>IFERROR(__xludf.DUMMYFUNCTION("""COMPUTED_VALUE"""),15519.0)</f>
        <v>15519</v>
      </c>
      <c r="E56" s="151">
        <f>IFERROR(__xludf.DUMMYFUNCTION("""COMPUTED_VALUE"""),3458.0)</f>
        <v>3458</v>
      </c>
      <c r="F56" s="151">
        <f>IFERROR(__xludf.DUMMYFUNCTION("""COMPUTED_VALUE"""),100538.0)</f>
        <v>100538</v>
      </c>
      <c r="G56" s="151">
        <f>IFERROR(__xludf.DUMMYFUNCTION("""COMPUTED_VALUE"""),3839.0)</f>
        <v>3839</v>
      </c>
      <c r="H56" s="151">
        <f>IFERROR(__xludf.DUMMYFUNCTION("""COMPUTED_VALUE"""),116057.0)</f>
        <v>116057</v>
      </c>
      <c r="I56" s="151">
        <f>IFERROR(__xludf.DUMMYFUNCTION("""COMPUTED_VALUE"""),232.0)</f>
        <v>232</v>
      </c>
      <c r="J56" s="151">
        <f>IFERROR(__xludf.DUMMYFUNCTION("""COMPUTED_VALUE"""),220.0)</f>
        <v>220</v>
      </c>
      <c r="K56" s="151">
        <f>IFERROR(__xludf.DUMMYFUNCTION("""COMPUTED_VALUE"""),12640.0)</f>
        <v>12640</v>
      </c>
      <c r="L56" s="151">
        <f>IFERROR(__xludf.DUMMYFUNCTION("""COMPUTED_VALUE"""),1805.0)</f>
        <v>1805</v>
      </c>
      <c r="M56" s="151">
        <f>IFERROR(__xludf.DUMMYFUNCTION("""COMPUTED_VALUE"""),76239.0)</f>
        <v>76239</v>
      </c>
      <c r="N56" s="151">
        <f>IFERROR(__xludf.DUMMYFUNCTION("""COMPUTED_VALUE"""),88879.0)</f>
        <v>88879</v>
      </c>
      <c r="O56" s="151">
        <f>IFERROR(__xludf.DUMMYFUNCTION("""COMPUTED_VALUE"""),24.0)</f>
        <v>24</v>
      </c>
      <c r="P56" s="151">
        <f>IFERROR(__xludf.DUMMYFUNCTION("""COMPUTED_VALUE"""),1477.0)</f>
        <v>1477</v>
      </c>
      <c r="Q56" s="151">
        <f>IFERROR(__xludf.DUMMYFUNCTION("""COMPUTED_VALUE"""),41.0)</f>
        <v>41</v>
      </c>
      <c r="R56" s="151">
        <f>IFERROR(__xludf.DUMMYFUNCTION("""COMPUTED_VALUE"""),1023.0)</f>
        <v>1023</v>
      </c>
      <c r="S56" s="151">
        <f>IFERROR(__xludf.DUMMYFUNCTION("""COMPUTED_VALUE"""),5.0)</f>
        <v>5</v>
      </c>
      <c r="T56" s="151">
        <f>IFERROR(__xludf.DUMMYFUNCTION("""COMPUTED_VALUE"""),195.0)</f>
        <v>195</v>
      </c>
      <c r="U56" s="151">
        <f>IFERROR(__xludf.DUMMYFUNCTION("""COMPUTED_VALUE"""),259.0)</f>
        <v>259</v>
      </c>
      <c r="V56" s="151">
        <f>IFERROR(__xludf.DUMMYFUNCTION("""COMPUTED_VALUE"""),277.0)</f>
        <v>277</v>
      </c>
      <c r="W56" s="151">
        <f>IFERROR(__xludf.DUMMYFUNCTION("""COMPUTED_VALUE"""),62.0)</f>
        <v>62</v>
      </c>
      <c r="X56" s="151">
        <f>IFERROR(__xludf.DUMMYFUNCTION("""COMPUTED_VALUE"""),45.0)</f>
        <v>45</v>
      </c>
      <c r="Y56" s="151">
        <f>IFERROR(__xludf.DUMMYFUNCTION("""COMPUTED_VALUE"""),14.0)</f>
        <v>14</v>
      </c>
      <c r="Z56" s="151">
        <f>IFERROR(__xludf.DUMMYFUNCTION("""COMPUTED_VALUE"""),628.0)</f>
        <v>628</v>
      </c>
    </row>
    <row r="57">
      <c r="A57" s="210">
        <f>IFERROR(__xludf.DUMMYFUNCTION("""COMPUTED_VALUE"""),43967.0)</f>
        <v>43967</v>
      </c>
      <c r="B57" s="151">
        <f>IFERROR(__xludf.DUMMYFUNCTION("""COMPUTED_VALUE"""),449.0)</f>
        <v>449</v>
      </c>
      <c r="C57" s="151">
        <f>IFERROR(__xludf.DUMMYFUNCTION("""COMPUTED_VALUE"""),386.0)</f>
        <v>386</v>
      </c>
      <c r="D57" s="151">
        <f>IFERROR(__xludf.DUMMYFUNCTION("""COMPUTED_VALUE"""),15968.0)</f>
        <v>15968</v>
      </c>
      <c r="E57" s="151">
        <f>IFERROR(__xludf.DUMMYFUNCTION("""COMPUTED_VALUE"""),4156.0)</f>
        <v>4156</v>
      </c>
      <c r="F57" s="151">
        <f>IFERROR(__xludf.DUMMYFUNCTION("""COMPUTED_VALUE"""),104694.0)</f>
        <v>104694</v>
      </c>
      <c r="G57" s="151">
        <f>IFERROR(__xludf.DUMMYFUNCTION("""COMPUTED_VALUE"""),4605.0)</f>
        <v>4605</v>
      </c>
      <c r="H57" s="151">
        <f>IFERROR(__xludf.DUMMYFUNCTION("""COMPUTED_VALUE"""),120662.0)</f>
        <v>120662</v>
      </c>
      <c r="I57" s="151">
        <f>IFERROR(__xludf.DUMMYFUNCTION("""COMPUTED_VALUE"""),247.0)</f>
        <v>247</v>
      </c>
      <c r="J57" s="151">
        <f>IFERROR(__xludf.DUMMYFUNCTION("""COMPUTED_VALUE"""),236.0)</f>
        <v>236</v>
      </c>
      <c r="K57" s="151">
        <f>IFERROR(__xludf.DUMMYFUNCTION("""COMPUTED_VALUE"""),12887.0)</f>
        <v>12887</v>
      </c>
      <c r="L57" s="151">
        <f>IFERROR(__xludf.DUMMYFUNCTION("""COMPUTED_VALUE"""),1962.0)</f>
        <v>1962</v>
      </c>
      <c r="M57" s="151">
        <f>IFERROR(__xludf.DUMMYFUNCTION("""COMPUTED_VALUE"""),78201.0)</f>
        <v>78201</v>
      </c>
      <c r="N57" s="151">
        <f>IFERROR(__xludf.DUMMYFUNCTION("""COMPUTED_VALUE"""),91088.0)</f>
        <v>91088</v>
      </c>
      <c r="O57" s="151">
        <f>IFERROR(__xludf.DUMMYFUNCTION("""COMPUTED_VALUE"""),25.0)</f>
        <v>25</v>
      </c>
      <c r="P57" s="151">
        <f>IFERROR(__xludf.DUMMYFUNCTION("""COMPUTED_VALUE"""),1502.0)</f>
        <v>1502</v>
      </c>
      <c r="Q57" s="151">
        <f>IFERROR(__xludf.DUMMYFUNCTION("""COMPUTED_VALUE"""),13.0)</f>
        <v>13</v>
      </c>
      <c r="R57" s="151">
        <f>IFERROR(__xludf.DUMMYFUNCTION("""COMPUTED_VALUE"""),1036.0)</f>
        <v>1036</v>
      </c>
      <c r="S57" s="151">
        <f>IFERROR(__xludf.DUMMYFUNCTION("""COMPUTED_VALUE"""),5.0)</f>
        <v>5</v>
      </c>
      <c r="T57" s="151">
        <f>IFERROR(__xludf.DUMMYFUNCTION("""COMPUTED_VALUE"""),200.0)</f>
        <v>200</v>
      </c>
      <c r="U57" s="151">
        <f>IFERROR(__xludf.DUMMYFUNCTION("""COMPUTED_VALUE"""),266.0)</f>
        <v>266</v>
      </c>
      <c r="V57" s="151">
        <f>IFERROR(__xludf.DUMMYFUNCTION("""COMPUTED_VALUE"""),269.0)</f>
        <v>269</v>
      </c>
      <c r="W57" s="151">
        <f>IFERROR(__xludf.DUMMYFUNCTION("""COMPUTED_VALUE"""),61.0)</f>
        <v>61</v>
      </c>
      <c r="X57" s="151">
        <f>IFERROR(__xludf.DUMMYFUNCTION("""COMPUTED_VALUE"""),46.0)</f>
        <v>46</v>
      </c>
      <c r="Y57" s="151">
        <f>IFERROR(__xludf.DUMMYFUNCTION("""COMPUTED_VALUE"""),15.0)</f>
        <v>15</v>
      </c>
      <c r="Z57" s="151">
        <f>IFERROR(__xludf.DUMMYFUNCTION("""COMPUTED_VALUE"""),643.0)</f>
        <v>643</v>
      </c>
    </row>
    <row r="58">
      <c r="A58" s="210">
        <f>IFERROR(__xludf.DUMMYFUNCTION("""COMPUTED_VALUE"""),43968.0)</f>
        <v>43968</v>
      </c>
      <c r="B58" s="151">
        <f>IFERROR(__xludf.DUMMYFUNCTION("""COMPUTED_VALUE"""),240.0)</f>
        <v>240</v>
      </c>
      <c r="C58" s="151">
        <f>IFERROR(__xludf.DUMMYFUNCTION("""COMPUTED_VALUE"""),357.0)</f>
        <v>357</v>
      </c>
      <c r="D58" s="151">
        <f>IFERROR(__xludf.DUMMYFUNCTION("""COMPUTED_VALUE"""),16208.0)</f>
        <v>16208</v>
      </c>
      <c r="E58" s="151">
        <f>IFERROR(__xludf.DUMMYFUNCTION("""COMPUTED_VALUE"""),2768.0)</f>
        <v>2768</v>
      </c>
      <c r="F58" s="151">
        <f>IFERROR(__xludf.DUMMYFUNCTION("""COMPUTED_VALUE"""),107462.0)</f>
        <v>107462</v>
      </c>
      <c r="G58" s="151">
        <f>IFERROR(__xludf.DUMMYFUNCTION("""COMPUTED_VALUE"""),3008.0)</f>
        <v>3008</v>
      </c>
      <c r="H58" s="151">
        <f>IFERROR(__xludf.DUMMYFUNCTION("""COMPUTED_VALUE"""),123670.0)</f>
        <v>123670</v>
      </c>
      <c r="I58" s="151">
        <f>IFERROR(__xludf.DUMMYFUNCTION("""COMPUTED_VALUE"""),126.0)</f>
        <v>126</v>
      </c>
      <c r="J58" s="151">
        <f>IFERROR(__xludf.DUMMYFUNCTION("""COMPUTED_VALUE"""),202.0)</f>
        <v>202</v>
      </c>
      <c r="K58" s="151">
        <f>IFERROR(__xludf.DUMMYFUNCTION("""COMPUTED_VALUE"""),13013.0)</f>
        <v>13013</v>
      </c>
      <c r="L58" s="151">
        <f>IFERROR(__xludf.DUMMYFUNCTION("""COMPUTED_VALUE"""),1555.0)</f>
        <v>1555</v>
      </c>
      <c r="M58" s="151">
        <f>IFERROR(__xludf.DUMMYFUNCTION("""COMPUTED_VALUE"""),79756.0)</f>
        <v>79756</v>
      </c>
      <c r="N58" s="151">
        <f>IFERROR(__xludf.DUMMYFUNCTION("""COMPUTED_VALUE"""),92769.0)</f>
        <v>92769</v>
      </c>
      <c r="O58" s="151">
        <f>IFERROR(__xludf.DUMMYFUNCTION("""COMPUTED_VALUE"""),17.0)</f>
        <v>17</v>
      </c>
      <c r="P58" s="151">
        <f>IFERROR(__xludf.DUMMYFUNCTION("""COMPUTED_VALUE"""),1519.0)</f>
        <v>1519</v>
      </c>
      <c r="Q58" s="151">
        <f>IFERROR(__xludf.DUMMYFUNCTION("""COMPUTED_VALUE"""),8.0)</f>
        <v>8</v>
      </c>
      <c r="R58" s="151">
        <f>IFERROR(__xludf.DUMMYFUNCTION("""COMPUTED_VALUE"""),1044.0)</f>
        <v>1044</v>
      </c>
      <c r="S58" s="151">
        <f>IFERROR(__xludf.DUMMYFUNCTION("""COMPUTED_VALUE"""),5.0)</f>
        <v>5</v>
      </c>
      <c r="T58" s="151">
        <f>IFERROR(__xludf.DUMMYFUNCTION("""COMPUTED_VALUE"""),205.0)</f>
        <v>205</v>
      </c>
      <c r="U58" s="151">
        <f>IFERROR(__xludf.DUMMYFUNCTION("""COMPUTED_VALUE"""),270.0)</f>
        <v>270</v>
      </c>
      <c r="V58" s="151">
        <f>IFERROR(__xludf.DUMMYFUNCTION("""COMPUTED_VALUE"""),265.0)</f>
        <v>265</v>
      </c>
      <c r="W58" s="151">
        <f>IFERROR(__xludf.DUMMYFUNCTION("""COMPUTED_VALUE"""),59.0)</f>
        <v>59</v>
      </c>
      <c r="X58" s="151">
        <f>IFERROR(__xludf.DUMMYFUNCTION("""COMPUTED_VALUE"""),45.0)</f>
        <v>45</v>
      </c>
      <c r="Y58" s="151">
        <f>IFERROR(__xludf.DUMMYFUNCTION("""COMPUTED_VALUE"""),10.0)</f>
        <v>10</v>
      </c>
      <c r="Z58" s="151">
        <f>IFERROR(__xludf.DUMMYFUNCTION("""COMPUTED_VALUE"""),653.0)</f>
        <v>653</v>
      </c>
    </row>
    <row r="59">
      <c r="A59" s="210">
        <f>IFERROR(__xludf.DUMMYFUNCTION("""COMPUTED_VALUE"""),43969.0)</f>
        <v>43969</v>
      </c>
      <c r="B59" s="151">
        <f>IFERROR(__xludf.DUMMYFUNCTION("""COMPUTED_VALUE"""),250.0)</f>
        <v>250</v>
      </c>
      <c r="C59" s="151">
        <f>IFERROR(__xludf.DUMMYFUNCTION("""COMPUTED_VALUE"""),313.0)</f>
        <v>313</v>
      </c>
      <c r="D59" s="151">
        <f>IFERROR(__xludf.DUMMYFUNCTION("""COMPUTED_VALUE"""),16458.0)</f>
        <v>16458</v>
      </c>
      <c r="E59" s="151">
        <f>IFERROR(__xludf.DUMMYFUNCTION("""COMPUTED_VALUE"""),2001.0)</f>
        <v>2001</v>
      </c>
      <c r="F59" s="151">
        <f>IFERROR(__xludf.DUMMYFUNCTION("""COMPUTED_VALUE"""),109463.0)</f>
        <v>109463</v>
      </c>
      <c r="G59" s="151">
        <f>IFERROR(__xludf.DUMMYFUNCTION("""COMPUTED_VALUE"""),2251.0)</f>
        <v>2251</v>
      </c>
      <c r="H59" s="151">
        <f>IFERROR(__xludf.DUMMYFUNCTION("""COMPUTED_VALUE"""),125921.0)</f>
        <v>125921</v>
      </c>
      <c r="I59" s="151">
        <f>IFERROR(__xludf.DUMMYFUNCTION("""COMPUTED_VALUE"""),135.0)</f>
        <v>135</v>
      </c>
      <c r="J59" s="151">
        <f>IFERROR(__xludf.DUMMYFUNCTION("""COMPUTED_VALUE"""),169.0)</f>
        <v>169</v>
      </c>
      <c r="K59" s="151">
        <f>IFERROR(__xludf.DUMMYFUNCTION("""COMPUTED_VALUE"""),13148.0)</f>
        <v>13148</v>
      </c>
      <c r="L59" s="151">
        <f>IFERROR(__xludf.DUMMYFUNCTION("""COMPUTED_VALUE"""),1368.0)</f>
        <v>1368</v>
      </c>
      <c r="M59" s="151">
        <f>IFERROR(__xludf.DUMMYFUNCTION("""COMPUTED_VALUE"""),81124.0)</f>
        <v>81124</v>
      </c>
      <c r="N59" s="151">
        <f>IFERROR(__xludf.DUMMYFUNCTION("""COMPUTED_VALUE"""),94272.0)</f>
        <v>94272</v>
      </c>
      <c r="O59" s="151">
        <f>IFERROR(__xludf.DUMMYFUNCTION("""COMPUTED_VALUE"""),19.0)</f>
        <v>19</v>
      </c>
      <c r="P59" s="151">
        <f>IFERROR(__xludf.DUMMYFUNCTION("""COMPUTED_VALUE"""),1538.0)</f>
        <v>1538</v>
      </c>
      <c r="Q59" s="151">
        <f>IFERROR(__xludf.DUMMYFUNCTION("""COMPUTED_VALUE"""),15.0)</f>
        <v>15</v>
      </c>
      <c r="R59" s="151">
        <f>IFERROR(__xludf.DUMMYFUNCTION("""COMPUTED_VALUE"""),1059.0)</f>
        <v>1059</v>
      </c>
      <c r="S59" s="151">
        <f>IFERROR(__xludf.DUMMYFUNCTION("""COMPUTED_VALUE"""),5.0)</f>
        <v>5</v>
      </c>
      <c r="T59" s="151">
        <f>IFERROR(__xludf.DUMMYFUNCTION("""COMPUTED_VALUE"""),210.0)</f>
        <v>210</v>
      </c>
      <c r="U59" s="151">
        <f>IFERROR(__xludf.DUMMYFUNCTION("""COMPUTED_VALUE"""),269.0)</f>
        <v>269</v>
      </c>
      <c r="V59" s="151">
        <f>IFERROR(__xludf.DUMMYFUNCTION("""COMPUTED_VALUE"""),268.0)</f>
        <v>268</v>
      </c>
      <c r="W59" s="151">
        <f>IFERROR(__xludf.DUMMYFUNCTION("""COMPUTED_VALUE"""),57.0)</f>
        <v>57</v>
      </c>
      <c r="X59" s="151">
        <f>IFERROR(__xludf.DUMMYFUNCTION("""COMPUTED_VALUE"""),40.0)</f>
        <v>40</v>
      </c>
      <c r="Y59" s="151">
        <f>IFERROR(__xludf.DUMMYFUNCTION("""COMPUTED_VALUE"""),18.0)</f>
        <v>18</v>
      </c>
      <c r="Z59" s="151">
        <f>IFERROR(__xludf.DUMMYFUNCTION("""COMPUTED_VALUE"""),671.0)</f>
        <v>671</v>
      </c>
    </row>
    <row r="60">
      <c r="A60" s="210">
        <f>IFERROR(__xludf.DUMMYFUNCTION("""COMPUTED_VALUE"""),43970.0)</f>
        <v>43970</v>
      </c>
      <c r="B60" s="151">
        <f>IFERROR(__xludf.DUMMYFUNCTION("""COMPUTED_VALUE"""),415.0)</f>
        <v>415</v>
      </c>
      <c r="C60" s="151">
        <f>IFERROR(__xludf.DUMMYFUNCTION("""COMPUTED_VALUE"""),302.0)</f>
        <v>302</v>
      </c>
      <c r="D60" s="151">
        <f>IFERROR(__xludf.DUMMYFUNCTION("""COMPUTED_VALUE"""),16873.0)</f>
        <v>16873</v>
      </c>
      <c r="E60" s="151">
        <f>IFERROR(__xludf.DUMMYFUNCTION("""COMPUTED_VALUE"""),3168.0)</f>
        <v>3168</v>
      </c>
      <c r="F60" s="151">
        <f>IFERROR(__xludf.DUMMYFUNCTION("""COMPUTED_VALUE"""),112631.0)</f>
        <v>112631</v>
      </c>
      <c r="G60" s="151">
        <f>IFERROR(__xludf.DUMMYFUNCTION("""COMPUTED_VALUE"""),3583.0)</f>
        <v>3583</v>
      </c>
      <c r="H60" s="151">
        <f>IFERROR(__xludf.DUMMYFUNCTION("""COMPUTED_VALUE"""),129504.0)</f>
        <v>129504</v>
      </c>
      <c r="I60" s="151">
        <f>IFERROR(__xludf.DUMMYFUNCTION("""COMPUTED_VALUE"""),215.0)</f>
        <v>215</v>
      </c>
      <c r="J60" s="151">
        <f>IFERROR(__xludf.DUMMYFUNCTION("""COMPUTED_VALUE"""),159.0)</f>
        <v>159</v>
      </c>
      <c r="K60" s="151">
        <f>IFERROR(__xludf.DUMMYFUNCTION("""COMPUTED_VALUE"""),13363.0)</f>
        <v>13363</v>
      </c>
      <c r="L60" s="151">
        <f>IFERROR(__xludf.DUMMYFUNCTION("""COMPUTED_VALUE"""),1926.0)</f>
        <v>1926</v>
      </c>
      <c r="M60" s="151">
        <f>IFERROR(__xludf.DUMMYFUNCTION("""COMPUTED_VALUE"""),83050.0)</f>
        <v>83050</v>
      </c>
      <c r="N60" s="151">
        <f>IFERROR(__xludf.DUMMYFUNCTION("""COMPUTED_VALUE"""),96413.0)</f>
        <v>96413</v>
      </c>
      <c r="O60" s="151">
        <f>IFERROR(__xludf.DUMMYFUNCTION("""COMPUTED_VALUE"""),23.0)</f>
        <v>23</v>
      </c>
      <c r="P60" s="151">
        <f>IFERROR(__xludf.DUMMYFUNCTION("""COMPUTED_VALUE"""),1561.0)</f>
        <v>1561</v>
      </c>
      <c r="Q60" s="151">
        <f>IFERROR(__xludf.DUMMYFUNCTION("""COMPUTED_VALUE"""),32.0)</f>
        <v>32</v>
      </c>
      <c r="R60" s="151">
        <f>IFERROR(__xludf.DUMMYFUNCTION("""COMPUTED_VALUE"""),1091.0)</f>
        <v>1091</v>
      </c>
      <c r="S60" s="151">
        <f>IFERROR(__xludf.DUMMYFUNCTION("""COMPUTED_VALUE"""),5.0)</f>
        <v>5</v>
      </c>
      <c r="T60" s="151">
        <f>IFERROR(__xludf.DUMMYFUNCTION("""COMPUTED_VALUE"""),215.0)</f>
        <v>215</v>
      </c>
      <c r="U60" s="151">
        <f>IFERROR(__xludf.DUMMYFUNCTION("""COMPUTED_VALUE"""),255.0)</f>
        <v>255</v>
      </c>
      <c r="V60" s="151">
        <f>IFERROR(__xludf.DUMMYFUNCTION("""COMPUTED_VALUE"""),265.0)</f>
        <v>265</v>
      </c>
      <c r="W60" s="151">
        <f>IFERROR(__xludf.DUMMYFUNCTION("""COMPUTED_VALUE"""),56.0)</f>
        <v>56</v>
      </c>
      <c r="X60" s="151">
        <f>IFERROR(__xludf.DUMMYFUNCTION("""COMPUTED_VALUE"""),38.0)</f>
        <v>38</v>
      </c>
      <c r="Y60" s="151">
        <f>IFERROR(__xludf.DUMMYFUNCTION("""COMPUTED_VALUE"""),11.0)</f>
        <v>11</v>
      </c>
      <c r="Z60" s="151">
        <f>IFERROR(__xludf.DUMMYFUNCTION("""COMPUTED_VALUE"""),682.0)</f>
        <v>682</v>
      </c>
    </row>
    <row r="61">
      <c r="A61" s="210">
        <f>IFERROR(__xludf.DUMMYFUNCTION("""COMPUTED_VALUE"""),43971.0)</f>
        <v>43971</v>
      </c>
      <c r="B61" s="151">
        <f>IFERROR(__xludf.DUMMYFUNCTION("""COMPUTED_VALUE"""),326.0)</f>
        <v>326</v>
      </c>
      <c r="C61" s="151">
        <f>IFERROR(__xludf.DUMMYFUNCTION("""COMPUTED_VALUE"""),330.0)</f>
        <v>330</v>
      </c>
      <c r="D61" s="151">
        <f>IFERROR(__xludf.DUMMYFUNCTION("""COMPUTED_VALUE"""),17199.0)</f>
        <v>17199</v>
      </c>
      <c r="E61" s="151">
        <f>IFERROR(__xludf.DUMMYFUNCTION("""COMPUTED_VALUE"""),2771.0)</f>
        <v>2771</v>
      </c>
      <c r="F61" s="151">
        <f>IFERROR(__xludf.DUMMYFUNCTION("""COMPUTED_VALUE"""),115402.0)</f>
        <v>115402</v>
      </c>
      <c r="G61" s="151">
        <f>IFERROR(__xludf.DUMMYFUNCTION("""COMPUTED_VALUE"""),3097.0)</f>
        <v>3097</v>
      </c>
      <c r="H61" s="151">
        <f>IFERROR(__xludf.DUMMYFUNCTION("""COMPUTED_VALUE"""),132601.0)</f>
        <v>132601</v>
      </c>
      <c r="I61" s="151">
        <f>IFERROR(__xludf.DUMMYFUNCTION("""COMPUTED_VALUE"""),183.0)</f>
        <v>183</v>
      </c>
      <c r="J61" s="151">
        <f>IFERROR(__xludf.DUMMYFUNCTION("""COMPUTED_VALUE"""),178.0)</f>
        <v>178</v>
      </c>
      <c r="K61" s="151">
        <f>IFERROR(__xludf.DUMMYFUNCTION("""COMPUTED_VALUE"""),13546.0)</f>
        <v>13546</v>
      </c>
      <c r="L61" s="151">
        <f>IFERROR(__xludf.DUMMYFUNCTION("""COMPUTED_VALUE"""),1514.0)</f>
        <v>1514</v>
      </c>
      <c r="M61" s="151">
        <f>IFERROR(__xludf.DUMMYFUNCTION("""COMPUTED_VALUE"""),84564.0)</f>
        <v>84564</v>
      </c>
      <c r="N61" s="151">
        <f>IFERROR(__xludf.DUMMYFUNCTION("""COMPUTED_VALUE"""),98110.0)</f>
        <v>98110</v>
      </c>
      <c r="O61" s="151">
        <f>IFERROR(__xludf.DUMMYFUNCTION("""COMPUTED_VALUE"""),19.0)</f>
        <v>19</v>
      </c>
      <c r="P61" s="151">
        <f>IFERROR(__xludf.DUMMYFUNCTION("""COMPUTED_VALUE"""),1580.0)</f>
        <v>1580</v>
      </c>
      <c r="Q61" s="151">
        <f>IFERROR(__xludf.DUMMYFUNCTION("""COMPUTED_VALUE"""),23.0)</f>
        <v>23</v>
      </c>
      <c r="R61" s="151">
        <f>IFERROR(__xludf.DUMMYFUNCTION("""COMPUTED_VALUE"""),1114.0)</f>
        <v>1114</v>
      </c>
      <c r="S61" s="151">
        <f>IFERROR(__xludf.DUMMYFUNCTION("""COMPUTED_VALUE"""),7.0)</f>
        <v>7</v>
      </c>
      <c r="T61" s="151">
        <f>IFERROR(__xludf.DUMMYFUNCTION("""COMPUTED_VALUE"""),222.0)</f>
        <v>222</v>
      </c>
      <c r="U61" s="151">
        <f>IFERROR(__xludf.DUMMYFUNCTION("""COMPUTED_VALUE"""),244.0)</f>
        <v>244</v>
      </c>
      <c r="V61" s="151">
        <f>IFERROR(__xludf.DUMMYFUNCTION("""COMPUTED_VALUE"""),256.0)</f>
        <v>256</v>
      </c>
      <c r="W61" s="151">
        <f>IFERROR(__xludf.DUMMYFUNCTION("""COMPUTED_VALUE"""),52.0)</f>
        <v>52</v>
      </c>
      <c r="X61" s="151">
        <f>IFERROR(__xludf.DUMMYFUNCTION("""COMPUTED_VALUE"""),33.0)</f>
        <v>33</v>
      </c>
      <c r="Y61" s="151">
        <f>IFERROR(__xludf.DUMMYFUNCTION("""COMPUTED_VALUE"""),22.0)</f>
        <v>22</v>
      </c>
      <c r="Z61" s="151">
        <f>IFERROR(__xludf.DUMMYFUNCTION("""COMPUTED_VALUE"""),704.0)</f>
        <v>704</v>
      </c>
    </row>
    <row r="62">
      <c r="A62" s="210">
        <f>IFERROR(__xludf.DUMMYFUNCTION("""COMPUTED_VALUE"""),43972.0)</f>
        <v>43972</v>
      </c>
      <c r="B62" s="151">
        <f>IFERROR(__xludf.DUMMYFUNCTION("""COMPUTED_VALUE"""),374.0)</f>
        <v>374</v>
      </c>
      <c r="C62" s="151">
        <f>IFERROR(__xludf.DUMMYFUNCTION("""COMPUTED_VALUE"""),372.0)</f>
        <v>372</v>
      </c>
      <c r="D62" s="151">
        <f>IFERROR(__xludf.DUMMYFUNCTION("""COMPUTED_VALUE"""),17573.0)</f>
        <v>17573</v>
      </c>
      <c r="E62" s="151">
        <f>IFERROR(__xludf.DUMMYFUNCTION("""COMPUTED_VALUE"""),3757.0)</f>
        <v>3757</v>
      </c>
      <c r="F62" s="151">
        <f>IFERROR(__xludf.DUMMYFUNCTION("""COMPUTED_VALUE"""),119159.0)</f>
        <v>119159</v>
      </c>
      <c r="G62" s="151">
        <f>IFERROR(__xludf.DUMMYFUNCTION("""COMPUTED_VALUE"""),4131.0)</f>
        <v>4131</v>
      </c>
      <c r="H62" s="151">
        <f>IFERROR(__xludf.DUMMYFUNCTION("""COMPUTED_VALUE"""),136732.0)</f>
        <v>136732</v>
      </c>
      <c r="I62" s="151">
        <f>IFERROR(__xludf.DUMMYFUNCTION("""COMPUTED_VALUE"""),168.0)</f>
        <v>168</v>
      </c>
      <c r="J62" s="151">
        <f>IFERROR(__xludf.DUMMYFUNCTION("""COMPUTED_VALUE"""),189.0)</f>
        <v>189</v>
      </c>
      <c r="K62" s="151">
        <f>IFERROR(__xludf.DUMMYFUNCTION("""COMPUTED_VALUE"""),13714.0)</f>
        <v>13714</v>
      </c>
      <c r="L62" s="151">
        <f>IFERROR(__xludf.DUMMYFUNCTION("""COMPUTED_VALUE"""),1937.0)</f>
        <v>1937</v>
      </c>
      <c r="M62" s="151">
        <f>IFERROR(__xludf.DUMMYFUNCTION("""COMPUTED_VALUE"""),86501.0)</f>
        <v>86501</v>
      </c>
      <c r="N62" s="151">
        <f>IFERROR(__xludf.DUMMYFUNCTION("""COMPUTED_VALUE"""),100215.0)</f>
        <v>100215</v>
      </c>
      <c r="O62" s="151">
        <f>IFERROR(__xludf.DUMMYFUNCTION("""COMPUTED_VALUE"""),26.0)</f>
        <v>26</v>
      </c>
      <c r="P62" s="151">
        <f>IFERROR(__xludf.DUMMYFUNCTION("""COMPUTED_VALUE"""),1606.0)</f>
        <v>1606</v>
      </c>
      <c r="Q62" s="151">
        <f>IFERROR(__xludf.DUMMYFUNCTION("""COMPUTED_VALUE"""),15.0)</f>
        <v>15</v>
      </c>
      <c r="R62" s="151">
        <f>IFERROR(__xludf.DUMMYFUNCTION("""COMPUTED_VALUE"""),1129.0)</f>
        <v>1129</v>
      </c>
      <c r="S62" s="151">
        <f>IFERROR(__xludf.DUMMYFUNCTION("""COMPUTED_VALUE"""),3.0)</f>
        <v>3</v>
      </c>
      <c r="T62" s="151">
        <f>IFERROR(__xludf.DUMMYFUNCTION("""COMPUTED_VALUE"""),225.0)</f>
        <v>225</v>
      </c>
      <c r="U62" s="151">
        <f>IFERROR(__xludf.DUMMYFUNCTION("""COMPUTED_VALUE"""),252.0)</f>
        <v>252</v>
      </c>
      <c r="V62" s="151">
        <f>IFERROR(__xludf.DUMMYFUNCTION("""COMPUTED_VALUE"""),250.0)</f>
        <v>250</v>
      </c>
      <c r="W62" s="151">
        <f>IFERROR(__xludf.DUMMYFUNCTION("""COMPUTED_VALUE"""),53.0)</f>
        <v>53</v>
      </c>
      <c r="X62" s="151">
        <f>IFERROR(__xludf.DUMMYFUNCTION("""COMPUTED_VALUE"""),29.0)</f>
        <v>29</v>
      </c>
      <c r="Y62" s="151">
        <f>IFERROR(__xludf.DUMMYFUNCTION("""COMPUTED_VALUE"""),20.0)</f>
        <v>20</v>
      </c>
      <c r="Z62" s="151">
        <f>IFERROR(__xludf.DUMMYFUNCTION("""COMPUTED_VALUE"""),724.0)</f>
        <v>724</v>
      </c>
    </row>
    <row r="63">
      <c r="A63" s="210">
        <f>IFERROR(__xludf.DUMMYFUNCTION("""COMPUTED_VALUE"""),43973.0)</f>
        <v>43973</v>
      </c>
      <c r="B63" s="151">
        <f>IFERROR(__xludf.DUMMYFUNCTION("""COMPUTED_VALUE"""),351.0)</f>
        <v>351</v>
      </c>
      <c r="C63" s="151">
        <f>IFERROR(__xludf.DUMMYFUNCTION("""COMPUTED_VALUE"""),350.0)</f>
        <v>350</v>
      </c>
      <c r="D63" s="151">
        <f>IFERROR(__xludf.DUMMYFUNCTION("""COMPUTED_VALUE"""),17924.0)</f>
        <v>17924</v>
      </c>
      <c r="E63" s="151">
        <f>IFERROR(__xludf.DUMMYFUNCTION("""COMPUTED_VALUE"""),3161.0)</f>
        <v>3161</v>
      </c>
      <c r="F63" s="151">
        <f>IFERROR(__xludf.DUMMYFUNCTION("""COMPUTED_VALUE"""),122320.0)</f>
        <v>122320</v>
      </c>
      <c r="G63" s="151">
        <f>IFERROR(__xludf.DUMMYFUNCTION("""COMPUTED_VALUE"""),3512.0)</f>
        <v>3512</v>
      </c>
      <c r="H63" s="151">
        <f>IFERROR(__xludf.DUMMYFUNCTION("""COMPUTED_VALUE"""),140244.0)</f>
        <v>140244</v>
      </c>
      <c r="I63" s="151">
        <f>IFERROR(__xludf.DUMMYFUNCTION("""COMPUTED_VALUE"""),206.0)</f>
        <v>206</v>
      </c>
      <c r="J63" s="151">
        <f>IFERROR(__xludf.DUMMYFUNCTION("""COMPUTED_VALUE"""),186.0)</f>
        <v>186</v>
      </c>
      <c r="K63" s="151">
        <f>IFERROR(__xludf.DUMMYFUNCTION("""COMPUTED_VALUE"""),13920.0)</f>
        <v>13920</v>
      </c>
      <c r="L63" s="151">
        <f>IFERROR(__xludf.DUMMYFUNCTION("""COMPUTED_VALUE"""),1608.0)</f>
        <v>1608</v>
      </c>
      <c r="M63" s="151">
        <f>IFERROR(__xludf.DUMMYFUNCTION("""COMPUTED_VALUE"""),88109.0)</f>
        <v>88109</v>
      </c>
      <c r="N63" s="151">
        <f>IFERROR(__xludf.DUMMYFUNCTION("""COMPUTED_VALUE"""),102029.0)</f>
        <v>102029</v>
      </c>
      <c r="O63" s="151">
        <f>IFERROR(__xludf.DUMMYFUNCTION("""COMPUTED_VALUE"""),20.0)</f>
        <v>20</v>
      </c>
      <c r="P63" s="151">
        <f>IFERROR(__xludf.DUMMYFUNCTION("""COMPUTED_VALUE"""),1626.0)</f>
        <v>1626</v>
      </c>
      <c r="Q63" s="151">
        <f>IFERROR(__xludf.DUMMYFUNCTION("""COMPUTED_VALUE"""),29.0)</f>
        <v>29</v>
      </c>
      <c r="R63" s="151">
        <f>IFERROR(__xludf.DUMMYFUNCTION("""COMPUTED_VALUE"""),1158.0)</f>
        <v>1158</v>
      </c>
      <c r="S63" s="151">
        <f>IFERROR(__xludf.DUMMYFUNCTION("""COMPUTED_VALUE"""),5.0)</f>
        <v>5</v>
      </c>
      <c r="T63" s="151">
        <f>IFERROR(__xludf.DUMMYFUNCTION("""COMPUTED_VALUE"""),230.0)</f>
        <v>230</v>
      </c>
      <c r="U63" s="151">
        <f>IFERROR(__xludf.DUMMYFUNCTION("""COMPUTED_VALUE"""),238.0)</f>
        <v>238</v>
      </c>
      <c r="V63" s="151">
        <f>IFERROR(__xludf.DUMMYFUNCTION("""COMPUTED_VALUE"""),245.0)</f>
        <v>245</v>
      </c>
      <c r="W63" s="151">
        <f>IFERROR(__xludf.DUMMYFUNCTION("""COMPUTED_VALUE"""),52.0)</f>
        <v>52</v>
      </c>
      <c r="X63" s="151">
        <f>IFERROR(__xludf.DUMMYFUNCTION("""COMPUTED_VALUE"""),29.0)</f>
        <v>29</v>
      </c>
      <c r="Y63" s="151">
        <f>IFERROR(__xludf.DUMMYFUNCTION("""COMPUTED_VALUE"""),10.0)</f>
        <v>10</v>
      </c>
      <c r="Z63" s="151">
        <f>IFERROR(__xludf.DUMMYFUNCTION("""COMPUTED_VALUE"""),734.0)</f>
        <v>734</v>
      </c>
    </row>
    <row r="64">
      <c r="A64" s="210">
        <f>IFERROR(__xludf.DUMMYFUNCTION("""COMPUTED_VALUE"""),43974.0)</f>
        <v>43974</v>
      </c>
      <c r="B64" s="151">
        <f>IFERROR(__xludf.DUMMYFUNCTION("""COMPUTED_VALUE"""),253.0)</f>
        <v>253</v>
      </c>
      <c r="C64" s="151">
        <f>IFERROR(__xludf.DUMMYFUNCTION("""COMPUTED_VALUE"""),326.0)</f>
        <v>326</v>
      </c>
      <c r="D64" s="151">
        <f>IFERROR(__xludf.DUMMYFUNCTION("""COMPUTED_VALUE"""),18177.0)</f>
        <v>18177</v>
      </c>
      <c r="E64" s="151">
        <f>IFERROR(__xludf.DUMMYFUNCTION("""COMPUTED_VALUE"""),2742.0)</f>
        <v>2742</v>
      </c>
      <c r="F64" s="151">
        <f>IFERROR(__xludf.DUMMYFUNCTION("""COMPUTED_VALUE"""),125062.0)</f>
        <v>125062</v>
      </c>
      <c r="G64" s="151">
        <f>IFERROR(__xludf.DUMMYFUNCTION("""COMPUTED_VALUE"""),2995.0)</f>
        <v>2995</v>
      </c>
      <c r="H64" s="151">
        <f>IFERROR(__xludf.DUMMYFUNCTION("""COMPUTED_VALUE"""),143239.0)</f>
        <v>143239</v>
      </c>
      <c r="I64" s="151">
        <f>IFERROR(__xludf.DUMMYFUNCTION("""COMPUTED_VALUE"""),109.0)</f>
        <v>109</v>
      </c>
      <c r="J64" s="151">
        <f>IFERROR(__xludf.DUMMYFUNCTION("""COMPUTED_VALUE"""),161.0)</f>
        <v>161</v>
      </c>
      <c r="K64" s="151">
        <f>IFERROR(__xludf.DUMMYFUNCTION("""COMPUTED_VALUE"""),14029.0)</f>
        <v>14029</v>
      </c>
      <c r="L64" s="151">
        <f>IFERROR(__xludf.DUMMYFUNCTION("""COMPUTED_VALUE"""),1271.0)</f>
        <v>1271</v>
      </c>
      <c r="M64" s="151">
        <f>IFERROR(__xludf.DUMMYFUNCTION("""COMPUTED_VALUE"""),89380.0)</f>
        <v>89380</v>
      </c>
      <c r="N64" s="151">
        <f>IFERROR(__xludf.DUMMYFUNCTION("""COMPUTED_VALUE"""),103409.0)</f>
        <v>103409</v>
      </c>
      <c r="O64" s="151">
        <f>IFERROR(__xludf.DUMMYFUNCTION("""COMPUTED_VALUE"""),19.0)</f>
        <v>19</v>
      </c>
      <c r="P64" s="151">
        <f>IFERROR(__xludf.DUMMYFUNCTION("""COMPUTED_VALUE"""),1645.0)</f>
        <v>1645</v>
      </c>
      <c r="Q64" s="151">
        <f>IFERROR(__xludf.DUMMYFUNCTION("""COMPUTED_VALUE"""),11.0)</f>
        <v>11</v>
      </c>
      <c r="R64" s="151">
        <f>IFERROR(__xludf.DUMMYFUNCTION("""COMPUTED_VALUE"""),1169.0)</f>
        <v>1169</v>
      </c>
      <c r="S64" s="151">
        <f>IFERROR(__xludf.DUMMYFUNCTION("""COMPUTED_VALUE"""),3.0)</f>
        <v>3</v>
      </c>
      <c r="T64" s="151">
        <f>IFERROR(__xludf.DUMMYFUNCTION("""COMPUTED_VALUE"""),233.0)</f>
        <v>233</v>
      </c>
      <c r="U64" s="151">
        <f>IFERROR(__xludf.DUMMYFUNCTION("""COMPUTED_VALUE"""),243.0)</f>
        <v>243</v>
      </c>
      <c r="V64" s="151">
        <f>IFERROR(__xludf.DUMMYFUNCTION("""COMPUTED_VALUE"""),244.0)</f>
        <v>244</v>
      </c>
      <c r="W64" s="151">
        <f>IFERROR(__xludf.DUMMYFUNCTION("""COMPUTED_VALUE"""),52.0)</f>
        <v>52</v>
      </c>
      <c r="X64" s="151">
        <f>IFERROR(__xludf.DUMMYFUNCTION("""COMPUTED_VALUE"""),32.0)</f>
        <v>32</v>
      </c>
      <c r="Y64" s="151">
        <f>IFERROR(__xludf.DUMMYFUNCTION("""COMPUTED_VALUE"""),13.0)</f>
        <v>13</v>
      </c>
      <c r="Z64" s="151">
        <f>IFERROR(__xludf.DUMMYFUNCTION("""COMPUTED_VALUE"""),747.0)</f>
        <v>747</v>
      </c>
    </row>
    <row r="65">
      <c r="A65" s="210">
        <f>IFERROR(__xludf.DUMMYFUNCTION("""COMPUTED_VALUE"""),43975.0)</f>
        <v>43975</v>
      </c>
      <c r="B65" s="151">
        <f>IFERROR(__xludf.DUMMYFUNCTION("""COMPUTED_VALUE"""),163.0)</f>
        <v>163</v>
      </c>
      <c r="C65" s="151">
        <f>IFERROR(__xludf.DUMMYFUNCTION("""COMPUTED_VALUE"""),256.0)</f>
        <v>256</v>
      </c>
      <c r="D65" s="151">
        <f>IFERROR(__xludf.DUMMYFUNCTION("""COMPUTED_VALUE"""),18340.0)</f>
        <v>18340</v>
      </c>
      <c r="E65" s="151">
        <f>IFERROR(__xludf.DUMMYFUNCTION("""COMPUTED_VALUE"""),1370.0)</f>
        <v>1370</v>
      </c>
      <c r="F65" s="151">
        <f>IFERROR(__xludf.DUMMYFUNCTION("""COMPUTED_VALUE"""),126432.0)</f>
        <v>126432</v>
      </c>
      <c r="G65" s="151">
        <f>IFERROR(__xludf.DUMMYFUNCTION("""COMPUTED_VALUE"""),1533.0)</f>
        <v>1533</v>
      </c>
      <c r="H65" s="151">
        <f>IFERROR(__xludf.DUMMYFUNCTION("""COMPUTED_VALUE"""),144772.0)</f>
        <v>144772</v>
      </c>
      <c r="I65" s="151">
        <f>IFERROR(__xludf.DUMMYFUNCTION("""COMPUTED_VALUE"""),82.0)</f>
        <v>82</v>
      </c>
      <c r="J65" s="151">
        <f>IFERROR(__xludf.DUMMYFUNCTION("""COMPUTED_VALUE"""),132.0)</f>
        <v>132</v>
      </c>
      <c r="K65" s="151">
        <f>IFERROR(__xludf.DUMMYFUNCTION("""COMPUTED_VALUE"""),14111.0)</f>
        <v>14111</v>
      </c>
      <c r="L65" s="151">
        <f>IFERROR(__xludf.DUMMYFUNCTION("""COMPUTED_VALUE"""),773.0)</f>
        <v>773</v>
      </c>
      <c r="M65" s="151">
        <f>IFERROR(__xludf.DUMMYFUNCTION("""COMPUTED_VALUE"""),90153.0)</f>
        <v>90153</v>
      </c>
      <c r="N65" s="151">
        <f>IFERROR(__xludf.DUMMYFUNCTION("""COMPUTED_VALUE"""),104264.0)</f>
        <v>104264</v>
      </c>
      <c r="O65" s="151">
        <f>IFERROR(__xludf.DUMMYFUNCTION("""COMPUTED_VALUE"""),12.0)</f>
        <v>12</v>
      </c>
      <c r="P65" s="151">
        <f>IFERROR(__xludf.DUMMYFUNCTION("""COMPUTED_VALUE"""),1657.0)</f>
        <v>1657</v>
      </c>
      <c r="Q65" s="151">
        <f>IFERROR(__xludf.DUMMYFUNCTION("""COMPUTED_VALUE"""),14.0)</f>
        <v>14</v>
      </c>
      <c r="R65" s="151">
        <f>IFERROR(__xludf.DUMMYFUNCTION("""COMPUTED_VALUE"""),1183.0)</f>
        <v>1183</v>
      </c>
      <c r="S65" s="151">
        <f>IFERROR(__xludf.DUMMYFUNCTION("""COMPUTED_VALUE"""),2.0)</f>
        <v>2</v>
      </c>
      <c r="T65" s="151">
        <f>IFERROR(__xludf.DUMMYFUNCTION("""COMPUTED_VALUE"""),235.0)</f>
        <v>235</v>
      </c>
      <c r="U65" s="151">
        <f>IFERROR(__xludf.DUMMYFUNCTION("""COMPUTED_VALUE"""),239.0)</f>
        <v>239</v>
      </c>
      <c r="V65" s="151">
        <f>IFERROR(__xludf.DUMMYFUNCTION("""COMPUTED_VALUE"""),240.0)</f>
        <v>240</v>
      </c>
      <c r="W65" s="151">
        <f>IFERROR(__xludf.DUMMYFUNCTION("""COMPUTED_VALUE"""),53.0)</f>
        <v>53</v>
      </c>
      <c r="X65" s="151">
        <f>IFERROR(__xludf.DUMMYFUNCTION("""COMPUTED_VALUE"""),36.0)</f>
        <v>36</v>
      </c>
      <c r="Y65" s="151">
        <f>IFERROR(__xludf.DUMMYFUNCTION("""COMPUTED_VALUE"""),8.0)</f>
        <v>8</v>
      </c>
      <c r="Z65" s="151">
        <f>IFERROR(__xludf.DUMMYFUNCTION("""COMPUTED_VALUE"""),755.0)</f>
        <v>755</v>
      </c>
    </row>
    <row r="66">
      <c r="A66" s="210">
        <f>IFERROR(__xludf.DUMMYFUNCTION("""COMPUTED_VALUE"""),43976.0)</f>
        <v>43976</v>
      </c>
      <c r="B66" s="151">
        <f>IFERROR(__xludf.DUMMYFUNCTION("""COMPUTED_VALUE"""),147.0)</f>
        <v>147</v>
      </c>
      <c r="C66" s="151">
        <f>IFERROR(__xludf.DUMMYFUNCTION("""COMPUTED_VALUE"""),188.0)</f>
        <v>188</v>
      </c>
      <c r="D66" s="151">
        <f>IFERROR(__xludf.DUMMYFUNCTION("""COMPUTED_VALUE"""),18487.0)</f>
        <v>18487</v>
      </c>
      <c r="E66" s="151">
        <f>IFERROR(__xludf.DUMMYFUNCTION("""COMPUTED_VALUE"""),1385.0)</f>
        <v>1385</v>
      </c>
      <c r="F66" s="151">
        <f>IFERROR(__xludf.DUMMYFUNCTION("""COMPUTED_VALUE"""),127817.0)</f>
        <v>127817</v>
      </c>
      <c r="G66" s="151">
        <f>IFERROR(__xludf.DUMMYFUNCTION("""COMPUTED_VALUE"""),1532.0)</f>
        <v>1532</v>
      </c>
      <c r="H66" s="151">
        <f>IFERROR(__xludf.DUMMYFUNCTION("""COMPUTED_VALUE"""),146304.0)</f>
        <v>146304</v>
      </c>
      <c r="I66" s="151">
        <f>IFERROR(__xludf.DUMMYFUNCTION("""COMPUTED_VALUE"""),76.0)</f>
        <v>76</v>
      </c>
      <c r="J66" s="151">
        <f>IFERROR(__xludf.DUMMYFUNCTION("""COMPUTED_VALUE"""),89.0)</f>
        <v>89</v>
      </c>
      <c r="K66" s="151">
        <f>IFERROR(__xludf.DUMMYFUNCTION("""COMPUTED_VALUE"""),14187.0)</f>
        <v>14187</v>
      </c>
      <c r="L66" s="151">
        <f>IFERROR(__xludf.DUMMYFUNCTION("""COMPUTED_VALUE"""),762.0)</f>
        <v>762</v>
      </c>
      <c r="M66" s="151">
        <f>IFERROR(__xludf.DUMMYFUNCTION("""COMPUTED_VALUE"""),90915.0)</f>
        <v>90915</v>
      </c>
      <c r="N66" s="151">
        <f>IFERROR(__xludf.DUMMYFUNCTION("""COMPUTED_VALUE"""),105102.0)</f>
        <v>105102</v>
      </c>
      <c r="O66" s="151">
        <f>IFERROR(__xludf.DUMMYFUNCTION("""COMPUTED_VALUE"""),14.0)</f>
        <v>14</v>
      </c>
      <c r="P66" s="151">
        <f>IFERROR(__xludf.DUMMYFUNCTION("""COMPUTED_VALUE"""),1671.0)</f>
        <v>1671</v>
      </c>
      <c r="Q66" s="151">
        <f>IFERROR(__xludf.DUMMYFUNCTION("""COMPUTED_VALUE"""),14.0)</f>
        <v>14</v>
      </c>
      <c r="R66" s="151">
        <f>IFERROR(__xludf.DUMMYFUNCTION("""COMPUTED_VALUE"""),1197.0)</f>
        <v>1197</v>
      </c>
      <c r="S66" s="151">
        <f>IFERROR(__xludf.DUMMYFUNCTION("""COMPUTED_VALUE"""),0.0)</f>
        <v>0</v>
      </c>
      <c r="T66" s="151">
        <f>IFERROR(__xludf.DUMMYFUNCTION("""COMPUTED_VALUE"""),235.0)</f>
        <v>235</v>
      </c>
      <c r="U66" s="151">
        <f>IFERROR(__xludf.DUMMYFUNCTION("""COMPUTED_VALUE"""),239.0)</f>
        <v>239</v>
      </c>
      <c r="V66" s="151">
        <f>IFERROR(__xludf.DUMMYFUNCTION("""COMPUTED_VALUE"""),240.0)</f>
        <v>240</v>
      </c>
      <c r="W66" s="151">
        <f>IFERROR(__xludf.DUMMYFUNCTION("""COMPUTED_VALUE"""),53.0)</f>
        <v>53</v>
      </c>
      <c r="X66" s="151">
        <f>IFERROR(__xludf.DUMMYFUNCTION("""COMPUTED_VALUE"""),34.0)</f>
        <v>34</v>
      </c>
      <c r="Y66" s="151">
        <f>IFERROR(__xludf.DUMMYFUNCTION("""COMPUTED_VALUE"""),10.0)</f>
        <v>10</v>
      </c>
      <c r="Z66" s="151">
        <f>IFERROR(__xludf.DUMMYFUNCTION("""COMPUTED_VALUE"""),765.0)</f>
        <v>765</v>
      </c>
    </row>
    <row r="67">
      <c r="A67" s="210">
        <f>IFERROR(__xludf.DUMMYFUNCTION("""COMPUTED_VALUE"""),43977.0)</f>
        <v>43977</v>
      </c>
      <c r="B67" s="151">
        <f>IFERROR(__xludf.DUMMYFUNCTION("""COMPUTED_VALUE"""),285.0)</f>
        <v>285</v>
      </c>
      <c r="C67" s="151">
        <f>IFERROR(__xludf.DUMMYFUNCTION("""COMPUTED_VALUE"""),198.0)</f>
        <v>198</v>
      </c>
      <c r="D67" s="151">
        <f>IFERROR(__xludf.DUMMYFUNCTION("""COMPUTED_VALUE"""),18772.0)</f>
        <v>18772</v>
      </c>
      <c r="E67" s="151">
        <f>IFERROR(__xludf.DUMMYFUNCTION("""COMPUTED_VALUE"""),2620.0)</f>
        <v>2620</v>
      </c>
      <c r="F67" s="151">
        <f>IFERROR(__xludf.DUMMYFUNCTION("""COMPUTED_VALUE"""),130437.0)</f>
        <v>130437</v>
      </c>
      <c r="G67" s="151">
        <f>IFERROR(__xludf.DUMMYFUNCTION("""COMPUTED_VALUE"""),2905.0)</f>
        <v>2905</v>
      </c>
      <c r="H67" s="151">
        <f>IFERROR(__xludf.DUMMYFUNCTION("""COMPUTED_VALUE"""),149209.0)</f>
        <v>149209</v>
      </c>
      <c r="I67" s="151">
        <f>IFERROR(__xludf.DUMMYFUNCTION("""COMPUTED_VALUE"""),157.0)</f>
        <v>157</v>
      </c>
      <c r="J67" s="151">
        <f>IFERROR(__xludf.DUMMYFUNCTION("""COMPUTED_VALUE"""),105.0)</f>
        <v>105</v>
      </c>
      <c r="K67" s="151">
        <f>IFERROR(__xludf.DUMMYFUNCTION("""COMPUTED_VALUE"""),14344.0)</f>
        <v>14344</v>
      </c>
      <c r="L67" s="151">
        <f>IFERROR(__xludf.DUMMYFUNCTION("""COMPUTED_VALUE"""),1780.0)</f>
        <v>1780</v>
      </c>
      <c r="M67" s="151">
        <f>IFERROR(__xludf.DUMMYFUNCTION("""COMPUTED_VALUE"""),92695.0)</f>
        <v>92695</v>
      </c>
      <c r="N67" s="151">
        <f>IFERROR(__xludf.DUMMYFUNCTION("""COMPUTED_VALUE"""),107039.0)</f>
        <v>107039</v>
      </c>
      <c r="O67" s="151">
        <f>IFERROR(__xludf.DUMMYFUNCTION("""COMPUTED_VALUE"""),24.0)</f>
        <v>24</v>
      </c>
      <c r="P67" s="151">
        <f>IFERROR(__xludf.DUMMYFUNCTION("""COMPUTED_VALUE"""),1695.0)</f>
        <v>1695</v>
      </c>
      <c r="Q67" s="151">
        <f>IFERROR(__xludf.DUMMYFUNCTION("""COMPUTED_VALUE"""),22.0)</f>
        <v>22</v>
      </c>
      <c r="R67" s="151">
        <f>IFERROR(__xludf.DUMMYFUNCTION("""COMPUTED_VALUE"""),1219.0)</f>
        <v>1219</v>
      </c>
      <c r="S67" s="151">
        <f>IFERROR(__xludf.DUMMYFUNCTION("""COMPUTED_VALUE"""),5.0)</f>
        <v>5</v>
      </c>
      <c r="T67" s="151">
        <f>IFERROR(__xludf.DUMMYFUNCTION("""COMPUTED_VALUE"""),240.0)</f>
        <v>240</v>
      </c>
      <c r="U67" s="151">
        <f>IFERROR(__xludf.DUMMYFUNCTION("""COMPUTED_VALUE"""),236.0)</f>
        <v>236</v>
      </c>
      <c r="V67" s="151">
        <f>IFERROR(__xludf.DUMMYFUNCTION("""COMPUTED_VALUE"""),238.0)</f>
        <v>238</v>
      </c>
      <c r="W67" s="151">
        <f>IFERROR(__xludf.DUMMYFUNCTION("""COMPUTED_VALUE"""),48.0)</f>
        <v>48</v>
      </c>
      <c r="X67" s="151">
        <f>IFERROR(__xludf.DUMMYFUNCTION("""COMPUTED_VALUE"""),33.0)</f>
        <v>33</v>
      </c>
      <c r="Y67" s="151">
        <f>IFERROR(__xludf.DUMMYFUNCTION("""COMPUTED_VALUE"""),15.0)</f>
        <v>15</v>
      </c>
      <c r="Z67" s="151">
        <f>IFERROR(__xludf.DUMMYFUNCTION("""COMPUTED_VALUE"""),780.0)</f>
        <v>780</v>
      </c>
    </row>
    <row r="68">
      <c r="A68" s="210">
        <f>IFERROR(__xludf.DUMMYFUNCTION("""COMPUTED_VALUE"""),43978.0)</f>
        <v>43978</v>
      </c>
      <c r="B68" s="151">
        <f>IFERROR(__xludf.DUMMYFUNCTION("""COMPUTED_VALUE"""),276.0)</f>
        <v>276</v>
      </c>
      <c r="C68" s="151">
        <f>IFERROR(__xludf.DUMMYFUNCTION("""COMPUTED_VALUE"""),236.0)</f>
        <v>236</v>
      </c>
      <c r="D68" s="151">
        <f>IFERROR(__xludf.DUMMYFUNCTION("""COMPUTED_VALUE"""),19048.0)</f>
        <v>19048</v>
      </c>
      <c r="E68" s="151">
        <f>IFERROR(__xludf.DUMMYFUNCTION("""COMPUTED_VALUE"""),2057.0)</f>
        <v>2057</v>
      </c>
      <c r="F68" s="151">
        <f>IFERROR(__xludf.DUMMYFUNCTION("""COMPUTED_VALUE"""),132494.0)</f>
        <v>132494</v>
      </c>
      <c r="G68" s="151">
        <f>IFERROR(__xludf.DUMMYFUNCTION("""COMPUTED_VALUE"""),2333.0)</f>
        <v>2333</v>
      </c>
      <c r="H68" s="151">
        <f>IFERROR(__xludf.DUMMYFUNCTION("""COMPUTED_VALUE"""),151542.0)</f>
        <v>151542</v>
      </c>
      <c r="I68" s="151">
        <f>IFERROR(__xludf.DUMMYFUNCTION("""COMPUTED_VALUE"""),132.0)</f>
        <v>132</v>
      </c>
      <c r="J68" s="151">
        <f>IFERROR(__xludf.DUMMYFUNCTION("""COMPUTED_VALUE"""),122.0)</f>
        <v>122</v>
      </c>
      <c r="K68" s="151">
        <f>IFERROR(__xludf.DUMMYFUNCTION("""COMPUTED_VALUE"""),14476.0)</f>
        <v>14476</v>
      </c>
      <c r="L68" s="151">
        <f>IFERROR(__xludf.DUMMYFUNCTION("""COMPUTED_VALUE"""),1133.0)</f>
        <v>1133</v>
      </c>
      <c r="M68" s="151">
        <f>IFERROR(__xludf.DUMMYFUNCTION("""COMPUTED_VALUE"""),93828.0)</f>
        <v>93828</v>
      </c>
      <c r="N68" s="151">
        <f>IFERROR(__xludf.DUMMYFUNCTION("""COMPUTED_VALUE"""),108304.0)</f>
        <v>108304</v>
      </c>
      <c r="O68" s="151">
        <f>IFERROR(__xludf.DUMMYFUNCTION("""COMPUTED_VALUE"""),20.0)</f>
        <v>20</v>
      </c>
      <c r="P68" s="151">
        <f>IFERROR(__xludf.DUMMYFUNCTION("""COMPUTED_VALUE"""),1715.0)</f>
        <v>1715</v>
      </c>
      <c r="Q68" s="151">
        <f>IFERROR(__xludf.DUMMYFUNCTION("""COMPUTED_VALUE"""),18.0)</f>
        <v>18</v>
      </c>
      <c r="R68" s="151">
        <f>IFERROR(__xludf.DUMMYFUNCTION("""COMPUTED_VALUE"""),1237.0)</f>
        <v>1237</v>
      </c>
      <c r="S68" s="151">
        <f>IFERROR(__xludf.DUMMYFUNCTION("""COMPUTED_VALUE"""),3.0)</f>
        <v>3</v>
      </c>
      <c r="T68" s="151">
        <f>IFERROR(__xludf.DUMMYFUNCTION("""COMPUTED_VALUE"""),243.0)</f>
        <v>243</v>
      </c>
      <c r="U68" s="151">
        <f>IFERROR(__xludf.DUMMYFUNCTION("""COMPUTED_VALUE"""),235.0)</f>
        <v>235</v>
      </c>
      <c r="V68" s="151">
        <f>IFERROR(__xludf.DUMMYFUNCTION("""COMPUTED_VALUE"""),237.0)</f>
        <v>237</v>
      </c>
      <c r="W68" s="151">
        <f>IFERROR(__xludf.DUMMYFUNCTION("""COMPUTED_VALUE"""),50.0)</f>
        <v>50</v>
      </c>
      <c r="X68" s="151">
        <f>IFERROR(__xludf.DUMMYFUNCTION("""COMPUTED_VALUE"""),33.0)</f>
        <v>33</v>
      </c>
      <c r="Y68" s="151">
        <f>IFERROR(__xludf.DUMMYFUNCTION("""COMPUTED_VALUE"""),10.0)</f>
        <v>10</v>
      </c>
      <c r="Z68" s="151">
        <f>IFERROR(__xludf.DUMMYFUNCTION("""COMPUTED_VALUE"""),790.0)</f>
        <v>790</v>
      </c>
    </row>
    <row r="69">
      <c r="A69" s="210">
        <f>IFERROR(__xludf.DUMMYFUNCTION("""COMPUTED_VALUE"""),43979.0)</f>
        <v>43979</v>
      </c>
      <c r="B69" s="151">
        <f>IFERROR(__xludf.DUMMYFUNCTION("""COMPUTED_VALUE"""),348.0)</f>
        <v>348</v>
      </c>
      <c r="C69" s="151">
        <f>IFERROR(__xludf.DUMMYFUNCTION("""COMPUTED_VALUE"""),303.0)</f>
        <v>303</v>
      </c>
      <c r="D69" s="151">
        <f>IFERROR(__xludf.DUMMYFUNCTION("""COMPUTED_VALUE"""),19396.0)</f>
        <v>19396</v>
      </c>
      <c r="E69" s="151">
        <f>IFERROR(__xludf.DUMMYFUNCTION("""COMPUTED_VALUE"""),3359.0)</f>
        <v>3359</v>
      </c>
      <c r="F69" s="151">
        <f>IFERROR(__xludf.DUMMYFUNCTION("""COMPUTED_VALUE"""),135853.0)</f>
        <v>135853</v>
      </c>
      <c r="G69" s="151">
        <f>IFERROR(__xludf.DUMMYFUNCTION("""COMPUTED_VALUE"""),3707.0)</f>
        <v>3707</v>
      </c>
      <c r="H69" s="151">
        <f>IFERROR(__xludf.DUMMYFUNCTION("""COMPUTED_VALUE"""),155249.0)</f>
        <v>155249</v>
      </c>
      <c r="I69" s="151">
        <f>IFERROR(__xludf.DUMMYFUNCTION("""COMPUTED_VALUE"""),130.0)</f>
        <v>130</v>
      </c>
      <c r="J69" s="151">
        <f>IFERROR(__xludf.DUMMYFUNCTION("""COMPUTED_VALUE"""),140.0)</f>
        <v>140</v>
      </c>
      <c r="K69" s="151">
        <f>IFERROR(__xludf.DUMMYFUNCTION("""COMPUTED_VALUE"""),14606.0)</f>
        <v>14606</v>
      </c>
      <c r="L69" s="151">
        <f>IFERROR(__xludf.DUMMYFUNCTION("""COMPUTED_VALUE"""),1117.0)</f>
        <v>1117</v>
      </c>
      <c r="M69" s="151">
        <f>IFERROR(__xludf.DUMMYFUNCTION("""COMPUTED_VALUE"""),94945.0)</f>
        <v>94945</v>
      </c>
      <c r="N69" s="151">
        <f>IFERROR(__xludf.DUMMYFUNCTION("""COMPUTED_VALUE"""),109551.0)</f>
        <v>109551</v>
      </c>
      <c r="O69" s="151">
        <f>IFERROR(__xludf.DUMMYFUNCTION("""COMPUTED_VALUE"""),17.0)</f>
        <v>17</v>
      </c>
      <c r="P69" s="151">
        <f>IFERROR(__xludf.DUMMYFUNCTION("""COMPUTED_VALUE"""),1732.0)</f>
        <v>1732</v>
      </c>
      <c r="Q69" s="151">
        <f>IFERROR(__xludf.DUMMYFUNCTION("""COMPUTED_VALUE"""),29.0)</f>
        <v>29</v>
      </c>
      <c r="R69" s="151">
        <f>IFERROR(__xludf.DUMMYFUNCTION("""COMPUTED_VALUE"""),1266.0)</f>
        <v>1266</v>
      </c>
      <c r="S69" s="151">
        <f>IFERROR(__xludf.DUMMYFUNCTION("""COMPUTED_VALUE"""),4.0)</f>
        <v>4</v>
      </c>
      <c r="T69" s="151">
        <f>IFERROR(__xludf.DUMMYFUNCTION("""COMPUTED_VALUE"""),247.0)</f>
        <v>247</v>
      </c>
      <c r="U69" s="151">
        <f>IFERROR(__xludf.DUMMYFUNCTION("""COMPUTED_VALUE"""),219.0)</f>
        <v>219</v>
      </c>
      <c r="V69" s="151">
        <f>IFERROR(__xludf.DUMMYFUNCTION("""COMPUTED_VALUE"""),230.0)</f>
        <v>230</v>
      </c>
      <c r="W69" s="151">
        <f>IFERROR(__xludf.DUMMYFUNCTION("""COMPUTED_VALUE"""),47.0)</f>
        <v>47</v>
      </c>
      <c r="X69" s="151">
        <f>IFERROR(__xludf.DUMMYFUNCTION("""COMPUTED_VALUE"""),32.0)</f>
        <v>32</v>
      </c>
      <c r="Y69" s="151">
        <f>IFERROR(__xludf.DUMMYFUNCTION("""COMPUTED_VALUE"""),8.0)</f>
        <v>8</v>
      </c>
      <c r="Z69" s="151">
        <f>IFERROR(__xludf.DUMMYFUNCTION("""COMPUTED_VALUE"""),798.0)</f>
        <v>798</v>
      </c>
    </row>
    <row r="70">
      <c r="A70" s="210">
        <f>IFERROR(__xludf.DUMMYFUNCTION("""COMPUTED_VALUE"""),43980.0)</f>
        <v>43980</v>
      </c>
      <c r="B70" s="151">
        <f>IFERROR(__xludf.DUMMYFUNCTION("""COMPUTED_VALUE"""),410.0)</f>
        <v>410</v>
      </c>
      <c r="C70" s="151">
        <f>IFERROR(__xludf.DUMMYFUNCTION("""COMPUTED_VALUE"""),345.0)</f>
        <v>345</v>
      </c>
      <c r="D70" s="151">
        <f>IFERROR(__xludf.DUMMYFUNCTION("""COMPUTED_VALUE"""),19806.0)</f>
        <v>19806</v>
      </c>
      <c r="E70" s="151">
        <f>IFERROR(__xludf.DUMMYFUNCTION("""COMPUTED_VALUE"""),3914.0)</f>
        <v>3914</v>
      </c>
      <c r="F70" s="151">
        <f>IFERROR(__xludf.DUMMYFUNCTION("""COMPUTED_VALUE"""),139767.0)</f>
        <v>139767</v>
      </c>
      <c r="G70" s="151">
        <f>IFERROR(__xludf.DUMMYFUNCTION("""COMPUTED_VALUE"""),4324.0)</f>
        <v>4324</v>
      </c>
      <c r="H70" s="151">
        <f>IFERROR(__xludf.DUMMYFUNCTION("""COMPUTED_VALUE"""),159573.0)</f>
        <v>159573</v>
      </c>
      <c r="I70" s="151">
        <f>IFERROR(__xludf.DUMMYFUNCTION("""COMPUTED_VALUE"""),173.0)</f>
        <v>173</v>
      </c>
      <c r="J70" s="151">
        <f>IFERROR(__xludf.DUMMYFUNCTION("""COMPUTED_VALUE"""),145.0)</f>
        <v>145</v>
      </c>
      <c r="K70" s="151">
        <f>IFERROR(__xludf.DUMMYFUNCTION("""COMPUTED_VALUE"""),14779.0)</f>
        <v>14779</v>
      </c>
      <c r="L70" s="151">
        <f>IFERROR(__xludf.DUMMYFUNCTION("""COMPUTED_VALUE"""),1570.0)</f>
        <v>1570</v>
      </c>
      <c r="M70" s="151">
        <f>IFERROR(__xludf.DUMMYFUNCTION("""COMPUTED_VALUE"""),96515.0)</f>
        <v>96515</v>
      </c>
      <c r="N70" s="151">
        <f>IFERROR(__xludf.DUMMYFUNCTION("""COMPUTED_VALUE"""),111294.0)</f>
        <v>111294</v>
      </c>
      <c r="O70" s="151">
        <f>IFERROR(__xludf.DUMMYFUNCTION("""COMPUTED_VALUE"""),19.0)</f>
        <v>19</v>
      </c>
      <c r="P70" s="151">
        <f>IFERROR(__xludf.DUMMYFUNCTION("""COMPUTED_VALUE"""),1751.0)</f>
        <v>1751</v>
      </c>
      <c r="Q70" s="151">
        <f>IFERROR(__xludf.DUMMYFUNCTION("""COMPUTED_VALUE"""),27.0)</f>
        <v>27</v>
      </c>
      <c r="R70" s="151">
        <f>IFERROR(__xludf.DUMMYFUNCTION("""COMPUTED_VALUE"""),1293.0)</f>
        <v>1293</v>
      </c>
      <c r="S70" s="151">
        <f>IFERROR(__xludf.DUMMYFUNCTION("""COMPUTED_VALUE"""),6.0)</f>
        <v>6</v>
      </c>
      <c r="T70" s="151">
        <f>IFERROR(__xludf.DUMMYFUNCTION("""COMPUTED_VALUE"""),253.0)</f>
        <v>253</v>
      </c>
      <c r="U70" s="151">
        <f>IFERROR(__xludf.DUMMYFUNCTION("""COMPUTED_VALUE"""),205.0)</f>
        <v>205</v>
      </c>
      <c r="V70" s="151">
        <f>IFERROR(__xludf.DUMMYFUNCTION("""COMPUTED_VALUE"""),220.0)</f>
        <v>220</v>
      </c>
      <c r="W70" s="151">
        <f>IFERROR(__xludf.DUMMYFUNCTION("""COMPUTED_VALUE"""),43.0)</f>
        <v>43</v>
      </c>
      <c r="X70" s="151">
        <f>IFERROR(__xludf.DUMMYFUNCTION("""COMPUTED_VALUE"""),31.0)</f>
        <v>31</v>
      </c>
      <c r="Y70" s="151">
        <f>IFERROR(__xludf.DUMMYFUNCTION("""COMPUTED_VALUE"""),12.0)</f>
        <v>12</v>
      </c>
      <c r="Z70" s="151">
        <f>IFERROR(__xludf.DUMMYFUNCTION("""COMPUTED_VALUE"""),810.0)</f>
        <v>810</v>
      </c>
    </row>
    <row r="71">
      <c r="A71" s="210">
        <f>IFERROR(__xludf.DUMMYFUNCTION("""COMPUTED_VALUE"""),43981.0)</f>
        <v>43981</v>
      </c>
      <c r="B71" s="151">
        <f>IFERROR(__xludf.DUMMYFUNCTION("""COMPUTED_VALUE"""),225.0)</f>
        <v>225</v>
      </c>
      <c r="C71" s="151">
        <f>IFERROR(__xludf.DUMMYFUNCTION("""COMPUTED_VALUE"""),328.0)</f>
        <v>328</v>
      </c>
      <c r="D71" s="151">
        <f>IFERROR(__xludf.DUMMYFUNCTION("""COMPUTED_VALUE"""),20031.0)</f>
        <v>20031</v>
      </c>
      <c r="E71" s="151">
        <f>IFERROR(__xludf.DUMMYFUNCTION("""COMPUTED_VALUE"""),3915.0)</f>
        <v>3915</v>
      </c>
      <c r="F71" s="151">
        <f>IFERROR(__xludf.DUMMYFUNCTION("""COMPUTED_VALUE"""),143682.0)</f>
        <v>143682</v>
      </c>
      <c r="G71" s="151">
        <f>IFERROR(__xludf.DUMMYFUNCTION("""COMPUTED_VALUE"""),4140.0)</f>
        <v>4140</v>
      </c>
      <c r="H71" s="151">
        <f>IFERROR(__xludf.DUMMYFUNCTION("""COMPUTED_VALUE"""),163713.0)</f>
        <v>163713</v>
      </c>
      <c r="I71" s="151">
        <f>IFERROR(__xludf.DUMMYFUNCTION("""COMPUTED_VALUE"""),109.0)</f>
        <v>109</v>
      </c>
      <c r="J71" s="151">
        <f>IFERROR(__xludf.DUMMYFUNCTION("""COMPUTED_VALUE"""),137.0)</f>
        <v>137</v>
      </c>
      <c r="K71" s="151">
        <f>IFERROR(__xludf.DUMMYFUNCTION("""COMPUTED_VALUE"""),14888.0)</f>
        <v>14888</v>
      </c>
      <c r="L71" s="151">
        <f>IFERROR(__xludf.DUMMYFUNCTION("""COMPUTED_VALUE"""),1819.0)</f>
        <v>1819</v>
      </c>
      <c r="M71" s="151">
        <f>IFERROR(__xludf.DUMMYFUNCTION("""COMPUTED_VALUE"""),98334.0)</f>
        <v>98334</v>
      </c>
      <c r="N71" s="151">
        <f>IFERROR(__xludf.DUMMYFUNCTION("""COMPUTED_VALUE"""),113222.0)</f>
        <v>113222</v>
      </c>
      <c r="O71" s="151">
        <f>IFERROR(__xludf.DUMMYFUNCTION("""COMPUTED_VALUE"""),15.0)</f>
        <v>15</v>
      </c>
      <c r="P71" s="151">
        <f>IFERROR(__xludf.DUMMYFUNCTION("""COMPUTED_VALUE"""),1766.0)</f>
        <v>1766</v>
      </c>
      <c r="Q71" s="151">
        <f>IFERROR(__xludf.DUMMYFUNCTION("""COMPUTED_VALUE"""),19.0)</f>
        <v>19</v>
      </c>
      <c r="R71" s="151">
        <f>IFERROR(__xludf.DUMMYFUNCTION("""COMPUTED_VALUE"""),1312.0)</f>
        <v>1312</v>
      </c>
      <c r="S71" s="151">
        <f>IFERROR(__xludf.DUMMYFUNCTION("""COMPUTED_VALUE"""),4.0)</f>
        <v>4</v>
      </c>
      <c r="T71" s="151">
        <f>IFERROR(__xludf.DUMMYFUNCTION("""COMPUTED_VALUE"""),257.0)</f>
        <v>257</v>
      </c>
      <c r="U71" s="151">
        <f>IFERROR(__xludf.DUMMYFUNCTION("""COMPUTED_VALUE"""),197.0)</f>
        <v>197</v>
      </c>
      <c r="V71" s="151">
        <f>IFERROR(__xludf.DUMMYFUNCTION("""COMPUTED_VALUE"""),207.0)</f>
        <v>207</v>
      </c>
      <c r="W71" s="151">
        <f>IFERROR(__xludf.DUMMYFUNCTION("""COMPUTED_VALUE"""),40.0)</f>
        <v>40</v>
      </c>
      <c r="X71" s="151">
        <f>IFERROR(__xludf.DUMMYFUNCTION("""COMPUTED_VALUE"""),29.0)</f>
        <v>29</v>
      </c>
      <c r="Y71" s="151">
        <f>IFERROR(__xludf.DUMMYFUNCTION("""COMPUTED_VALUE"""),12.0)</f>
        <v>12</v>
      </c>
      <c r="Z71" s="151">
        <f>IFERROR(__xludf.DUMMYFUNCTION("""COMPUTED_VALUE"""),822.0)</f>
        <v>822</v>
      </c>
    </row>
    <row r="72">
      <c r="A72" s="210">
        <f>IFERROR(__xludf.DUMMYFUNCTION("""COMPUTED_VALUE"""),43982.0)</f>
        <v>43982</v>
      </c>
      <c r="B72" s="151">
        <f>IFERROR(__xludf.DUMMYFUNCTION("""COMPUTED_VALUE"""),155.0)</f>
        <v>155</v>
      </c>
      <c r="C72" s="151">
        <f>IFERROR(__xludf.DUMMYFUNCTION("""COMPUTED_VALUE"""),263.0)</f>
        <v>263</v>
      </c>
      <c r="D72" s="151">
        <f>IFERROR(__xludf.DUMMYFUNCTION("""COMPUTED_VALUE"""),20186.0)</f>
        <v>20186</v>
      </c>
      <c r="E72" s="151">
        <f>IFERROR(__xludf.DUMMYFUNCTION("""COMPUTED_VALUE"""),1688.0)</f>
        <v>1688</v>
      </c>
      <c r="F72" s="151">
        <f>IFERROR(__xludf.DUMMYFUNCTION("""COMPUTED_VALUE"""),145370.0)</f>
        <v>145370</v>
      </c>
      <c r="G72" s="151">
        <f>IFERROR(__xludf.DUMMYFUNCTION("""COMPUTED_VALUE"""),1843.0)</f>
        <v>1843</v>
      </c>
      <c r="H72" s="151">
        <f>IFERROR(__xludf.DUMMYFUNCTION("""COMPUTED_VALUE"""),165556.0)</f>
        <v>165556</v>
      </c>
      <c r="I72" s="151">
        <f>IFERROR(__xludf.DUMMYFUNCTION("""COMPUTED_VALUE"""),78.0)</f>
        <v>78</v>
      </c>
      <c r="J72" s="151">
        <f>IFERROR(__xludf.DUMMYFUNCTION("""COMPUTED_VALUE"""),120.0)</f>
        <v>120</v>
      </c>
      <c r="K72" s="151">
        <f>IFERROR(__xludf.DUMMYFUNCTION("""COMPUTED_VALUE"""),14966.0)</f>
        <v>14966</v>
      </c>
      <c r="L72" s="151">
        <f>IFERROR(__xludf.DUMMYFUNCTION("""COMPUTED_VALUE"""),855.0)</f>
        <v>855</v>
      </c>
      <c r="M72" s="151">
        <f>IFERROR(__xludf.DUMMYFUNCTION("""COMPUTED_VALUE"""),99189.0)</f>
        <v>99189</v>
      </c>
      <c r="N72" s="151">
        <f>IFERROR(__xludf.DUMMYFUNCTION("""COMPUTED_VALUE"""),114155.0)</f>
        <v>114155</v>
      </c>
      <c r="O72" s="151">
        <f>IFERROR(__xludf.DUMMYFUNCTION("""COMPUTED_VALUE"""),11.0)</f>
        <v>11</v>
      </c>
      <c r="P72" s="151">
        <f>IFERROR(__xludf.DUMMYFUNCTION("""COMPUTED_VALUE"""),1777.0)</f>
        <v>1777</v>
      </c>
      <c r="Q72" s="151">
        <f>IFERROR(__xludf.DUMMYFUNCTION("""COMPUTED_VALUE"""),10.0)</f>
        <v>10</v>
      </c>
      <c r="R72" s="151">
        <f>IFERROR(__xludf.DUMMYFUNCTION("""COMPUTED_VALUE"""),1322.0)</f>
        <v>1322</v>
      </c>
      <c r="S72" s="151">
        <f>IFERROR(__xludf.DUMMYFUNCTION("""COMPUTED_VALUE"""),1.0)</f>
        <v>1</v>
      </c>
      <c r="T72" s="151">
        <f>IFERROR(__xludf.DUMMYFUNCTION("""COMPUTED_VALUE"""),258.0)</f>
        <v>258</v>
      </c>
      <c r="U72" s="151">
        <f>IFERROR(__xludf.DUMMYFUNCTION("""COMPUTED_VALUE"""),197.0)</f>
        <v>197</v>
      </c>
      <c r="V72" s="151">
        <f>IFERROR(__xludf.DUMMYFUNCTION("""COMPUTED_VALUE"""),200.0)</f>
        <v>200</v>
      </c>
      <c r="W72" s="151">
        <f>IFERROR(__xludf.DUMMYFUNCTION("""COMPUTED_VALUE"""),43.0)</f>
        <v>43</v>
      </c>
      <c r="X72" s="151">
        <f>IFERROR(__xludf.DUMMYFUNCTION("""COMPUTED_VALUE"""),26.0)</f>
        <v>26</v>
      </c>
      <c r="Y72" s="151">
        <f>IFERROR(__xludf.DUMMYFUNCTION("""COMPUTED_VALUE"""),3.0)</f>
        <v>3</v>
      </c>
      <c r="Z72" s="151">
        <f>IFERROR(__xludf.DUMMYFUNCTION("""COMPUTED_VALUE"""),825.0)</f>
        <v>825</v>
      </c>
    </row>
    <row r="73">
      <c r="A73" s="210">
        <f>IFERROR(__xludf.DUMMYFUNCTION("""COMPUTED_VALUE"""),43983.0)</f>
        <v>43983</v>
      </c>
      <c r="B73" s="151">
        <f>IFERROR(__xludf.DUMMYFUNCTION("""COMPUTED_VALUE"""),212.0)</f>
        <v>212</v>
      </c>
      <c r="C73" s="151">
        <f>IFERROR(__xludf.DUMMYFUNCTION("""COMPUTED_VALUE"""),197.0)</f>
        <v>197</v>
      </c>
      <c r="D73" s="151">
        <f>IFERROR(__xludf.DUMMYFUNCTION("""COMPUTED_VALUE"""),20398.0)</f>
        <v>20398</v>
      </c>
      <c r="E73" s="151">
        <f>IFERROR(__xludf.DUMMYFUNCTION("""COMPUTED_VALUE"""),2792.0)</f>
        <v>2792</v>
      </c>
      <c r="F73" s="151">
        <f>IFERROR(__xludf.DUMMYFUNCTION("""COMPUTED_VALUE"""),148162.0)</f>
        <v>148162</v>
      </c>
      <c r="G73" s="151">
        <f>IFERROR(__xludf.DUMMYFUNCTION("""COMPUTED_VALUE"""),3004.0)</f>
        <v>3004</v>
      </c>
      <c r="H73" s="151">
        <f>IFERROR(__xludf.DUMMYFUNCTION("""COMPUTED_VALUE"""),168560.0)</f>
        <v>168560</v>
      </c>
      <c r="I73" s="151">
        <f>IFERROR(__xludf.DUMMYFUNCTION("""COMPUTED_VALUE"""),93.0)</f>
        <v>93</v>
      </c>
      <c r="J73" s="151">
        <f>IFERROR(__xludf.DUMMYFUNCTION("""COMPUTED_VALUE"""),93.0)</f>
        <v>93</v>
      </c>
      <c r="K73" s="151">
        <f>IFERROR(__xludf.DUMMYFUNCTION("""COMPUTED_VALUE"""),15059.0)</f>
        <v>15059</v>
      </c>
      <c r="L73" s="151">
        <f>IFERROR(__xludf.DUMMYFUNCTION("""COMPUTED_VALUE"""),1383.0)</f>
        <v>1383</v>
      </c>
      <c r="M73" s="151">
        <f>IFERROR(__xludf.DUMMYFUNCTION("""COMPUTED_VALUE"""),100572.0)</f>
        <v>100572</v>
      </c>
      <c r="N73" s="151">
        <f>IFERROR(__xludf.DUMMYFUNCTION("""COMPUTED_VALUE"""),115631.0)</f>
        <v>115631</v>
      </c>
      <c r="O73" s="151">
        <f>IFERROR(__xludf.DUMMYFUNCTION("""COMPUTED_VALUE"""),8.0)</f>
        <v>8</v>
      </c>
      <c r="P73" s="151">
        <f>IFERROR(__xludf.DUMMYFUNCTION("""COMPUTED_VALUE"""),1785.0)</f>
        <v>1785</v>
      </c>
      <c r="Q73" s="151">
        <f>IFERROR(__xludf.DUMMYFUNCTION("""COMPUTED_VALUE"""),14.0)</f>
        <v>14</v>
      </c>
      <c r="R73" s="151">
        <f>IFERROR(__xludf.DUMMYFUNCTION("""COMPUTED_VALUE"""),1336.0)</f>
        <v>1336</v>
      </c>
      <c r="S73" s="151">
        <f>IFERROR(__xludf.DUMMYFUNCTION("""COMPUTED_VALUE"""),1.0)</f>
        <v>1</v>
      </c>
      <c r="T73" s="151">
        <f>IFERROR(__xludf.DUMMYFUNCTION("""COMPUTED_VALUE"""),259.0)</f>
        <v>259</v>
      </c>
      <c r="U73" s="151">
        <f>IFERROR(__xludf.DUMMYFUNCTION("""COMPUTED_VALUE"""),190.0)</f>
        <v>190</v>
      </c>
      <c r="V73" s="151">
        <f>IFERROR(__xludf.DUMMYFUNCTION("""COMPUTED_VALUE"""),195.0)</f>
        <v>195</v>
      </c>
      <c r="W73" s="151">
        <f>IFERROR(__xludf.DUMMYFUNCTION("""COMPUTED_VALUE"""),44.0)</f>
        <v>44</v>
      </c>
      <c r="X73" s="151">
        <f>IFERROR(__xludf.DUMMYFUNCTION("""COMPUTED_VALUE"""),29.0)</f>
        <v>29</v>
      </c>
      <c r="Y73" s="151">
        <f>IFERROR(__xludf.DUMMYFUNCTION("""COMPUTED_VALUE"""),5.0)</f>
        <v>5</v>
      </c>
      <c r="Z73" s="151">
        <f>IFERROR(__xludf.DUMMYFUNCTION("""COMPUTED_VALUE"""),830.0)</f>
        <v>830</v>
      </c>
    </row>
    <row r="74">
      <c r="A74" s="210">
        <f>IFERROR(__xludf.DUMMYFUNCTION("""COMPUTED_VALUE"""),43984.0)</f>
        <v>43984</v>
      </c>
      <c r="B74" s="151">
        <f>IFERROR(__xludf.DUMMYFUNCTION("""COMPUTED_VALUE"""),273.0)</f>
        <v>273</v>
      </c>
      <c r="C74" s="151">
        <f>IFERROR(__xludf.DUMMYFUNCTION("""COMPUTED_VALUE"""),213.0)</f>
        <v>213</v>
      </c>
      <c r="D74" s="151">
        <f>IFERROR(__xludf.DUMMYFUNCTION("""COMPUTED_VALUE"""),20671.0)</f>
        <v>20671</v>
      </c>
      <c r="E74" s="151">
        <f>IFERROR(__xludf.DUMMYFUNCTION("""COMPUTED_VALUE"""),3022.0)</f>
        <v>3022</v>
      </c>
      <c r="F74" s="151">
        <f>IFERROR(__xludf.DUMMYFUNCTION("""COMPUTED_VALUE"""),151184.0)</f>
        <v>151184</v>
      </c>
      <c r="G74" s="151">
        <f>IFERROR(__xludf.DUMMYFUNCTION("""COMPUTED_VALUE"""),3295.0)</f>
        <v>3295</v>
      </c>
      <c r="H74" s="151">
        <f>IFERROR(__xludf.DUMMYFUNCTION("""COMPUTED_VALUE"""),171855.0)</f>
        <v>171855</v>
      </c>
      <c r="I74" s="151">
        <f>IFERROR(__xludf.DUMMYFUNCTION("""COMPUTED_VALUE"""),98.0)</f>
        <v>98</v>
      </c>
      <c r="J74" s="151">
        <f>IFERROR(__xludf.DUMMYFUNCTION("""COMPUTED_VALUE"""),90.0)</f>
        <v>90</v>
      </c>
      <c r="K74" s="151">
        <f>IFERROR(__xludf.DUMMYFUNCTION("""COMPUTED_VALUE"""),15157.0)</f>
        <v>15157</v>
      </c>
      <c r="L74" s="151">
        <f>IFERROR(__xludf.DUMMYFUNCTION("""COMPUTED_VALUE"""),1448.0)</f>
        <v>1448</v>
      </c>
      <c r="M74" s="151">
        <f>IFERROR(__xludf.DUMMYFUNCTION("""COMPUTED_VALUE"""),102020.0)</f>
        <v>102020</v>
      </c>
      <c r="N74" s="151">
        <f>IFERROR(__xludf.DUMMYFUNCTION("""COMPUTED_VALUE"""),117177.0)</f>
        <v>117177</v>
      </c>
      <c r="O74" s="151">
        <f>IFERROR(__xludf.DUMMYFUNCTION("""COMPUTED_VALUE"""),8.0)</f>
        <v>8</v>
      </c>
      <c r="P74" s="151">
        <f>IFERROR(__xludf.DUMMYFUNCTION("""COMPUTED_VALUE"""),1793.0)</f>
        <v>1793</v>
      </c>
      <c r="Q74" s="151">
        <f>IFERROR(__xludf.DUMMYFUNCTION("""COMPUTED_VALUE"""),9.0)</f>
        <v>9</v>
      </c>
      <c r="R74" s="151">
        <f>IFERROR(__xludf.DUMMYFUNCTION("""COMPUTED_VALUE"""),1345.0)</f>
        <v>1345</v>
      </c>
      <c r="S74" s="151">
        <f>IFERROR(__xludf.DUMMYFUNCTION("""COMPUTED_VALUE"""),3.0)</f>
        <v>3</v>
      </c>
      <c r="T74" s="151">
        <f>IFERROR(__xludf.DUMMYFUNCTION("""COMPUTED_VALUE"""),262.0)</f>
        <v>262</v>
      </c>
      <c r="U74" s="151">
        <f>IFERROR(__xludf.DUMMYFUNCTION("""COMPUTED_VALUE"""),186.0)</f>
        <v>186</v>
      </c>
      <c r="V74" s="151">
        <f>IFERROR(__xludf.DUMMYFUNCTION("""COMPUTED_VALUE"""),191.0)</f>
        <v>191</v>
      </c>
      <c r="W74" s="151">
        <f>IFERROR(__xludf.DUMMYFUNCTION("""COMPUTED_VALUE"""),37.0)</f>
        <v>37</v>
      </c>
      <c r="X74" s="151">
        <f>IFERROR(__xludf.DUMMYFUNCTION("""COMPUTED_VALUE"""),25.0)</f>
        <v>25</v>
      </c>
      <c r="Y74" s="151">
        <f>IFERROR(__xludf.DUMMYFUNCTION("""COMPUTED_VALUE"""),10.0)</f>
        <v>10</v>
      </c>
      <c r="Z74" s="151">
        <f>IFERROR(__xludf.DUMMYFUNCTION("""COMPUTED_VALUE"""),840.0)</f>
        <v>840</v>
      </c>
    </row>
    <row r="75">
      <c r="A75" s="210">
        <f>IFERROR(__xludf.DUMMYFUNCTION("""COMPUTED_VALUE"""),43985.0)</f>
        <v>43985</v>
      </c>
      <c r="B75" s="151">
        <f>IFERROR(__xludf.DUMMYFUNCTION("""COMPUTED_VALUE"""),254.0)</f>
        <v>254</v>
      </c>
      <c r="C75" s="151">
        <f>IFERROR(__xludf.DUMMYFUNCTION("""COMPUTED_VALUE"""),246.0)</f>
        <v>246</v>
      </c>
      <c r="D75" s="151">
        <f>IFERROR(__xludf.DUMMYFUNCTION("""COMPUTED_VALUE"""),20925.0)</f>
        <v>20925</v>
      </c>
      <c r="E75" s="151">
        <f>IFERROR(__xludf.DUMMYFUNCTION("""COMPUTED_VALUE"""),3486.0)</f>
        <v>3486</v>
      </c>
      <c r="F75" s="151">
        <f>IFERROR(__xludf.DUMMYFUNCTION("""COMPUTED_VALUE"""),154670.0)</f>
        <v>154670</v>
      </c>
      <c r="G75" s="151">
        <f>IFERROR(__xludf.DUMMYFUNCTION("""COMPUTED_VALUE"""),3740.0)</f>
        <v>3740</v>
      </c>
      <c r="H75" s="151">
        <f>IFERROR(__xludf.DUMMYFUNCTION("""COMPUTED_VALUE"""),175595.0)</f>
        <v>175595</v>
      </c>
      <c r="I75" s="151">
        <f>IFERROR(__xludf.DUMMYFUNCTION("""COMPUTED_VALUE"""),99.0)</f>
        <v>99</v>
      </c>
      <c r="J75" s="151">
        <f>IFERROR(__xludf.DUMMYFUNCTION("""COMPUTED_VALUE"""),97.0)</f>
        <v>97</v>
      </c>
      <c r="K75" s="151">
        <f>IFERROR(__xludf.DUMMYFUNCTION("""COMPUTED_VALUE"""),15256.0)</f>
        <v>15256</v>
      </c>
      <c r="L75" s="151">
        <f>IFERROR(__xludf.DUMMYFUNCTION("""COMPUTED_VALUE"""),1659.0)</f>
        <v>1659</v>
      </c>
      <c r="M75" s="151">
        <f>IFERROR(__xludf.DUMMYFUNCTION("""COMPUTED_VALUE"""),103679.0)</f>
        <v>103679</v>
      </c>
      <c r="N75" s="151">
        <f>IFERROR(__xludf.DUMMYFUNCTION("""COMPUTED_VALUE"""),118935.0)</f>
        <v>118935</v>
      </c>
      <c r="O75" s="151">
        <f>IFERROR(__xludf.DUMMYFUNCTION("""COMPUTED_VALUE"""),14.0)</f>
        <v>14</v>
      </c>
      <c r="P75" s="151">
        <f>IFERROR(__xludf.DUMMYFUNCTION("""COMPUTED_VALUE"""),1807.0)</f>
        <v>1807</v>
      </c>
      <c r="Q75" s="151">
        <f>IFERROR(__xludf.DUMMYFUNCTION("""COMPUTED_VALUE"""),18.0)</f>
        <v>18</v>
      </c>
      <c r="R75" s="151">
        <f>IFERROR(__xludf.DUMMYFUNCTION("""COMPUTED_VALUE"""),1363.0)</f>
        <v>1363</v>
      </c>
      <c r="S75" s="151">
        <f>IFERROR(__xludf.DUMMYFUNCTION("""COMPUTED_VALUE"""),6.0)</f>
        <v>6</v>
      </c>
      <c r="T75" s="151">
        <f>IFERROR(__xludf.DUMMYFUNCTION("""COMPUTED_VALUE"""),268.0)</f>
        <v>268</v>
      </c>
      <c r="U75" s="151">
        <f>IFERROR(__xludf.DUMMYFUNCTION("""COMPUTED_VALUE"""),176.0)</f>
        <v>176</v>
      </c>
      <c r="V75" s="151">
        <f>IFERROR(__xludf.DUMMYFUNCTION("""COMPUTED_VALUE"""),184.0)</f>
        <v>184</v>
      </c>
      <c r="W75" s="151">
        <f>IFERROR(__xludf.DUMMYFUNCTION("""COMPUTED_VALUE"""),34.0)</f>
        <v>34</v>
      </c>
      <c r="X75" s="151">
        <f>IFERROR(__xludf.DUMMYFUNCTION("""COMPUTED_VALUE"""),25.0)</f>
        <v>25</v>
      </c>
      <c r="Y75" s="151">
        <f>IFERROR(__xludf.DUMMYFUNCTION("""COMPUTED_VALUE"""),11.0)</f>
        <v>11</v>
      </c>
      <c r="Z75" s="151">
        <f>IFERROR(__xludf.DUMMYFUNCTION("""COMPUTED_VALUE"""),851.0)</f>
        <v>851</v>
      </c>
    </row>
    <row r="76">
      <c r="A76" s="210">
        <f>IFERROR(__xludf.DUMMYFUNCTION("""COMPUTED_VALUE"""),43986.0)</f>
        <v>43986</v>
      </c>
      <c r="B76" s="151">
        <f>IFERROR(__xludf.DUMMYFUNCTION("""COMPUTED_VALUE"""),276.0)</f>
        <v>276</v>
      </c>
      <c r="C76" s="151">
        <f>IFERROR(__xludf.DUMMYFUNCTION("""COMPUTED_VALUE"""),268.0)</f>
        <v>268</v>
      </c>
      <c r="D76" s="151">
        <f>IFERROR(__xludf.DUMMYFUNCTION("""COMPUTED_VALUE"""),21201.0)</f>
        <v>21201</v>
      </c>
      <c r="E76" s="151">
        <f>IFERROR(__xludf.DUMMYFUNCTION("""COMPUTED_VALUE"""),4471.0)</f>
        <v>4471</v>
      </c>
      <c r="F76" s="151">
        <f>IFERROR(__xludf.DUMMYFUNCTION("""COMPUTED_VALUE"""),159141.0)</f>
        <v>159141</v>
      </c>
      <c r="G76" s="151">
        <f>IFERROR(__xludf.DUMMYFUNCTION("""COMPUTED_VALUE"""),4747.0)</f>
        <v>4747</v>
      </c>
      <c r="H76" s="151">
        <f>IFERROR(__xludf.DUMMYFUNCTION("""COMPUTED_VALUE"""),180342.0)</f>
        <v>180342</v>
      </c>
      <c r="I76" s="151">
        <f>IFERROR(__xludf.DUMMYFUNCTION("""COMPUTED_VALUE"""),107.0)</f>
        <v>107</v>
      </c>
      <c r="J76" s="151">
        <f>IFERROR(__xludf.DUMMYFUNCTION("""COMPUTED_VALUE"""),101.0)</f>
        <v>101</v>
      </c>
      <c r="K76" s="151">
        <f>IFERROR(__xludf.DUMMYFUNCTION("""COMPUTED_VALUE"""),15363.0)</f>
        <v>15363</v>
      </c>
      <c r="L76" s="151">
        <f>IFERROR(__xludf.DUMMYFUNCTION("""COMPUTED_VALUE"""),2035.0)</f>
        <v>2035</v>
      </c>
      <c r="M76" s="151">
        <f>IFERROR(__xludf.DUMMYFUNCTION("""COMPUTED_VALUE"""),105714.0)</f>
        <v>105714</v>
      </c>
      <c r="N76" s="151">
        <f>IFERROR(__xludf.DUMMYFUNCTION("""COMPUTED_VALUE"""),121077.0)</f>
        <v>121077</v>
      </c>
      <c r="O76" s="151">
        <f>IFERROR(__xludf.DUMMYFUNCTION("""COMPUTED_VALUE"""),7.0)</f>
        <v>7</v>
      </c>
      <c r="P76" s="151">
        <f>IFERROR(__xludf.DUMMYFUNCTION("""COMPUTED_VALUE"""),1814.0)</f>
        <v>1814</v>
      </c>
      <c r="Q76" s="151">
        <f>IFERROR(__xludf.DUMMYFUNCTION("""COMPUTED_VALUE"""),25.0)</f>
        <v>25</v>
      </c>
      <c r="R76" s="151">
        <f>IFERROR(__xludf.DUMMYFUNCTION("""COMPUTED_VALUE"""),1388.0)</f>
        <v>1388</v>
      </c>
      <c r="S76" s="151">
        <f>IFERROR(__xludf.DUMMYFUNCTION("""COMPUTED_VALUE"""),3.0)</f>
        <v>3</v>
      </c>
      <c r="T76" s="151">
        <f>IFERROR(__xludf.DUMMYFUNCTION("""COMPUTED_VALUE"""),271.0)</f>
        <v>271</v>
      </c>
      <c r="U76" s="151">
        <f>IFERROR(__xludf.DUMMYFUNCTION("""COMPUTED_VALUE"""),155.0)</f>
        <v>155</v>
      </c>
      <c r="V76" s="151">
        <f>IFERROR(__xludf.DUMMYFUNCTION("""COMPUTED_VALUE"""),172.0)</f>
        <v>172</v>
      </c>
      <c r="W76" s="151">
        <f>IFERROR(__xludf.DUMMYFUNCTION("""COMPUTED_VALUE"""),31.0)</f>
        <v>31</v>
      </c>
      <c r="X76" s="151">
        <f>IFERROR(__xludf.DUMMYFUNCTION("""COMPUTED_VALUE"""),24.0)</f>
        <v>24</v>
      </c>
      <c r="Y76" s="151">
        <f>IFERROR(__xludf.DUMMYFUNCTION("""COMPUTED_VALUE"""),11.0)</f>
        <v>11</v>
      </c>
      <c r="Z76" s="151">
        <f>IFERROR(__xludf.DUMMYFUNCTION("""COMPUTED_VALUE"""),862.0)</f>
        <v>862</v>
      </c>
    </row>
    <row r="77">
      <c r="A77" s="210">
        <f>IFERROR(__xludf.DUMMYFUNCTION("""COMPUTED_VALUE"""),43987.0)</f>
        <v>43987</v>
      </c>
      <c r="B77" s="151">
        <f>IFERROR(__xludf.DUMMYFUNCTION("""COMPUTED_VALUE"""),215.0)</f>
        <v>215</v>
      </c>
      <c r="C77" s="151">
        <f>IFERROR(__xludf.DUMMYFUNCTION("""COMPUTED_VALUE"""),248.0)</f>
        <v>248</v>
      </c>
      <c r="D77" s="151">
        <f>IFERROR(__xludf.DUMMYFUNCTION("""COMPUTED_VALUE"""),21416.0)</f>
        <v>21416</v>
      </c>
      <c r="E77" s="151">
        <f>IFERROR(__xludf.DUMMYFUNCTION("""COMPUTED_VALUE"""),3513.0)</f>
        <v>3513</v>
      </c>
      <c r="F77" s="151">
        <f>IFERROR(__xludf.DUMMYFUNCTION("""COMPUTED_VALUE"""),162654.0)</f>
        <v>162654</v>
      </c>
      <c r="G77" s="151">
        <f>IFERROR(__xludf.DUMMYFUNCTION("""COMPUTED_VALUE"""),3728.0)</f>
        <v>3728</v>
      </c>
      <c r="H77" s="151">
        <f>IFERROR(__xludf.DUMMYFUNCTION("""COMPUTED_VALUE"""),184070.0)</f>
        <v>184070</v>
      </c>
      <c r="I77" s="151">
        <f>IFERROR(__xludf.DUMMYFUNCTION("""COMPUTED_VALUE"""),99.0)</f>
        <v>99</v>
      </c>
      <c r="J77" s="151">
        <f>IFERROR(__xludf.DUMMYFUNCTION("""COMPUTED_VALUE"""),102.0)</f>
        <v>102</v>
      </c>
      <c r="K77" s="151">
        <f>IFERROR(__xludf.DUMMYFUNCTION("""COMPUTED_VALUE"""),15462.0)</f>
        <v>15462</v>
      </c>
      <c r="L77" s="151">
        <f>IFERROR(__xludf.DUMMYFUNCTION("""COMPUTED_VALUE"""),1574.0)</f>
        <v>1574</v>
      </c>
      <c r="M77" s="151">
        <f>IFERROR(__xludf.DUMMYFUNCTION("""COMPUTED_VALUE"""),107288.0)</f>
        <v>107288</v>
      </c>
      <c r="N77" s="151">
        <f>IFERROR(__xludf.DUMMYFUNCTION("""COMPUTED_VALUE"""),122750.0)</f>
        <v>122750</v>
      </c>
      <c r="O77" s="151">
        <f>IFERROR(__xludf.DUMMYFUNCTION("""COMPUTED_VALUE"""),15.0)</f>
        <v>15</v>
      </c>
      <c r="P77" s="151">
        <f>IFERROR(__xludf.DUMMYFUNCTION("""COMPUTED_VALUE"""),1829.0)</f>
        <v>1829</v>
      </c>
      <c r="Q77" s="151">
        <f>IFERROR(__xludf.DUMMYFUNCTION("""COMPUTED_VALUE"""),13.0)</f>
        <v>13</v>
      </c>
      <c r="R77" s="151">
        <f>IFERROR(__xludf.DUMMYFUNCTION("""COMPUTED_VALUE"""),1401.0)</f>
        <v>1401</v>
      </c>
      <c r="S77" s="151">
        <f>IFERROR(__xludf.DUMMYFUNCTION("""COMPUTED_VALUE"""),6.0)</f>
        <v>6</v>
      </c>
      <c r="T77" s="151">
        <f>IFERROR(__xludf.DUMMYFUNCTION("""COMPUTED_VALUE"""),277.0)</f>
        <v>277</v>
      </c>
      <c r="U77" s="151">
        <f>IFERROR(__xludf.DUMMYFUNCTION("""COMPUTED_VALUE"""),151.0)</f>
        <v>151</v>
      </c>
      <c r="V77" s="151">
        <f>IFERROR(__xludf.DUMMYFUNCTION("""COMPUTED_VALUE"""),161.0)</f>
        <v>161</v>
      </c>
      <c r="W77" s="151">
        <f>IFERROR(__xludf.DUMMYFUNCTION("""COMPUTED_VALUE"""),27.0)</f>
        <v>27</v>
      </c>
      <c r="X77" s="151">
        <f>IFERROR(__xludf.DUMMYFUNCTION("""COMPUTED_VALUE"""),21.0)</f>
        <v>21</v>
      </c>
      <c r="Y77" s="151">
        <f>IFERROR(__xludf.DUMMYFUNCTION("""COMPUTED_VALUE"""),11.0)</f>
        <v>11</v>
      </c>
      <c r="Z77" s="151">
        <f>IFERROR(__xludf.DUMMYFUNCTION("""COMPUTED_VALUE"""),873.0)</f>
        <v>873</v>
      </c>
    </row>
    <row r="78">
      <c r="A78" s="210">
        <f>IFERROR(__xludf.DUMMYFUNCTION("""COMPUTED_VALUE"""),43988.0)</f>
        <v>43988</v>
      </c>
      <c r="B78" s="151">
        <f>IFERROR(__xludf.DUMMYFUNCTION("""COMPUTED_VALUE"""),201.0)</f>
        <v>201</v>
      </c>
      <c r="C78" s="151">
        <f>IFERROR(__xludf.DUMMYFUNCTION("""COMPUTED_VALUE"""),231.0)</f>
        <v>231</v>
      </c>
      <c r="D78" s="151">
        <f>IFERROR(__xludf.DUMMYFUNCTION("""COMPUTED_VALUE"""),21617.0)</f>
        <v>21617</v>
      </c>
      <c r="E78" s="151">
        <f>IFERROR(__xludf.DUMMYFUNCTION("""COMPUTED_VALUE"""),2616.0)</f>
        <v>2616</v>
      </c>
      <c r="F78" s="151">
        <f>IFERROR(__xludf.DUMMYFUNCTION("""COMPUTED_VALUE"""),165270.0)</f>
        <v>165270</v>
      </c>
      <c r="G78" s="151">
        <f>IFERROR(__xludf.DUMMYFUNCTION("""COMPUTED_VALUE"""),2817.0)</f>
        <v>2817</v>
      </c>
      <c r="H78" s="151">
        <f>IFERROR(__xludf.DUMMYFUNCTION("""COMPUTED_VALUE"""),186887.0)</f>
        <v>186887</v>
      </c>
      <c r="I78" s="151">
        <f>IFERROR(__xludf.DUMMYFUNCTION("""COMPUTED_VALUE"""),67.0)</f>
        <v>67</v>
      </c>
      <c r="J78" s="151">
        <f>IFERROR(__xludf.DUMMYFUNCTION("""COMPUTED_VALUE"""),91.0)</f>
        <v>91</v>
      </c>
      <c r="K78" s="151">
        <f>IFERROR(__xludf.DUMMYFUNCTION("""COMPUTED_VALUE"""),15529.0)</f>
        <v>15529</v>
      </c>
      <c r="L78" s="151">
        <f>IFERROR(__xludf.DUMMYFUNCTION("""COMPUTED_VALUE"""),1136.0)</f>
        <v>1136</v>
      </c>
      <c r="M78" s="151">
        <f>IFERROR(__xludf.DUMMYFUNCTION("""COMPUTED_VALUE"""),108424.0)</f>
        <v>108424</v>
      </c>
      <c r="N78" s="151">
        <f>IFERROR(__xludf.DUMMYFUNCTION("""COMPUTED_VALUE"""),123953.0)</f>
        <v>123953</v>
      </c>
      <c r="O78" s="151">
        <f>IFERROR(__xludf.DUMMYFUNCTION("""COMPUTED_VALUE"""),10.0)</f>
        <v>10</v>
      </c>
      <c r="P78" s="151">
        <f>IFERROR(__xludf.DUMMYFUNCTION("""COMPUTED_VALUE"""),1839.0)</f>
        <v>1839</v>
      </c>
      <c r="Q78" s="151">
        <f>IFERROR(__xludf.DUMMYFUNCTION("""COMPUTED_VALUE"""),7.0)</f>
        <v>7</v>
      </c>
      <c r="R78" s="151">
        <f>IFERROR(__xludf.DUMMYFUNCTION("""COMPUTED_VALUE"""),1408.0)</f>
        <v>1408</v>
      </c>
      <c r="S78" s="151">
        <f>IFERROR(__xludf.DUMMYFUNCTION("""COMPUTED_VALUE"""),2.0)</f>
        <v>2</v>
      </c>
      <c r="T78" s="151">
        <f>IFERROR(__xludf.DUMMYFUNCTION("""COMPUTED_VALUE"""),279.0)</f>
        <v>279</v>
      </c>
      <c r="U78" s="151">
        <f>IFERROR(__xludf.DUMMYFUNCTION("""COMPUTED_VALUE"""),152.0)</f>
        <v>152</v>
      </c>
      <c r="V78" s="151">
        <f>IFERROR(__xludf.DUMMYFUNCTION("""COMPUTED_VALUE"""),153.0)</f>
        <v>153</v>
      </c>
      <c r="W78" s="151">
        <f>IFERROR(__xludf.DUMMYFUNCTION("""COMPUTED_VALUE"""),29.0)</f>
        <v>29</v>
      </c>
      <c r="X78" s="151">
        <f>IFERROR(__xludf.DUMMYFUNCTION("""COMPUTED_VALUE"""),19.0)</f>
        <v>19</v>
      </c>
      <c r="Y78" s="151">
        <f>IFERROR(__xludf.DUMMYFUNCTION("""COMPUTED_VALUE"""),6.0)</f>
        <v>6</v>
      </c>
      <c r="Z78" s="151">
        <f>IFERROR(__xludf.DUMMYFUNCTION("""COMPUTED_VALUE"""),879.0)</f>
        <v>879</v>
      </c>
    </row>
    <row r="79">
      <c r="A79" s="210">
        <f>IFERROR(__xludf.DUMMYFUNCTION("""COMPUTED_VALUE"""),43989.0)</f>
        <v>43989</v>
      </c>
      <c r="B79" s="151">
        <f>IFERROR(__xludf.DUMMYFUNCTION("""COMPUTED_VALUE"""),83.0)</f>
        <v>83</v>
      </c>
      <c r="C79" s="151">
        <f>IFERROR(__xludf.DUMMYFUNCTION("""COMPUTED_VALUE"""),166.0)</f>
        <v>166</v>
      </c>
      <c r="D79" s="151">
        <f>IFERROR(__xludf.DUMMYFUNCTION("""COMPUTED_VALUE"""),21700.0)</f>
        <v>21700</v>
      </c>
      <c r="E79" s="151">
        <f>IFERROR(__xludf.DUMMYFUNCTION("""COMPUTED_VALUE"""),1625.0)</f>
        <v>1625</v>
      </c>
      <c r="F79" s="151">
        <f>IFERROR(__xludf.DUMMYFUNCTION("""COMPUTED_VALUE"""),166895.0)</f>
        <v>166895</v>
      </c>
      <c r="G79" s="151">
        <f>IFERROR(__xludf.DUMMYFUNCTION("""COMPUTED_VALUE"""),1708.0)</f>
        <v>1708</v>
      </c>
      <c r="H79" s="151">
        <f>IFERROR(__xludf.DUMMYFUNCTION("""COMPUTED_VALUE"""),188595.0)</f>
        <v>188595</v>
      </c>
      <c r="I79" s="151">
        <f>IFERROR(__xludf.DUMMYFUNCTION("""COMPUTED_VALUE"""),51.0)</f>
        <v>51</v>
      </c>
      <c r="J79" s="151">
        <f>IFERROR(__xludf.DUMMYFUNCTION("""COMPUTED_VALUE"""),72.0)</f>
        <v>72</v>
      </c>
      <c r="K79" s="151">
        <f>IFERROR(__xludf.DUMMYFUNCTION("""COMPUTED_VALUE"""),15580.0)</f>
        <v>15580</v>
      </c>
      <c r="L79" s="151">
        <f>IFERROR(__xludf.DUMMYFUNCTION("""COMPUTED_VALUE"""),782.0)</f>
        <v>782</v>
      </c>
      <c r="M79" s="151">
        <f>IFERROR(__xludf.DUMMYFUNCTION("""COMPUTED_VALUE"""),109206.0)</f>
        <v>109206</v>
      </c>
      <c r="N79" s="151">
        <f>IFERROR(__xludf.DUMMYFUNCTION("""COMPUTED_VALUE"""),124786.0)</f>
        <v>124786</v>
      </c>
      <c r="O79" s="151">
        <f>IFERROR(__xludf.DUMMYFUNCTION("""COMPUTED_VALUE"""),11.0)</f>
        <v>11</v>
      </c>
      <c r="P79" s="151">
        <f>IFERROR(__xludf.DUMMYFUNCTION("""COMPUTED_VALUE"""),1850.0)</f>
        <v>1850</v>
      </c>
      <c r="Q79" s="151">
        <f>IFERROR(__xludf.DUMMYFUNCTION("""COMPUTED_VALUE"""),7.0)</f>
        <v>7</v>
      </c>
      <c r="R79" s="151">
        <f>IFERROR(__xludf.DUMMYFUNCTION("""COMPUTED_VALUE"""),1415.0)</f>
        <v>1415</v>
      </c>
      <c r="S79" s="151">
        <f>IFERROR(__xludf.DUMMYFUNCTION("""COMPUTED_VALUE"""),1.0)</f>
        <v>1</v>
      </c>
      <c r="T79" s="151">
        <f>IFERROR(__xludf.DUMMYFUNCTION("""COMPUTED_VALUE"""),280.0)</f>
        <v>280</v>
      </c>
      <c r="U79" s="151">
        <f>IFERROR(__xludf.DUMMYFUNCTION("""COMPUTED_VALUE"""),155.0)</f>
        <v>155</v>
      </c>
      <c r="V79" s="151">
        <f>IFERROR(__xludf.DUMMYFUNCTION("""COMPUTED_VALUE"""),153.0)</f>
        <v>153</v>
      </c>
      <c r="W79" s="151">
        <f>IFERROR(__xludf.DUMMYFUNCTION("""COMPUTED_VALUE"""),25.0)</f>
        <v>25</v>
      </c>
      <c r="X79" s="151">
        <f>IFERROR(__xludf.DUMMYFUNCTION("""COMPUTED_VALUE"""),17.0)</f>
        <v>17</v>
      </c>
      <c r="Y79" s="151">
        <f>IFERROR(__xludf.DUMMYFUNCTION("""COMPUTED_VALUE"""),4.0)</f>
        <v>4</v>
      </c>
      <c r="Z79" s="151">
        <f>IFERROR(__xludf.DUMMYFUNCTION("""COMPUTED_VALUE"""),883.0)</f>
        <v>883</v>
      </c>
    </row>
    <row r="80">
      <c r="A80" s="210">
        <f>IFERROR(__xludf.DUMMYFUNCTION("""COMPUTED_VALUE"""),43990.0)</f>
        <v>43990</v>
      </c>
      <c r="B80" s="211">
        <f>IFERROR(__xludf.DUMMYFUNCTION("""COMPUTED_VALUE"""),119.0)</f>
        <v>119</v>
      </c>
      <c r="C80" s="211">
        <f>IFERROR(__xludf.DUMMYFUNCTION("""COMPUTED_VALUE"""),134.0)</f>
        <v>134</v>
      </c>
      <c r="D80" s="211">
        <f>IFERROR(__xludf.DUMMYFUNCTION("""COMPUTED_VALUE"""),21819.0)</f>
        <v>21819</v>
      </c>
      <c r="E80" s="211">
        <f>IFERROR(__xludf.DUMMYFUNCTION("""COMPUTED_VALUE"""),1849.0)</f>
        <v>1849</v>
      </c>
      <c r="F80" s="151">
        <f>IFERROR(__xludf.DUMMYFUNCTION("""COMPUTED_VALUE"""),168744.0)</f>
        <v>168744</v>
      </c>
      <c r="G80" s="151">
        <f>IFERROR(__xludf.DUMMYFUNCTION("""COMPUTED_VALUE"""),1968.0)</f>
        <v>1968</v>
      </c>
      <c r="H80" s="151">
        <f>IFERROR(__xludf.DUMMYFUNCTION("""COMPUTED_VALUE"""),190563.0)</f>
        <v>190563</v>
      </c>
      <c r="I80" s="211">
        <f>IFERROR(__xludf.DUMMYFUNCTION("""COMPUTED_VALUE"""),45.0)</f>
        <v>45</v>
      </c>
      <c r="J80" s="211">
        <f>IFERROR(__xludf.DUMMYFUNCTION("""COMPUTED_VALUE"""),54.0)</f>
        <v>54</v>
      </c>
      <c r="K80" s="211">
        <f>IFERROR(__xludf.DUMMYFUNCTION("""COMPUTED_VALUE"""),15625.0)</f>
        <v>15625</v>
      </c>
      <c r="L80" s="211">
        <f>IFERROR(__xludf.DUMMYFUNCTION("""COMPUTED_VALUE"""),959.0)</f>
        <v>959</v>
      </c>
      <c r="M80" s="211">
        <f>IFERROR(__xludf.DUMMYFUNCTION("""COMPUTED_VALUE"""),110165.0)</f>
        <v>110165</v>
      </c>
      <c r="N80" s="211">
        <f>IFERROR(__xludf.DUMMYFUNCTION("""COMPUTED_VALUE"""),125790.0)</f>
        <v>125790</v>
      </c>
      <c r="O80" s="211">
        <f>IFERROR(__xludf.DUMMYFUNCTION("""COMPUTED_VALUE"""),15.0)</f>
        <v>15</v>
      </c>
      <c r="P80" s="211">
        <f>IFERROR(__xludf.DUMMYFUNCTION("""COMPUTED_VALUE"""),1865.0)</f>
        <v>1865</v>
      </c>
      <c r="Q80" s="211">
        <f>IFERROR(__xludf.DUMMYFUNCTION("""COMPUTED_VALUE"""),12.0)</f>
        <v>12</v>
      </c>
      <c r="R80" s="211">
        <f>IFERROR(__xludf.DUMMYFUNCTION("""COMPUTED_VALUE"""),1427.0)</f>
        <v>1427</v>
      </c>
      <c r="S80" s="211">
        <f>IFERROR(__xludf.DUMMYFUNCTION("""COMPUTED_VALUE"""),2.0)</f>
        <v>2</v>
      </c>
      <c r="T80" s="211">
        <f>IFERROR(__xludf.DUMMYFUNCTION("""COMPUTED_VALUE"""),282.0)</f>
        <v>282</v>
      </c>
      <c r="U80" s="211">
        <f>IFERROR(__xludf.DUMMYFUNCTION("""COMPUTED_VALUE"""),156.0)</f>
        <v>156</v>
      </c>
      <c r="V80" s="211">
        <f>IFERROR(__xludf.DUMMYFUNCTION("""COMPUTED_VALUE"""),154.0)</f>
        <v>154</v>
      </c>
      <c r="W80" s="211">
        <f>IFERROR(__xludf.DUMMYFUNCTION("""COMPUTED_VALUE"""),27.0)</f>
        <v>27</v>
      </c>
      <c r="X80" s="211">
        <f>IFERROR(__xludf.DUMMYFUNCTION("""COMPUTED_VALUE"""),18.0)</f>
        <v>18</v>
      </c>
      <c r="Y80" s="211">
        <f>IFERROR(__xludf.DUMMYFUNCTION("""COMPUTED_VALUE"""),4.0)</f>
        <v>4</v>
      </c>
      <c r="Z80" s="211">
        <f>IFERROR(__xludf.DUMMYFUNCTION("""COMPUTED_VALUE"""),887.0)</f>
        <v>887</v>
      </c>
    </row>
    <row r="81">
      <c r="A81" s="210">
        <f>IFERROR(__xludf.DUMMYFUNCTION("""COMPUTED_VALUE"""),43991.0)</f>
        <v>43991</v>
      </c>
      <c r="B81" s="211">
        <f>IFERROR(__xludf.DUMMYFUNCTION("""COMPUTED_VALUE"""),223.0)</f>
        <v>223</v>
      </c>
      <c r="C81" s="211">
        <f>IFERROR(__xludf.DUMMYFUNCTION("""COMPUTED_VALUE"""),142.0)</f>
        <v>142</v>
      </c>
      <c r="D81" s="211">
        <f>IFERROR(__xludf.DUMMYFUNCTION("""COMPUTED_VALUE"""),22042.0)</f>
        <v>22042</v>
      </c>
      <c r="E81" s="211">
        <f>IFERROR(__xludf.DUMMYFUNCTION("""COMPUTED_VALUE"""),2673.0)</f>
        <v>2673</v>
      </c>
      <c r="F81" s="151">
        <f>IFERROR(__xludf.DUMMYFUNCTION("""COMPUTED_VALUE"""),171417.0)</f>
        <v>171417</v>
      </c>
      <c r="G81" s="151">
        <f>IFERROR(__xludf.DUMMYFUNCTION("""COMPUTED_VALUE"""),2896.0)</f>
        <v>2896</v>
      </c>
      <c r="H81" s="151">
        <f>IFERROR(__xludf.DUMMYFUNCTION("""COMPUTED_VALUE"""),193459.0)</f>
        <v>193459</v>
      </c>
      <c r="I81" s="211">
        <f>IFERROR(__xludf.DUMMYFUNCTION("""COMPUTED_VALUE"""),64.0)</f>
        <v>64</v>
      </c>
      <c r="J81" s="211">
        <f>IFERROR(__xludf.DUMMYFUNCTION("""COMPUTED_VALUE"""),53.0)</f>
        <v>53</v>
      </c>
      <c r="K81" s="211">
        <f>IFERROR(__xludf.DUMMYFUNCTION("""COMPUTED_VALUE"""),15689.0)</f>
        <v>15689</v>
      </c>
      <c r="L81" s="211">
        <f>IFERROR(__xludf.DUMMYFUNCTION("""COMPUTED_VALUE"""),1257.0)</f>
        <v>1257</v>
      </c>
      <c r="M81" s="211">
        <f>IFERROR(__xludf.DUMMYFUNCTION("""COMPUTED_VALUE"""),111422.0)</f>
        <v>111422</v>
      </c>
      <c r="N81" s="211">
        <f>IFERROR(__xludf.DUMMYFUNCTION("""COMPUTED_VALUE"""),127111.0)</f>
        <v>127111</v>
      </c>
      <c r="O81" s="211">
        <f>IFERROR(__xludf.DUMMYFUNCTION("""COMPUTED_VALUE"""),10.0)</f>
        <v>10</v>
      </c>
      <c r="P81" s="211">
        <f>IFERROR(__xludf.DUMMYFUNCTION("""COMPUTED_VALUE"""),1875.0)</f>
        <v>1875</v>
      </c>
      <c r="Q81" s="211">
        <f>IFERROR(__xludf.DUMMYFUNCTION("""COMPUTED_VALUE"""),18.0)</f>
        <v>18</v>
      </c>
      <c r="R81" s="211">
        <f>IFERROR(__xludf.DUMMYFUNCTION("""COMPUTED_VALUE"""),1445.0)</f>
        <v>1445</v>
      </c>
      <c r="S81" s="211">
        <f>IFERROR(__xludf.DUMMYFUNCTION("""COMPUTED_VALUE"""),0.0)</f>
        <v>0</v>
      </c>
      <c r="T81" s="211">
        <f>IFERROR(__xludf.DUMMYFUNCTION("""COMPUTED_VALUE"""),282.0)</f>
        <v>282</v>
      </c>
      <c r="U81" s="211">
        <f>IFERROR(__xludf.DUMMYFUNCTION("""COMPUTED_VALUE"""),148.0)</f>
        <v>148</v>
      </c>
      <c r="V81" s="211">
        <f>IFERROR(__xludf.DUMMYFUNCTION("""COMPUTED_VALUE"""),153.0)</f>
        <v>153</v>
      </c>
      <c r="W81" s="211">
        <f>IFERROR(__xludf.DUMMYFUNCTION("""COMPUTED_VALUE"""),28.0)</f>
        <v>28</v>
      </c>
      <c r="X81" s="211">
        <f>IFERROR(__xludf.DUMMYFUNCTION("""COMPUTED_VALUE"""),21.0)</f>
        <v>21</v>
      </c>
      <c r="Y81" s="211">
        <f>IFERROR(__xludf.DUMMYFUNCTION("""COMPUTED_VALUE"""),1.0)</f>
        <v>1</v>
      </c>
      <c r="Z81" s="211">
        <f>IFERROR(__xludf.DUMMYFUNCTION("""COMPUTED_VALUE"""),888.0)</f>
        <v>888</v>
      </c>
    </row>
    <row r="82">
      <c r="A82" s="210">
        <f>IFERROR(__xludf.DUMMYFUNCTION("""COMPUTED_VALUE"""),43992.0)</f>
        <v>43992</v>
      </c>
      <c r="B82" s="211">
        <f>IFERROR(__xludf.DUMMYFUNCTION("""COMPUTED_VALUE"""),209.0)</f>
        <v>209</v>
      </c>
      <c r="C82" s="211">
        <f>IFERROR(__xludf.DUMMYFUNCTION("""COMPUTED_VALUE"""),184.0)</f>
        <v>184</v>
      </c>
      <c r="D82" s="211">
        <f>IFERROR(__xludf.DUMMYFUNCTION("""COMPUTED_VALUE"""),22251.0)</f>
        <v>22251</v>
      </c>
      <c r="E82" s="211">
        <f>IFERROR(__xludf.DUMMYFUNCTION("""COMPUTED_VALUE"""),2987.0)</f>
        <v>2987</v>
      </c>
      <c r="F82" s="151">
        <f>IFERROR(__xludf.DUMMYFUNCTION("""COMPUTED_VALUE"""),174404.0)</f>
        <v>174404</v>
      </c>
      <c r="G82" s="151">
        <f>IFERROR(__xludf.DUMMYFUNCTION("""COMPUTED_VALUE"""),3196.0)</f>
        <v>3196</v>
      </c>
      <c r="H82" s="151">
        <f>IFERROR(__xludf.DUMMYFUNCTION("""COMPUTED_VALUE"""),196655.0)</f>
        <v>196655</v>
      </c>
      <c r="I82" s="211">
        <f>IFERROR(__xludf.DUMMYFUNCTION("""COMPUTED_VALUE"""),101.0)</f>
        <v>101</v>
      </c>
      <c r="J82" s="211">
        <f>IFERROR(__xludf.DUMMYFUNCTION("""COMPUTED_VALUE"""),70.0)</f>
        <v>70</v>
      </c>
      <c r="K82" s="211">
        <f>IFERROR(__xludf.DUMMYFUNCTION("""COMPUTED_VALUE"""),15790.0)</f>
        <v>15790</v>
      </c>
      <c r="L82" s="211">
        <f>IFERROR(__xludf.DUMMYFUNCTION("""COMPUTED_VALUE"""),1464.0)</f>
        <v>1464</v>
      </c>
      <c r="M82" s="211">
        <f>IFERROR(__xludf.DUMMYFUNCTION("""COMPUTED_VALUE"""),112886.0)</f>
        <v>112886</v>
      </c>
      <c r="N82" s="211">
        <f>IFERROR(__xludf.DUMMYFUNCTION("""COMPUTED_VALUE"""),128676.0)</f>
        <v>128676</v>
      </c>
      <c r="O82" s="211">
        <f>IFERROR(__xludf.DUMMYFUNCTION("""COMPUTED_VALUE"""),13.0)</f>
        <v>13</v>
      </c>
      <c r="P82" s="211">
        <f>IFERROR(__xludf.DUMMYFUNCTION("""COMPUTED_VALUE"""),1888.0)</f>
        <v>1888</v>
      </c>
      <c r="Q82" s="211">
        <f>IFERROR(__xludf.DUMMYFUNCTION("""COMPUTED_VALUE"""),12.0)</f>
        <v>12</v>
      </c>
      <c r="R82" s="211">
        <f>IFERROR(__xludf.DUMMYFUNCTION("""COMPUTED_VALUE"""),1457.0)</f>
        <v>1457</v>
      </c>
      <c r="S82" s="211">
        <f>IFERROR(__xludf.DUMMYFUNCTION("""COMPUTED_VALUE"""),2.0)</f>
        <v>2</v>
      </c>
      <c r="T82" s="211">
        <f>IFERROR(__xludf.DUMMYFUNCTION("""COMPUTED_VALUE"""),284.0)</f>
        <v>284</v>
      </c>
      <c r="U82" s="211">
        <f>IFERROR(__xludf.DUMMYFUNCTION("""COMPUTED_VALUE"""),147.0)</f>
        <v>147</v>
      </c>
      <c r="V82" s="211">
        <f>IFERROR(__xludf.DUMMYFUNCTION("""COMPUTED_VALUE"""),150.0)</f>
        <v>150</v>
      </c>
      <c r="W82" s="211">
        <f>IFERROR(__xludf.DUMMYFUNCTION("""COMPUTED_VALUE"""),24.0)</f>
        <v>24</v>
      </c>
      <c r="X82" s="211">
        <f>IFERROR(__xludf.DUMMYFUNCTION("""COMPUTED_VALUE"""),17.0)</f>
        <v>17</v>
      </c>
      <c r="Y82" s="211">
        <f>IFERROR(__xludf.DUMMYFUNCTION("""COMPUTED_VALUE"""),4.0)</f>
        <v>4</v>
      </c>
      <c r="Z82" s="211">
        <f>IFERROR(__xludf.DUMMYFUNCTION("""COMPUTED_VALUE"""),892.0)</f>
        <v>892</v>
      </c>
    </row>
    <row r="83">
      <c r="A83" s="210">
        <f>IFERROR(__xludf.DUMMYFUNCTION("""COMPUTED_VALUE"""),43993.0)</f>
        <v>43993</v>
      </c>
      <c r="B83" s="211">
        <f>IFERROR(__xludf.DUMMYFUNCTION("""COMPUTED_VALUE"""),195.0)</f>
        <v>195</v>
      </c>
      <c r="C83" s="211">
        <f>IFERROR(__xludf.DUMMYFUNCTION("""COMPUTED_VALUE"""),209.0)</f>
        <v>209</v>
      </c>
      <c r="D83" s="211">
        <f>IFERROR(__xludf.DUMMYFUNCTION("""COMPUTED_VALUE"""),22446.0)</f>
        <v>22446</v>
      </c>
      <c r="E83" s="211">
        <f>IFERROR(__xludf.DUMMYFUNCTION("""COMPUTED_VALUE"""),3513.0)</f>
        <v>3513</v>
      </c>
      <c r="F83" s="151">
        <f>IFERROR(__xludf.DUMMYFUNCTION("""COMPUTED_VALUE"""),177917.0)</f>
        <v>177917</v>
      </c>
      <c r="G83" s="151">
        <f>IFERROR(__xludf.DUMMYFUNCTION("""COMPUTED_VALUE"""),3708.0)</f>
        <v>3708</v>
      </c>
      <c r="H83" s="151">
        <f>IFERROR(__xludf.DUMMYFUNCTION("""COMPUTED_VALUE"""),200363.0)</f>
        <v>200363</v>
      </c>
      <c r="I83" s="211">
        <f>IFERROR(__xludf.DUMMYFUNCTION("""COMPUTED_VALUE"""),88.0)</f>
        <v>88</v>
      </c>
      <c r="J83" s="211">
        <f>IFERROR(__xludf.DUMMYFUNCTION("""COMPUTED_VALUE"""),84.0)</f>
        <v>84</v>
      </c>
      <c r="K83" s="211">
        <f>IFERROR(__xludf.DUMMYFUNCTION("""COMPUTED_VALUE"""),15878.0)</f>
        <v>15878</v>
      </c>
      <c r="L83" s="211">
        <f>IFERROR(__xludf.DUMMYFUNCTION("""COMPUTED_VALUE"""),1534.0)</f>
        <v>1534</v>
      </c>
      <c r="M83" s="211">
        <f>IFERROR(__xludf.DUMMYFUNCTION("""COMPUTED_VALUE"""),114420.0)</f>
        <v>114420</v>
      </c>
      <c r="N83" s="211">
        <f>IFERROR(__xludf.DUMMYFUNCTION("""COMPUTED_VALUE"""),130298.0)</f>
        <v>130298</v>
      </c>
      <c r="O83" s="211">
        <f>IFERROR(__xludf.DUMMYFUNCTION("""COMPUTED_VALUE"""),7.0)</f>
        <v>7</v>
      </c>
      <c r="P83" s="211">
        <f>IFERROR(__xludf.DUMMYFUNCTION("""COMPUTED_VALUE"""),1895.0)</f>
        <v>1895</v>
      </c>
      <c r="Q83" s="211">
        <f>IFERROR(__xludf.DUMMYFUNCTION("""COMPUTED_VALUE"""),15.0)</f>
        <v>15</v>
      </c>
      <c r="R83" s="211">
        <f>IFERROR(__xludf.DUMMYFUNCTION("""COMPUTED_VALUE"""),1472.0)</f>
        <v>1472</v>
      </c>
      <c r="S83" s="211">
        <f>IFERROR(__xludf.DUMMYFUNCTION("""COMPUTED_VALUE"""),1.0)</f>
        <v>1</v>
      </c>
      <c r="T83" s="211">
        <f>IFERROR(__xludf.DUMMYFUNCTION("""COMPUTED_VALUE"""),285.0)</f>
        <v>285</v>
      </c>
      <c r="U83" s="211">
        <f>IFERROR(__xludf.DUMMYFUNCTION("""COMPUTED_VALUE"""),138.0)</f>
        <v>138</v>
      </c>
      <c r="V83" s="211">
        <f>IFERROR(__xludf.DUMMYFUNCTION("""COMPUTED_VALUE"""),144.0)</f>
        <v>144</v>
      </c>
      <c r="W83" s="211">
        <f>IFERROR(__xludf.DUMMYFUNCTION("""COMPUTED_VALUE"""),25.0)</f>
        <v>25</v>
      </c>
      <c r="X83" s="211">
        <f>IFERROR(__xludf.DUMMYFUNCTION("""COMPUTED_VALUE"""),16.0)</f>
        <v>16</v>
      </c>
      <c r="Y83" s="211">
        <f>IFERROR(__xludf.DUMMYFUNCTION("""COMPUTED_VALUE"""),6.0)</f>
        <v>6</v>
      </c>
      <c r="Z83" s="211">
        <f>IFERROR(__xludf.DUMMYFUNCTION("""COMPUTED_VALUE"""),898.0)</f>
        <v>898</v>
      </c>
    </row>
    <row r="84">
      <c r="A84" s="210">
        <f>IFERROR(__xludf.DUMMYFUNCTION("""COMPUTED_VALUE"""),43994.0)</f>
        <v>43994</v>
      </c>
      <c r="B84" s="211">
        <f>IFERROR(__xludf.DUMMYFUNCTION("""COMPUTED_VALUE"""),209.0)</f>
        <v>209</v>
      </c>
      <c r="C84" s="211">
        <f>IFERROR(__xludf.DUMMYFUNCTION("""COMPUTED_VALUE"""),204.0)</f>
        <v>204</v>
      </c>
      <c r="D84" s="211">
        <f>IFERROR(__xludf.DUMMYFUNCTION("""COMPUTED_VALUE"""),22655.0)</f>
        <v>22655</v>
      </c>
      <c r="E84" s="211">
        <f>IFERROR(__xludf.DUMMYFUNCTION("""COMPUTED_VALUE"""),4601.0)</f>
        <v>4601</v>
      </c>
      <c r="F84" s="151">
        <f>IFERROR(__xludf.DUMMYFUNCTION("""COMPUTED_VALUE"""),182518.0)</f>
        <v>182518</v>
      </c>
      <c r="G84" s="151">
        <f>IFERROR(__xludf.DUMMYFUNCTION("""COMPUTED_VALUE"""),4810.0)</f>
        <v>4810</v>
      </c>
      <c r="H84" s="151">
        <f>IFERROR(__xludf.DUMMYFUNCTION("""COMPUTED_VALUE"""),205173.0)</f>
        <v>205173</v>
      </c>
      <c r="I84" s="211">
        <f>IFERROR(__xludf.DUMMYFUNCTION("""COMPUTED_VALUE"""),78.0)</f>
        <v>78</v>
      </c>
      <c r="J84" s="211">
        <f>IFERROR(__xludf.DUMMYFUNCTION("""COMPUTED_VALUE"""),89.0)</f>
        <v>89</v>
      </c>
      <c r="K84" s="211">
        <f>IFERROR(__xludf.DUMMYFUNCTION("""COMPUTED_VALUE"""),15956.0)</f>
        <v>15956</v>
      </c>
      <c r="L84" s="211">
        <f>IFERROR(__xludf.DUMMYFUNCTION("""COMPUTED_VALUE"""),2178.0)</f>
        <v>2178</v>
      </c>
      <c r="M84" s="211">
        <f>IFERROR(__xludf.DUMMYFUNCTION("""COMPUTED_VALUE"""),116598.0)</f>
        <v>116598</v>
      </c>
      <c r="N84" s="211">
        <f>IFERROR(__xludf.DUMMYFUNCTION("""COMPUTED_VALUE"""),132554.0)</f>
        <v>132554</v>
      </c>
      <c r="O84" s="211">
        <f>IFERROR(__xludf.DUMMYFUNCTION("""COMPUTED_VALUE"""),9.0)</f>
        <v>9</v>
      </c>
      <c r="P84" s="211">
        <f>IFERROR(__xludf.DUMMYFUNCTION("""COMPUTED_VALUE"""),1904.0)</f>
        <v>1904</v>
      </c>
      <c r="Q84" s="211">
        <f>IFERROR(__xludf.DUMMYFUNCTION("""COMPUTED_VALUE"""),15.0)</f>
        <v>15</v>
      </c>
      <c r="R84" s="211">
        <f>IFERROR(__xludf.DUMMYFUNCTION("""COMPUTED_VALUE"""),1487.0)</f>
        <v>1487</v>
      </c>
      <c r="S84" s="211">
        <f>IFERROR(__xludf.DUMMYFUNCTION("""COMPUTED_VALUE"""),1.0)</f>
        <v>1</v>
      </c>
      <c r="T84" s="211">
        <f>IFERROR(__xludf.DUMMYFUNCTION("""COMPUTED_VALUE"""),286.0)</f>
        <v>286</v>
      </c>
      <c r="U84" s="211">
        <f>IFERROR(__xludf.DUMMYFUNCTION("""COMPUTED_VALUE"""),131.0)</f>
        <v>131</v>
      </c>
      <c r="V84" s="211">
        <f>IFERROR(__xludf.DUMMYFUNCTION("""COMPUTED_VALUE"""),139.0)</f>
        <v>139</v>
      </c>
      <c r="W84" s="211">
        <f>IFERROR(__xludf.DUMMYFUNCTION("""COMPUTED_VALUE"""),24.0)</f>
        <v>24</v>
      </c>
      <c r="X84" s="211">
        <f>IFERROR(__xludf.DUMMYFUNCTION("""COMPUTED_VALUE"""),16.0)</f>
        <v>16</v>
      </c>
      <c r="Y84" s="211">
        <f>IFERROR(__xludf.DUMMYFUNCTION("""COMPUTED_VALUE"""),2.0)</f>
        <v>2</v>
      </c>
      <c r="Z84" s="211">
        <f>IFERROR(__xludf.DUMMYFUNCTION("""COMPUTED_VALUE"""),900.0)</f>
        <v>900</v>
      </c>
    </row>
    <row r="85">
      <c r="A85" s="210">
        <f>IFERROR(__xludf.DUMMYFUNCTION("""COMPUTED_VALUE"""),43995.0)</f>
        <v>43995</v>
      </c>
      <c r="B85" s="211">
        <f>IFERROR(__xludf.DUMMYFUNCTION("""COMPUTED_VALUE"""),113.0)</f>
        <v>113</v>
      </c>
      <c r="C85" s="211">
        <f>IFERROR(__xludf.DUMMYFUNCTION("""COMPUTED_VALUE"""),172.0)</f>
        <v>172</v>
      </c>
      <c r="D85" s="211">
        <f>IFERROR(__xludf.DUMMYFUNCTION("""COMPUTED_VALUE"""),22768.0)</f>
        <v>22768</v>
      </c>
      <c r="E85" s="211">
        <f>IFERROR(__xludf.DUMMYFUNCTION("""COMPUTED_VALUE"""),3036.0)</f>
        <v>3036</v>
      </c>
      <c r="F85" s="151">
        <f>IFERROR(__xludf.DUMMYFUNCTION("""COMPUTED_VALUE"""),185554.0)</f>
        <v>185554</v>
      </c>
      <c r="G85" s="151">
        <f>IFERROR(__xludf.DUMMYFUNCTION("""COMPUTED_VALUE"""),3149.0)</f>
        <v>3149</v>
      </c>
      <c r="H85" s="151">
        <f>IFERROR(__xludf.DUMMYFUNCTION("""COMPUTED_VALUE"""),208322.0)</f>
        <v>208322</v>
      </c>
      <c r="I85" s="211">
        <f>IFERROR(__xludf.DUMMYFUNCTION("""COMPUTED_VALUE"""),49.0)</f>
        <v>49</v>
      </c>
      <c r="J85" s="211">
        <f>IFERROR(__xludf.DUMMYFUNCTION("""COMPUTED_VALUE"""),72.0)</f>
        <v>72</v>
      </c>
      <c r="K85" s="211">
        <f>IFERROR(__xludf.DUMMYFUNCTION("""COMPUTED_VALUE"""),16005.0)</f>
        <v>16005</v>
      </c>
      <c r="L85" s="211">
        <f>IFERROR(__xludf.DUMMYFUNCTION("""COMPUTED_VALUE"""),1373.0)</f>
        <v>1373</v>
      </c>
      <c r="M85" s="211">
        <f>IFERROR(__xludf.DUMMYFUNCTION("""COMPUTED_VALUE"""),117971.0)</f>
        <v>117971</v>
      </c>
      <c r="N85" s="211">
        <f>IFERROR(__xludf.DUMMYFUNCTION("""COMPUTED_VALUE"""),133976.0)</f>
        <v>133976</v>
      </c>
      <c r="O85" s="211">
        <f>IFERROR(__xludf.DUMMYFUNCTION("""COMPUTED_VALUE"""),6.0)</f>
        <v>6</v>
      </c>
      <c r="P85" s="211">
        <f>IFERROR(__xludf.DUMMYFUNCTION("""COMPUTED_VALUE"""),1910.0)</f>
        <v>1910</v>
      </c>
      <c r="Q85" s="211">
        <f>IFERROR(__xludf.DUMMYFUNCTION("""COMPUTED_VALUE"""),4.0)</f>
        <v>4</v>
      </c>
      <c r="R85" s="211">
        <f>IFERROR(__xludf.DUMMYFUNCTION("""COMPUTED_VALUE"""),1491.0)</f>
        <v>1491</v>
      </c>
      <c r="S85" s="211">
        <f>IFERROR(__xludf.DUMMYFUNCTION("""COMPUTED_VALUE"""),0.0)</f>
        <v>0</v>
      </c>
      <c r="T85" s="211">
        <f>IFERROR(__xludf.DUMMYFUNCTION("""COMPUTED_VALUE"""),286.0)</f>
        <v>286</v>
      </c>
      <c r="U85" s="211">
        <f>IFERROR(__xludf.DUMMYFUNCTION("""COMPUTED_VALUE"""),133.0)</f>
        <v>133</v>
      </c>
      <c r="V85" s="211">
        <f>IFERROR(__xludf.DUMMYFUNCTION("""COMPUTED_VALUE"""),134.0)</f>
        <v>134</v>
      </c>
      <c r="W85" s="211">
        <f>IFERROR(__xludf.DUMMYFUNCTION("""COMPUTED_VALUE"""),20.0)</f>
        <v>20</v>
      </c>
      <c r="X85" s="211">
        <f>IFERROR(__xludf.DUMMYFUNCTION("""COMPUTED_VALUE"""),15.0)</f>
        <v>15</v>
      </c>
      <c r="Y85" s="211">
        <f>IFERROR(__xludf.DUMMYFUNCTION("""COMPUTED_VALUE"""),3.0)</f>
        <v>3</v>
      </c>
      <c r="Z85" s="211">
        <f>IFERROR(__xludf.DUMMYFUNCTION("""COMPUTED_VALUE"""),903.0)</f>
        <v>903</v>
      </c>
    </row>
    <row r="86">
      <c r="A86" s="210">
        <f>IFERROR(__xludf.DUMMYFUNCTION("""COMPUTED_VALUE"""),43996.0)</f>
        <v>43996</v>
      </c>
      <c r="B86" s="211">
        <f>IFERROR(__xludf.DUMMYFUNCTION("""COMPUTED_VALUE"""),81.0)</f>
        <v>81</v>
      </c>
      <c r="C86" s="211">
        <f>IFERROR(__xludf.DUMMYFUNCTION("""COMPUTED_VALUE"""),134.0)</f>
        <v>134</v>
      </c>
      <c r="D86" s="211">
        <f>IFERROR(__xludf.DUMMYFUNCTION("""COMPUTED_VALUE"""),22849.0)</f>
        <v>22849</v>
      </c>
      <c r="E86" s="211">
        <f>IFERROR(__xludf.DUMMYFUNCTION("""COMPUTED_VALUE"""),2046.0)</f>
        <v>2046</v>
      </c>
      <c r="F86" s="151">
        <f>IFERROR(__xludf.DUMMYFUNCTION("""COMPUTED_VALUE"""),187600.0)</f>
        <v>187600</v>
      </c>
      <c r="G86" s="151">
        <f>IFERROR(__xludf.DUMMYFUNCTION("""COMPUTED_VALUE"""),2127.0)</f>
        <v>2127</v>
      </c>
      <c r="H86" s="151">
        <f>IFERROR(__xludf.DUMMYFUNCTION("""COMPUTED_VALUE"""),210449.0)</f>
        <v>210449</v>
      </c>
      <c r="I86" s="211">
        <f>IFERROR(__xludf.DUMMYFUNCTION("""COMPUTED_VALUE"""),33.0)</f>
        <v>33</v>
      </c>
      <c r="J86" s="211">
        <f>IFERROR(__xludf.DUMMYFUNCTION("""COMPUTED_VALUE"""),53.0)</f>
        <v>53</v>
      </c>
      <c r="K86" s="211">
        <f>IFERROR(__xludf.DUMMYFUNCTION("""COMPUTED_VALUE"""),16038.0)</f>
        <v>16038</v>
      </c>
      <c r="L86" s="211">
        <f>IFERROR(__xludf.DUMMYFUNCTION("""COMPUTED_VALUE"""),968.0)</f>
        <v>968</v>
      </c>
      <c r="M86" s="211">
        <f>IFERROR(__xludf.DUMMYFUNCTION("""COMPUTED_VALUE"""),118939.0)</f>
        <v>118939</v>
      </c>
      <c r="N86" s="211">
        <f>IFERROR(__xludf.DUMMYFUNCTION("""COMPUTED_VALUE"""),134977.0)</f>
        <v>134977</v>
      </c>
      <c r="O86" s="211">
        <f>IFERROR(__xludf.DUMMYFUNCTION("""COMPUTED_VALUE"""),7.0)</f>
        <v>7</v>
      </c>
      <c r="P86" s="211">
        <f>IFERROR(__xludf.DUMMYFUNCTION("""COMPUTED_VALUE"""),1917.0)</f>
        <v>1917</v>
      </c>
      <c r="Q86" s="211">
        <f>IFERROR(__xludf.DUMMYFUNCTION("""COMPUTED_VALUE"""),8.0)</f>
        <v>8</v>
      </c>
      <c r="R86" s="211">
        <f>IFERROR(__xludf.DUMMYFUNCTION("""COMPUTED_VALUE"""),1499.0)</f>
        <v>1499</v>
      </c>
      <c r="S86" s="211">
        <f>IFERROR(__xludf.DUMMYFUNCTION("""COMPUTED_VALUE"""),1.0)</f>
        <v>1</v>
      </c>
      <c r="T86" s="211">
        <f>IFERROR(__xludf.DUMMYFUNCTION("""COMPUTED_VALUE"""),287.0)</f>
        <v>287</v>
      </c>
      <c r="U86" s="211">
        <f>IFERROR(__xludf.DUMMYFUNCTION("""COMPUTED_VALUE"""),131.0)</f>
        <v>131</v>
      </c>
      <c r="V86" s="211">
        <f>IFERROR(__xludf.DUMMYFUNCTION("""COMPUTED_VALUE"""),132.0)</f>
        <v>132</v>
      </c>
      <c r="W86" s="211">
        <f>IFERROR(__xludf.DUMMYFUNCTION("""COMPUTED_VALUE"""),20.0)</f>
        <v>20</v>
      </c>
      <c r="X86" s="211">
        <f>IFERROR(__xludf.DUMMYFUNCTION("""COMPUTED_VALUE"""),14.0)</f>
        <v>14</v>
      </c>
      <c r="Y86" s="211">
        <f>IFERROR(__xludf.DUMMYFUNCTION("""COMPUTED_VALUE"""),3.0)</f>
        <v>3</v>
      </c>
      <c r="Z86" s="211">
        <f>IFERROR(__xludf.DUMMYFUNCTION("""COMPUTED_VALUE"""),906.0)</f>
        <v>906</v>
      </c>
    </row>
    <row r="87">
      <c r="A87" s="210">
        <f>IFERROR(__xludf.DUMMYFUNCTION("""COMPUTED_VALUE"""),43997.0)</f>
        <v>43997</v>
      </c>
      <c r="B87" s="211">
        <f>IFERROR(__xludf.DUMMYFUNCTION("""COMPUTED_VALUE"""),188.0)</f>
        <v>188</v>
      </c>
      <c r="C87" s="211">
        <f>IFERROR(__xludf.DUMMYFUNCTION("""COMPUTED_VALUE"""),127.0)</f>
        <v>127</v>
      </c>
      <c r="D87" s="211">
        <f>IFERROR(__xludf.DUMMYFUNCTION("""COMPUTED_VALUE"""),23037.0)</f>
        <v>23037</v>
      </c>
      <c r="E87" s="211">
        <f>IFERROR(__xludf.DUMMYFUNCTION("""COMPUTED_VALUE"""),3108.0)</f>
        <v>3108</v>
      </c>
      <c r="F87" s="151">
        <f>IFERROR(__xludf.DUMMYFUNCTION("""COMPUTED_VALUE"""),190708.0)</f>
        <v>190708</v>
      </c>
      <c r="G87" s="151">
        <f>IFERROR(__xludf.DUMMYFUNCTION("""COMPUTED_VALUE"""),3296.0)</f>
        <v>3296</v>
      </c>
      <c r="H87" s="151">
        <f>IFERROR(__xludf.DUMMYFUNCTION("""COMPUTED_VALUE"""),213745.0)</f>
        <v>213745</v>
      </c>
      <c r="I87" s="211">
        <f>IFERROR(__xludf.DUMMYFUNCTION("""COMPUTED_VALUE"""),75.0)</f>
        <v>75</v>
      </c>
      <c r="J87" s="211">
        <f>IFERROR(__xludf.DUMMYFUNCTION("""COMPUTED_VALUE"""),52.0)</f>
        <v>52</v>
      </c>
      <c r="K87" s="211">
        <f>IFERROR(__xludf.DUMMYFUNCTION("""COMPUTED_VALUE"""),16113.0)</f>
        <v>16113</v>
      </c>
      <c r="L87" s="211">
        <f>IFERROR(__xludf.DUMMYFUNCTION("""COMPUTED_VALUE"""),1790.0)</f>
        <v>1790</v>
      </c>
      <c r="M87" s="211">
        <f>IFERROR(__xludf.DUMMYFUNCTION("""COMPUTED_VALUE"""),120729.0)</f>
        <v>120729</v>
      </c>
      <c r="N87" s="211">
        <f>IFERROR(__xludf.DUMMYFUNCTION("""COMPUTED_VALUE"""),136842.0)</f>
        <v>136842</v>
      </c>
      <c r="O87" s="211">
        <f>IFERROR(__xludf.DUMMYFUNCTION("""COMPUTED_VALUE"""),14.0)</f>
        <v>14</v>
      </c>
      <c r="P87" s="211">
        <f>IFERROR(__xludf.DUMMYFUNCTION("""COMPUTED_VALUE"""),1931.0)</f>
        <v>1931</v>
      </c>
      <c r="Q87" s="211">
        <f>IFERROR(__xludf.DUMMYFUNCTION("""COMPUTED_VALUE"""),14.0)</f>
        <v>14</v>
      </c>
      <c r="R87" s="211">
        <f>IFERROR(__xludf.DUMMYFUNCTION("""COMPUTED_VALUE"""),1513.0)</f>
        <v>1513</v>
      </c>
      <c r="S87" s="211">
        <f>IFERROR(__xludf.DUMMYFUNCTION("""COMPUTED_VALUE"""),0.0)</f>
        <v>0</v>
      </c>
      <c r="T87" s="211">
        <f>IFERROR(__xludf.DUMMYFUNCTION("""COMPUTED_VALUE"""),287.0)</f>
        <v>287</v>
      </c>
      <c r="U87" s="211">
        <f>IFERROR(__xludf.DUMMYFUNCTION("""COMPUTED_VALUE"""),131.0)</f>
        <v>131</v>
      </c>
      <c r="V87" s="211">
        <f>IFERROR(__xludf.DUMMYFUNCTION("""COMPUTED_VALUE"""),132.0)</f>
        <v>132</v>
      </c>
      <c r="W87" s="211">
        <f>IFERROR(__xludf.DUMMYFUNCTION("""COMPUTED_VALUE"""),20.0)</f>
        <v>20</v>
      </c>
      <c r="X87" s="211">
        <f>IFERROR(__xludf.DUMMYFUNCTION("""COMPUTED_VALUE"""),16.0)</f>
        <v>16</v>
      </c>
      <c r="Y87" s="211">
        <f>IFERROR(__xludf.DUMMYFUNCTION("""COMPUTED_VALUE"""),5.0)</f>
        <v>5</v>
      </c>
      <c r="Z87" s="211">
        <f>IFERROR(__xludf.DUMMYFUNCTION("""COMPUTED_VALUE"""),911.0)</f>
        <v>911</v>
      </c>
    </row>
    <row r="88">
      <c r="A88" s="210">
        <f>IFERROR(__xludf.DUMMYFUNCTION("""COMPUTED_VALUE"""),43998.0)</f>
        <v>43998</v>
      </c>
      <c r="B88" s="211">
        <f>IFERROR(__xludf.DUMMYFUNCTION("""COMPUTED_VALUE"""),110.0)</f>
        <v>110</v>
      </c>
      <c r="C88" s="211">
        <f>IFERROR(__xludf.DUMMYFUNCTION("""COMPUTED_VALUE"""),126.0)</f>
        <v>126</v>
      </c>
      <c r="D88" s="211">
        <f>IFERROR(__xludf.DUMMYFUNCTION("""COMPUTED_VALUE"""),23147.0)</f>
        <v>23147</v>
      </c>
      <c r="E88" s="211">
        <f>IFERROR(__xludf.DUMMYFUNCTION("""COMPUTED_VALUE"""),3017.0)</f>
        <v>3017</v>
      </c>
      <c r="F88" s="151">
        <f>IFERROR(__xludf.DUMMYFUNCTION("""COMPUTED_VALUE"""),193725.0)</f>
        <v>193725</v>
      </c>
      <c r="G88" s="151">
        <f>IFERROR(__xludf.DUMMYFUNCTION("""COMPUTED_VALUE"""),3127.0)</f>
        <v>3127</v>
      </c>
      <c r="H88" s="151">
        <f>IFERROR(__xludf.DUMMYFUNCTION("""COMPUTED_VALUE"""),216872.0)</f>
        <v>216872</v>
      </c>
      <c r="I88" s="211">
        <f>IFERROR(__xludf.DUMMYFUNCTION("""COMPUTED_VALUE"""),50.0)</f>
        <v>50</v>
      </c>
      <c r="J88" s="211">
        <f>IFERROR(__xludf.DUMMYFUNCTION("""COMPUTED_VALUE"""),53.0)</f>
        <v>53</v>
      </c>
      <c r="K88" s="211">
        <f>IFERROR(__xludf.DUMMYFUNCTION("""COMPUTED_VALUE"""),16163.0)</f>
        <v>16163</v>
      </c>
      <c r="L88" s="211">
        <f>IFERROR(__xludf.DUMMYFUNCTION("""COMPUTED_VALUE"""),1577.0)</f>
        <v>1577</v>
      </c>
      <c r="M88" s="211">
        <f>IFERROR(__xludf.DUMMYFUNCTION("""COMPUTED_VALUE"""),122306.0)</f>
        <v>122306</v>
      </c>
      <c r="N88" s="211">
        <f>IFERROR(__xludf.DUMMYFUNCTION("""COMPUTED_VALUE"""),138469.0)</f>
        <v>138469</v>
      </c>
      <c r="O88" s="211">
        <f>IFERROR(__xludf.DUMMYFUNCTION("""COMPUTED_VALUE"""),11.0)</f>
        <v>11</v>
      </c>
      <c r="P88" s="211">
        <f>IFERROR(__xludf.DUMMYFUNCTION("""COMPUTED_VALUE"""),1942.0)</f>
        <v>1942</v>
      </c>
      <c r="Q88" s="211">
        <f>IFERROR(__xludf.DUMMYFUNCTION("""COMPUTED_VALUE"""),9.0)</f>
        <v>9</v>
      </c>
      <c r="R88" s="211">
        <f>IFERROR(__xludf.DUMMYFUNCTION("""COMPUTED_VALUE"""),1522.0)</f>
        <v>1522</v>
      </c>
      <c r="S88" s="211">
        <f>IFERROR(__xludf.DUMMYFUNCTION("""COMPUTED_VALUE"""),1.0)</f>
        <v>1</v>
      </c>
      <c r="T88" s="211">
        <f>IFERROR(__xludf.DUMMYFUNCTION("""COMPUTED_VALUE"""),288.0)</f>
        <v>288</v>
      </c>
      <c r="U88" s="211">
        <f>IFERROR(__xludf.DUMMYFUNCTION("""COMPUTED_VALUE"""),132.0)</f>
        <v>132</v>
      </c>
      <c r="V88" s="211">
        <f>IFERROR(__xludf.DUMMYFUNCTION("""COMPUTED_VALUE"""),131.0)</f>
        <v>131</v>
      </c>
      <c r="W88" s="211">
        <f>IFERROR(__xludf.DUMMYFUNCTION("""COMPUTED_VALUE"""),22.0)</f>
        <v>22</v>
      </c>
      <c r="X88" s="211">
        <f>IFERROR(__xludf.DUMMYFUNCTION("""COMPUTED_VALUE"""),16.0)</f>
        <v>16</v>
      </c>
      <c r="Y88" s="211">
        <f>IFERROR(__xludf.DUMMYFUNCTION("""COMPUTED_VALUE"""),8.0)</f>
        <v>8</v>
      </c>
      <c r="Z88" s="211">
        <f>IFERROR(__xludf.DUMMYFUNCTION("""COMPUTED_VALUE"""),919.0)</f>
        <v>919</v>
      </c>
    </row>
    <row r="89">
      <c r="A89" s="210">
        <f>IFERROR(__xludf.DUMMYFUNCTION("""COMPUTED_VALUE"""),43999.0)</f>
        <v>43999</v>
      </c>
      <c r="B89" s="211">
        <f>IFERROR(__xludf.DUMMYFUNCTION("""COMPUTED_VALUE"""),127.0)</f>
        <v>127</v>
      </c>
      <c r="C89" s="211">
        <f>IFERROR(__xludf.DUMMYFUNCTION("""COMPUTED_VALUE"""),142.0)</f>
        <v>142</v>
      </c>
      <c r="D89" s="211">
        <f>IFERROR(__xludf.DUMMYFUNCTION("""COMPUTED_VALUE"""),23274.0)</f>
        <v>23274</v>
      </c>
      <c r="E89" s="211">
        <f>IFERROR(__xludf.DUMMYFUNCTION("""COMPUTED_VALUE"""),2835.0)</f>
        <v>2835</v>
      </c>
      <c r="F89" s="151">
        <f>IFERROR(__xludf.DUMMYFUNCTION("""COMPUTED_VALUE"""),196560.0)</f>
        <v>196560</v>
      </c>
      <c r="G89" s="151">
        <f>IFERROR(__xludf.DUMMYFUNCTION("""COMPUTED_VALUE"""),2962.0)</f>
        <v>2962</v>
      </c>
      <c r="H89" s="151">
        <f>IFERROR(__xludf.DUMMYFUNCTION("""COMPUTED_VALUE"""),219834.0)</f>
        <v>219834</v>
      </c>
      <c r="I89" s="211">
        <f>IFERROR(__xludf.DUMMYFUNCTION("""COMPUTED_VALUE"""),50.0)</f>
        <v>50</v>
      </c>
      <c r="J89" s="211">
        <f>IFERROR(__xludf.DUMMYFUNCTION("""COMPUTED_VALUE"""),58.0)</f>
        <v>58</v>
      </c>
      <c r="K89" s="211">
        <f>IFERROR(__xludf.DUMMYFUNCTION("""COMPUTED_VALUE"""),16213.0)</f>
        <v>16213</v>
      </c>
      <c r="L89" s="211">
        <f>IFERROR(__xludf.DUMMYFUNCTION("""COMPUTED_VALUE"""),1318.0)</f>
        <v>1318</v>
      </c>
      <c r="M89" s="211">
        <f>IFERROR(__xludf.DUMMYFUNCTION("""COMPUTED_VALUE"""),123624.0)</f>
        <v>123624</v>
      </c>
      <c r="N89" s="211">
        <f>IFERROR(__xludf.DUMMYFUNCTION("""COMPUTED_VALUE"""),139837.0)</f>
        <v>139837</v>
      </c>
      <c r="O89" s="211">
        <f>IFERROR(__xludf.DUMMYFUNCTION("""COMPUTED_VALUE"""),15.0)</f>
        <v>15</v>
      </c>
      <c r="P89" s="211">
        <f>IFERROR(__xludf.DUMMYFUNCTION("""COMPUTED_VALUE"""),1957.0)</f>
        <v>1957</v>
      </c>
      <c r="Q89" s="211">
        <f>IFERROR(__xludf.DUMMYFUNCTION("""COMPUTED_VALUE"""),20.0)</f>
        <v>20</v>
      </c>
      <c r="R89" s="211">
        <f>IFERROR(__xludf.DUMMYFUNCTION("""COMPUTED_VALUE"""),1542.0)</f>
        <v>1542</v>
      </c>
      <c r="S89" s="211">
        <f>IFERROR(__xludf.DUMMYFUNCTION("""COMPUTED_VALUE"""),4.0)</f>
        <v>4</v>
      </c>
      <c r="T89" s="211">
        <f>IFERROR(__xludf.DUMMYFUNCTION("""COMPUTED_VALUE"""),292.0)</f>
        <v>292</v>
      </c>
      <c r="U89" s="211">
        <f>IFERROR(__xludf.DUMMYFUNCTION("""COMPUTED_VALUE"""),123.0)</f>
        <v>123</v>
      </c>
      <c r="V89" s="211">
        <f>IFERROR(__xludf.DUMMYFUNCTION("""COMPUTED_VALUE"""),129.0)</f>
        <v>129</v>
      </c>
      <c r="W89" s="211">
        <f>IFERROR(__xludf.DUMMYFUNCTION("""COMPUTED_VALUE"""),18.0)</f>
        <v>18</v>
      </c>
      <c r="X89" s="211">
        <f>IFERROR(__xludf.DUMMYFUNCTION("""COMPUTED_VALUE"""),14.0)</f>
        <v>14</v>
      </c>
      <c r="Y89" s="211">
        <f>IFERROR(__xludf.DUMMYFUNCTION("""COMPUTED_VALUE"""),6.0)</f>
        <v>6</v>
      </c>
      <c r="Z89" s="211">
        <f>IFERROR(__xludf.DUMMYFUNCTION("""COMPUTED_VALUE"""),925.0)</f>
        <v>925</v>
      </c>
    </row>
    <row r="90">
      <c r="A90" s="210">
        <f>IFERROR(__xludf.DUMMYFUNCTION("""COMPUTED_VALUE"""),44000.0)</f>
        <v>44000</v>
      </c>
      <c r="B90" s="211">
        <f>IFERROR(__xludf.DUMMYFUNCTION("""COMPUTED_VALUE"""),149.0)</f>
        <v>149</v>
      </c>
      <c r="C90" s="211">
        <f>IFERROR(__xludf.DUMMYFUNCTION("""COMPUTED_VALUE"""),129.0)</f>
        <v>129</v>
      </c>
      <c r="D90" s="211">
        <f>IFERROR(__xludf.DUMMYFUNCTION("""COMPUTED_VALUE"""),23423.0)</f>
        <v>23423</v>
      </c>
      <c r="E90" s="211">
        <f>IFERROR(__xludf.DUMMYFUNCTION("""COMPUTED_VALUE"""),3047.0)</f>
        <v>3047</v>
      </c>
      <c r="F90" s="151">
        <f>IFERROR(__xludf.DUMMYFUNCTION("""COMPUTED_VALUE"""),199607.0)</f>
        <v>199607</v>
      </c>
      <c r="G90" s="151">
        <f>IFERROR(__xludf.DUMMYFUNCTION("""COMPUTED_VALUE"""),3196.0)</f>
        <v>3196</v>
      </c>
      <c r="H90" s="151">
        <f>IFERROR(__xludf.DUMMYFUNCTION("""COMPUTED_VALUE"""),223030.0)</f>
        <v>223030</v>
      </c>
      <c r="I90" s="211">
        <f>IFERROR(__xludf.DUMMYFUNCTION("""COMPUTED_VALUE"""),70.0)</f>
        <v>70</v>
      </c>
      <c r="J90" s="211">
        <f>IFERROR(__xludf.DUMMYFUNCTION("""COMPUTED_VALUE"""),57.0)</f>
        <v>57</v>
      </c>
      <c r="K90" s="211">
        <f>IFERROR(__xludf.DUMMYFUNCTION("""COMPUTED_VALUE"""),16283.0)</f>
        <v>16283</v>
      </c>
      <c r="L90" s="211">
        <f>IFERROR(__xludf.DUMMYFUNCTION("""COMPUTED_VALUE"""),1312.0)</f>
        <v>1312</v>
      </c>
      <c r="M90" s="211">
        <f>IFERROR(__xludf.DUMMYFUNCTION("""COMPUTED_VALUE"""),124936.0)</f>
        <v>124936</v>
      </c>
      <c r="N90" s="211">
        <f>IFERROR(__xludf.DUMMYFUNCTION("""COMPUTED_VALUE"""),141219.0)</f>
        <v>141219</v>
      </c>
      <c r="O90" s="211">
        <f>IFERROR(__xludf.DUMMYFUNCTION("""COMPUTED_VALUE"""),9.0)</f>
        <v>9</v>
      </c>
      <c r="P90" s="211">
        <f>IFERROR(__xludf.DUMMYFUNCTION("""COMPUTED_VALUE"""),1966.0)</f>
        <v>1966</v>
      </c>
      <c r="Q90" s="211">
        <f>IFERROR(__xludf.DUMMYFUNCTION("""COMPUTED_VALUE"""),13.0)</f>
        <v>13</v>
      </c>
      <c r="R90" s="211">
        <f>IFERROR(__xludf.DUMMYFUNCTION("""COMPUTED_VALUE"""),1555.0)</f>
        <v>1555</v>
      </c>
      <c r="S90" s="211">
        <f>IFERROR(__xludf.DUMMYFUNCTION("""COMPUTED_VALUE"""),1.0)</f>
        <v>1</v>
      </c>
      <c r="T90" s="211">
        <f>IFERROR(__xludf.DUMMYFUNCTION("""COMPUTED_VALUE"""),293.0)</f>
        <v>293</v>
      </c>
      <c r="U90" s="211">
        <f>IFERROR(__xludf.DUMMYFUNCTION("""COMPUTED_VALUE"""),118.0)</f>
        <v>118</v>
      </c>
      <c r="V90" s="211">
        <f>IFERROR(__xludf.DUMMYFUNCTION("""COMPUTED_VALUE"""),124.0)</f>
        <v>124</v>
      </c>
      <c r="W90" s="211">
        <f>IFERROR(__xludf.DUMMYFUNCTION("""COMPUTED_VALUE"""),19.0)</f>
        <v>19</v>
      </c>
      <c r="X90" s="211">
        <f>IFERROR(__xludf.DUMMYFUNCTION("""COMPUTED_VALUE"""),16.0)</f>
        <v>16</v>
      </c>
      <c r="Y90" s="211">
        <f>IFERROR(__xludf.DUMMYFUNCTION("""COMPUTED_VALUE"""),7.0)</f>
        <v>7</v>
      </c>
      <c r="Z90" s="211">
        <f>IFERROR(__xludf.DUMMYFUNCTION("""COMPUTED_VALUE"""),932.0)</f>
        <v>932</v>
      </c>
    </row>
    <row r="91">
      <c r="A91" s="210">
        <f>IFERROR(__xludf.DUMMYFUNCTION("""COMPUTED_VALUE"""),44001.0)</f>
        <v>44001</v>
      </c>
      <c r="B91" s="211">
        <f>IFERROR(__xludf.DUMMYFUNCTION("""COMPUTED_VALUE"""),141.0)</f>
        <v>141</v>
      </c>
      <c r="C91" s="211">
        <f>IFERROR(__xludf.DUMMYFUNCTION("""COMPUTED_VALUE"""),139.0)</f>
        <v>139</v>
      </c>
      <c r="D91" s="211">
        <f>IFERROR(__xludf.DUMMYFUNCTION("""COMPUTED_VALUE"""),23564.0)</f>
        <v>23564</v>
      </c>
      <c r="E91" s="211">
        <f>IFERROR(__xludf.DUMMYFUNCTION("""COMPUTED_VALUE"""),3769.0)</f>
        <v>3769</v>
      </c>
      <c r="F91" s="151">
        <f>IFERROR(__xludf.DUMMYFUNCTION("""COMPUTED_VALUE"""),203376.0)</f>
        <v>203376</v>
      </c>
      <c r="G91" s="151">
        <f>IFERROR(__xludf.DUMMYFUNCTION("""COMPUTED_VALUE"""),3910.0)</f>
        <v>3910</v>
      </c>
      <c r="H91" s="151">
        <f>IFERROR(__xludf.DUMMYFUNCTION("""COMPUTED_VALUE"""),226940.0)</f>
        <v>226940</v>
      </c>
      <c r="I91" s="211">
        <f>IFERROR(__xludf.DUMMYFUNCTION("""COMPUTED_VALUE"""),59.0)</f>
        <v>59</v>
      </c>
      <c r="J91" s="211">
        <f>IFERROR(__xludf.DUMMYFUNCTION("""COMPUTED_VALUE"""),60.0)</f>
        <v>60</v>
      </c>
      <c r="K91" s="211">
        <f>IFERROR(__xludf.DUMMYFUNCTION("""COMPUTED_VALUE"""),16342.0)</f>
        <v>16342</v>
      </c>
      <c r="L91" s="211">
        <f>IFERROR(__xludf.DUMMYFUNCTION("""COMPUTED_VALUE"""),1370.0)</f>
        <v>1370</v>
      </c>
      <c r="M91" s="211">
        <f>IFERROR(__xludf.DUMMYFUNCTION("""COMPUTED_VALUE"""),126306.0)</f>
        <v>126306</v>
      </c>
      <c r="N91" s="211">
        <f>IFERROR(__xludf.DUMMYFUNCTION("""COMPUTED_VALUE"""),142648.0)</f>
        <v>142648</v>
      </c>
      <c r="O91" s="211">
        <f>IFERROR(__xludf.DUMMYFUNCTION("""COMPUTED_VALUE"""),12.0)</f>
        <v>12</v>
      </c>
      <c r="P91" s="211">
        <f>IFERROR(__xludf.DUMMYFUNCTION("""COMPUTED_VALUE"""),1978.0)</f>
        <v>1978</v>
      </c>
      <c r="Q91" s="211">
        <f>IFERROR(__xludf.DUMMYFUNCTION("""COMPUTED_VALUE"""),11.0)</f>
        <v>11</v>
      </c>
      <c r="R91" s="211">
        <f>IFERROR(__xludf.DUMMYFUNCTION("""COMPUTED_VALUE"""),1566.0)</f>
        <v>1566</v>
      </c>
      <c r="S91" s="211">
        <f>IFERROR(__xludf.DUMMYFUNCTION("""COMPUTED_VALUE"""),1.0)</f>
        <v>1</v>
      </c>
      <c r="T91" s="211">
        <f>IFERROR(__xludf.DUMMYFUNCTION("""COMPUTED_VALUE"""),294.0)</f>
        <v>294</v>
      </c>
      <c r="U91" s="211">
        <f>IFERROR(__xludf.DUMMYFUNCTION("""COMPUTED_VALUE"""),118.0)</f>
        <v>118</v>
      </c>
      <c r="V91" s="211">
        <f>IFERROR(__xludf.DUMMYFUNCTION("""COMPUTED_VALUE"""),120.0)</f>
        <v>120</v>
      </c>
      <c r="W91" s="211">
        <f>IFERROR(__xludf.DUMMYFUNCTION("""COMPUTED_VALUE"""),20.0)</f>
        <v>20</v>
      </c>
      <c r="X91" s="211">
        <f>IFERROR(__xludf.DUMMYFUNCTION("""COMPUTED_VALUE"""),17.0)</f>
        <v>17</v>
      </c>
      <c r="Y91" s="211">
        <f>IFERROR(__xludf.DUMMYFUNCTION("""COMPUTED_VALUE"""),3.0)</f>
        <v>3</v>
      </c>
      <c r="Z91" s="211">
        <f>IFERROR(__xludf.DUMMYFUNCTION("""COMPUTED_VALUE"""),935.0)</f>
        <v>935</v>
      </c>
    </row>
    <row r="92">
      <c r="A92" s="210">
        <f>IFERROR(__xludf.DUMMYFUNCTION("""COMPUTED_VALUE"""),44002.0)</f>
        <v>44002</v>
      </c>
      <c r="B92" s="211">
        <f>IFERROR(__xludf.DUMMYFUNCTION("""COMPUTED_VALUE"""),84.0)</f>
        <v>84</v>
      </c>
      <c r="C92" s="211">
        <f>IFERROR(__xludf.DUMMYFUNCTION("""COMPUTED_VALUE"""),125.0)</f>
        <v>125</v>
      </c>
      <c r="D92" s="211">
        <f>IFERROR(__xludf.DUMMYFUNCTION("""COMPUTED_VALUE"""),23648.0)</f>
        <v>23648</v>
      </c>
      <c r="E92" s="211">
        <f>IFERROR(__xludf.DUMMYFUNCTION("""COMPUTED_VALUE"""),1891.0)</f>
        <v>1891</v>
      </c>
      <c r="F92" s="151">
        <f>IFERROR(__xludf.DUMMYFUNCTION("""COMPUTED_VALUE"""),205267.0)</f>
        <v>205267</v>
      </c>
      <c r="G92" s="151">
        <f>IFERROR(__xludf.DUMMYFUNCTION("""COMPUTED_VALUE"""),1975.0)</f>
        <v>1975</v>
      </c>
      <c r="H92" s="151">
        <f>IFERROR(__xludf.DUMMYFUNCTION("""COMPUTED_VALUE"""),228915.0)</f>
        <v>228915</v>
      </c>
      <c r="I92" s="211">
        <f>IFERROR(__xludf.DUMMYFUNCTION("""COMPUTED_VALUE"""),36.0)</f>
        <v>36</v>
      </c>
      <c r="J92" s="211">
        <f>IFERROR(__xludf.DUMMYFUNCTION("""COMPUTED_VALUE"""),55.0)</f>
        <v>55</v>
      </c>
      <c r="K92" s="211">
        <f>IFERROR(__xludf.DUMMYFUNCTION("""COMPUTED_VALUE"""),16378.0)</f>
        <v>16378</v>
      </c>
      <c r="L92" s="211">
        <f>IFERROR(__xludf.DUMMYFUNCTION("""COMPUTED_VALUE"""),812.0)</f>
        <v>812</v>
      </c>
      <c r="M92" s="211">
        <f>IFERROR(__xludf.DUMMYFUNCTION("""COMPUTED_VALUE"""),127118.0)</f>
        <v>127118</v>
      </c>
      <c r="N92" s="211">
        <f>IFERROR(__xludf.DUMMYFUNCTION("""COMPUTED_VALUE"""),143496.0)</f>
        <v>143496</v>
      </c>
      <c r="O92" s="211">
        <f>IFERROR(__xludf.DUMMYFUNCTION("""COMPUTED_VALUE"""),9.0)</f>
        <v>9</v>
      </c>
      <c r="P92" s="211">
        <f>IFERROR(__xludf.DUMMYFUNCTION("""COMPUTED_VALUE"""),1987.0)</f>
        <v>1987</v>
      </c>
      <c r="Q92" s="211">
        <f>IFERROR(__xludf.DUMMYFUNCTION("""COMPUTED_VALUE"""),12.0)</f>
        <v>12</v>
      </c>
      <c r="R92" s="211">
        <f>IFERROR(__xludf.DUMMYFUNCTION("""COMPUTED_VALUE"""),1578.0)</f>
        <v>1578</v>
      </c>
      <c r="S92" s="211">
        <f>IFERROR(__xludf.DUMMYFUNCTION("""COMPUTED_VALUE"""),0.0)</f>
        <v>0</v>
      </c>
      <c r="T92" s="211">
        <f>IFERROR(__xludf.DUMMYFUNCTION("""COMPUTED_VALUE"""),294.0)</f>
        <v>294</v>
      </c>
      <c r="U92" s="211">
        <f>IFERROR(__xludf.DUMMYFUNCTION("""COMPUTED_VALUE"""),115.0)</f>
        <v>115</v>
      </c>
      <c r="V92" s="211">
        <f>IFERROR(__xludf.DUMMYFUNCTION("""COMPUTED_VALUE"""),117.0)</f>
        <v>117</v>
      </c>
      <c r="W92" s="211">
        <f>IFERROR(__xludf.DUMMYFUNCTION("""COMPUTED_VALUE"""),20.0)</f>
        <v>20</v>
      </c>
      <c r="X92" s="211">
        <f>IFERROR(__xludf.DUMMYFUNCTION("""COMPUTED_VALUE"""),18.0)</f>
        <v>18</v>
      </c>
      <c r="Y92" s="211">
        <f>IFERROR(__xludf.DUMMYFUNCTION("""COMPUTED_VALUE"""),4.0)</f>
        <v>4</v>
      </c>
      <c r="Z92" s="211">
        <f>IFERROR(__xludf.DUMMYFUNCTION("""COMPUTED_VALUE"""),939.0)</f>
        <v>939</v>
      </c>
    </row>
    <row r="93">
      <c r="A93" s="210">
        <f>IFERROR(__xludf.DUMMYFUNCTION("""COMPUTED_VALUE"""),44003.0)</f>
        <v>44003</v>
      </c>
      <c r="B93" s="211">
        <f>IFERROR(__xludf.DUMMYFUNCTION("""COMPUTED_VALUE"""),37.0)</f>
        <v>37</v>
      </c>
      <c r="C93" s="211">
        <f>IFERROR(__xludf.DUMMYFUNCTION("""COMPUTED_VALUE"""),87.0)</f>
        <v>87</v>
      </c>
      <c r="D93" s="211">
        <f>IFERROR(__xludf.DUMMYFUNCTION("""COMPUTED_VALUE"""),23685.0)</f>
        <v>23685</v>
      </c>
      <c r="E93" s="211">
        <f>IFERROR(__xludf.DUMMYFUNCTION("""COMPUTED_VALUE"""),1064.0)</f>
        <v>1064</v>
      </c>
      <c r="F93" s="151">
        <f>IFERROR(__xludf.DUMMYFUNCTION("""COMPUTED_VALUE"""),206331.0)</f>
        <v>206331</v>
      </c>
      <c r="G93" s="151">
        <f>IFERROR(__xludf.DUMMYFUNCTION("""COMPUTED_VALUE"""),1101.0)</f>
        <v>1101</v>
      </c>
      <c r="H93" s="151">
        <f>IFERROR(__xludf.DUMMYFUNCTION("""COMPUTED_VALUE"""),230016.0)</f>
        <v>230016</v>
      </c>
      <c r="I93" s="211">
        <f>IFERROR(__xludf.DUMMYFUNCTION("""COMPUTED_VALUE"""),29.0)</f>
        <v>29</v>
      </c>
      <c r="J93" s="211">
        <f>IFERROR(__xludf.DUMMYFUNCTION("""COMPUTED_VALUE"""),41.0)</f>
        <v>41</v>
      </c>
      <c r="K93" s="211">
        <f>IFERROR(__xludf.DUMMYFUNCTION("""COMPUTED_VALUE"""),16407.0)</f>
        <v>16407</v>
      </c>
      <c r="L93" s="211">
        <f>IFERROR(__xludf.DUMMYFUNCTION("""COMPUTED_VALUE"""),692.0)</f>
        <v>692</v>
      </c>
      <c r="M93" s="211">
        <f>IFERROR(__xludf.DUMMYFUNCTION("""COMPUTED_VALUE"""),127810.0)</f>
        <v>127810</v>
      </c>
      <c r="N93" s="211">
        <f>IFERROR(__xludf.DUMMYFUNCTION("""COMPUTED_VALUE"""),144217.0)</f>
        <v>144217</v>
      </c>
      <c r="O93" s="211">
        <f>IFERROR(__xludf.DUMMYFUNCTION("""COMPUTED_VALUE"""),8.0)</f>
        <v>8</v>
      </c>
      <c r="P93" s="211">
        <f>IFERROR(__xludf.DUMMYFUNCTION("""COMPUTED_VALUE"""),1995.0)</f>
        <v>1995</v>
      </c>
      <c r="Q93" s="211">
        <f>IFERROR(__xludf.DUMMYFUNCTION("""COMPUTED_VALUE"""),5.0)</f>
        <v>5</v>
      </c>
      <c r="R93" s="211">
        <f>IFERROR(__xludf.DUMMYFUNCTION("""COMPUTED_VALUE"""),1583.0)</f>
        <v>1583</v>
      </c>
      <c r="S93" s="211">
        <f>IFERROR(__xludf.DUMMYFUNCTION("""COMPUTED_VALUE"""),0.0)</f>
        <v>0</v>
      </c>
      <c r="T93" s="211">
        <f>IFERROR(__xludf.DUMMYFUNCTION("""COMPUTED_VALUE"""),294.0)</f>
        <v>294</v>
      </c>
      <c r="U93" s="211">
        <f>IFERROR(__xludf.DUMMYFUNCTION("""COMPUTED_VALUE"""),118.0)</f>
        <v>118</v>
      </c>
      <c r="V93" s="211">
        <f>IFERROR(__xludf.DUMMYFUNCTION("""COMPUTED_VALUE"""),117.0)</f>
        <v>117</v>
      </c>
      <c r="W93" s="211">
        <f>IFERROR(__xludf.DUMMYFUNCTION("""COMPUTED_VALUE"""),20.0)</f>
        <v>20</v>
      </c>
      <c r="X93" s="211">
        <f>IFERROR(__xludf.DUMMYFUNCTION("""COMPUTED_VALUE"""),18.0)</f>
        <v>18</v>
      </c>
      <c r="Y93" s="211">
        <f>IFERROR(__xludf.DUMMYFUNCTION("""COMPUTED_VALUE"""),2.0)</f>
        <v>2</v>
      </c>
      <c r="Z93" s="211">
        <f>IFERROR(__xludf.DUMMYFUNCTION("""COMPUTED_VALUE"""),941.0)</f>
        <v>941</v>
      </c>
    </row>
    <row r="94">
      <c r="A94" s="210">
        <f>IFERROR(__xludf.DUMMYFUNCTION("""COMPUTED_VALUE"""),44004.0)</f>
        <v>44004</v>
      </c>
      <c r="B94" s="211">
        <f>IFERROR(__xludf.DUMMYFUNCTION("""COMPUTED_VALUE"""),138.0)</f>
        <v>138</v>
      </c>
      <c r="C94" s="211">
        <f>IFERROR(__xludf.DUMMYFUNCTION("""COMPUTED_VALUE"""),86.0)</f>
        <v>86</v>
      </c>
      <c r="D94" s="211">
        <f>IFERROR(__xludf.DUMMYFUNCTION("""COMPUTED_VALUE"""),23823.0)</f>
        <v>23823</v>
      </c>
      <c r="E94" s="211">
        <f>IFERROR(__xludf.DUMMYFUNCTION("""COMPUTED_VALUE"""),3730.0)</f>
        <v>3730</v>
      </c>
      <c r="F94" s="151">
        <f>IFERROR(__xludf.DUMMYFUNCTION("""COMPUTED_VALUE"""),210061.0)</f>
        <v>210061</v>
      </c>
      <c r="G94" s="151">
        <f>IFERROR(__xludf.DUMMYFUNCTION("""COMPUTED_VALUE"""),3868.0)</f>
        <v>3868</v>
      </c>
      <c r="H94" s="151">
        <f>IFERROR(__xludf.DUMMYFUNCTION("""COMPUTED_VALUE"""),233884.0)</f>
        <v>233884</v>
      </c>
      <c r="I94" s="211">
        <f>IFERROR(__xludf.DUMMYFUNCTION("""COMPUTED_VALUE"""),65.0)</f>
        <v>65</v>
      </c>
      <c r="J94" s="211">
        <f>IFERROR(__xludf.DUMMYFUNCTION("""COMPUTED_VALUE"""),43.0)</f>
        <v>43</v>
      </c>
      <c r="K94" s="211">
        <f>IFERROR(__xludf.DUMMYFUNCTION("""COMPUTED_VALUE"""),16472.0)</f>
        <v>16472</v>
      </c>
      <c r="L94" s="211">
        <f>IFERROR(__xludf.DUMMYFUNCTION("""COMPUTED_VALUE"""),1705.0)</f>
        <v>1705</v>
      </c>
      <c r="M94" s="211">
        <f>IFERROR(__xludf.DUMMYFUNCTION("""COMPUTED_VALUE"""),129515.0)</f>
        <v>129515</v>
      </c>
      <c r="N94" s="211">
        <f>IFERROR(__xludf.DUMMYFUNCTION("""COMPUTED_VALUE"""),145987.0)</f>
        <v>145987</v>
      </c>
      <c r="O94" s="211">
        <f>IFERROR(__xludf.DUMMYFUNCTION("""COMPUTED_VALUE"""),12.0)</f>
        <v>12</v>
      </c>
      <c r="P94" s="211">
        <f>IFERROR(__xludf.DUMMYFUNCTION("""COMPUTED_VALUE"""),2007.0)</f>
        <v>2007</v>
      </c>
      <c r="Q94" s="211">
        <f>IFERROR(__xludf.DUMMYFUNCTION("""COMPUTED_VALUE"""),16.0)</f>
        <v>16</v>
      </c>
      <c r="R94" s="211">
        <f>IFERROR(__xludf.DUMMYFUNCTION("""COMPUTED_VALUE"""),1599.0)</f>
        <v>1599</v>
      </c>
      <c r="S94" s="211">
        <f>IFERROR(__xludf.DUMMYFUNCTION("""COMPUTED_VALUE"""),0.0)</f>
        <v>0</v>
      </c>
      <c r="T94" s="211">
        <f>IFERROR(__xludf.DUMMYFUNCTION("""COMPUTED_VALUE"""),294.0)</f>
        <v>294</v>
      </c>
      <c r="U94" s="211">
        <f>IFERROR(__xludf.DUMMYFUNCTION("""COMPUTED_VALUE"""),114.0)</f>
        <v>114</v>
      </c>
      <c r="V94" s="211">
        <f>IFERROR(__xludf.DUMMYFUNCTION("""COMPUTED_VALUE"""),116.0)</f>
        <v>116</v>
      </c>
      <c r="W94" s="211">
        <f>IFERROR(__xludf.DUMMYFUNCTION("""COMPUTED_VALUE"""),19.0)</f>
        <v>19</v>
      </c>
      <c r="X94" s="211">
        <f>IFERROR(__xludf.DUMMYFUNCTION("""COMPUTED_VALUE"""),18.0)</f>
        <v>18</v>
      </c>
      <c r="Y94" s="211">
        <f>IFERROR(__xludf.DUMMYFUNCTION("""COMPUTED_VALUE"""),2.0)</f>
        <v>2</v>
      </c>
      <c r="Z94" s="211">
        <f>IFERROR(__xludf.DUMMYFUNCTION("""COMPUTED_VALUE"""),943.0)</f>
        <v>943</v>
      </c>
    </row>
    <row r="95">
      <c r="A95" s="210">
        <f>IFERROR(__xludf.DUMMYFUNCTION("""COMPUTED_VALUE"""),44005.0)</f>
        <v>44005</v>
      </c>
      <c r="B95" s="211">
        <f>IFERROR(__xludf.DUMMYFUNCTION("""COMPUTED_VALUE"""),163.0)</f>
        <v>163</v>
      </c>
      <c r="C95" s="211">
        <f>IFERROR(__xludf.DUMMYFUNCTION("""COMPUTED_VALUE"""),113.0)</f>
        <v>113</v>
      </c>
      <c r="D95" s="211">
        <f>IFERROR(__xludf.DUMMYFUNCTION("""COMPUTED_VALUE"""),23986.0)</f>
        <v>23986</v>
      </c>
      <c r="E95" s="211">
        <f>IFERROR(__xludf.DUMMYFUNCTION("""COMPUTED_VALUE"""),3831.0)</f>
        <v>3831</v>
      </c>
      <c r="F95" s="151">
        <f>IFERROR(__xludf.DUMMYFUNCTION("""COMPUTED_VALUE"""),213892.0)</f>
        <v>213892</v>
      </c>
      <c r="G95" s="151">
        <f>IFERROR(__xludf.DUMMYFUNCTION("""COMPUTED_VALUE"""),3994.0)</f>
        <v>3994</v>
      </c>
      <c r="H95" s="151">
        <f>IFERROR(__xludf.DUMMYFUNCTION("""COMPUTED_VALUE"""),237878.0)</f>
        <v>237878</v>
      </c>
      <c r="I95" s="211">
        <f>IFERROR(__xludf.DUMMYFUNCTION("""COMPUTED_VALUE"""),81.0)</f>
        <v>81</v>
      </c>
      <c r="J95" s="211">
        <f>IFERROR(__xludf.DUMMYFUNCTION("""COMPUTED_VALUE"""),58.0)</f>
        <v>58</v>
      </c>
      <c r="K95" s="211">
        <f>IFERROR(__xludf.DUMMYFUNCTION("""COMPUTED_VALUE"""),16553.0)</f>
        <v>16553</v>
      </c>
      <c r="L95" s="211">
        <f>IFERROR(__xludf.DUMMYFUNCTION("""COMPUTED_VALUE"""),1780.0)</f>
        <v>1780</v>
      </c>
      <c r="M95" s="211">
        <f>IFERROR(__xludf.DUMMYFUNCTION("""COMPUTED_VALUE"""),131295.0)</f>
        <v>131295</v>
      </c>
      <c r="N95" s="211">
        <f>IFERROR(__xludf.DUMMYFUNCTION("""COMPUTED_VALUE"""),147848.0)</f>
        <v>147848</v>
      </c>
      <c r="O95" s="211">
        <f>IFERROR(__xludf.DUMMYFUNCTION("""COMPUTED_VALUE"""),3.0)</f>
        <v>3</v>
      </c>
      <c r="P95" s="211">
        <f>IFERROR(__xludf.DUMMYFUNCTION("""COMPUTED_VALUE"""),2010.0)</f>
        <v>2010</v>
      </c>
      <c r="Q95" s="211">
        <f>IFERROR(__xludf.DUMMYFUNCTION("""COMPUTED_VALUE"""),13.0)</f>
        <v>13</v>
      </c>
      <c r="R95" s="211">
        <f>IFERROR(__xludf.DUMMYFUNCTION("""COMPUTED_VALUE"""),1612.0)</f>
        <v>1612</v>
      </c>
      <c r="S95" s="211">
        <f>IFERROR(__xludf.DUMMYFUNCTION("""COMPUTED_VALUE"""),3.0)</f>
        <v>3</v>
      </c>
      <c r="T95" s="211">
        <f>IFERROR(__xludf.DUMMYFUNCTION("""COMPUTED_VALUE"""),297.0)</f>
        <v>297</v>
      </c>
      <c r="U95" s="211">
        <f>IFERROR(__xludf.DUMMYFUNCTION("""COMPUTED_VALUE"""),101.0)</f>
        <v>101</v>
      </c>
      <c r="V95" s="211">
        <f>IFERROR(__xludf.DUMMYFUNCTION("""COMPUTED_VALUE"""),111.0)</f>
        <v>111</v>
      </c>
      <c r="W95" s="211">
        <f>IFERROR(__xludf.DUMMYFUNCTION("""COMPUTED_VALUE"""),18.0)</f>
        <v>18</v>
      </c>
      <c r="X95" s="211">
        <f>IFERROR(__xludf.DUMMYFUNCTION("""COMPUTED_VALUE"""),18.0)</f>
        <v>18</v>
      </c>
      <c r="Y95" s="211">
        <f>IFERROR(__xludf.DUMMYFUNCTION("""COMPUTED_VALUE"""),7.0)</f>
        <v>7</v>
      </c>
      <c r="Z95" s="211">
        <f>IFERROR(__xludf.DUMMYFUNCTION("""COMPUTED_VALUE"""),950.0)</f>
        <v>950</v>
      </c>
    </row>
    <row r="96">
      <c r="A96" s="210">
        <f>IFERROR(__xludf.DUMMYFUNCTION("""COMPUTED_VALUE"""),44006.0)</f>
        <v>44006</v>
      </c>
      <c r="B96" s="211">
        <f>IFERROR(__xludf.DUMMYFUNCTION("""COMPUTED_VALUE"""),120.0)</f>
        <v>120</v>
      </c>
      <c r="C96" s="211">
        <f>IFERROR(__xludf.DUMMYFUNCTION("""COMPUTED_VALUE"""),140.0)</f>
        <v>140</v>
      </c>
      <c r="D96" s="211">
        <f>IFERROR(__xludf.DUMMYFUNCTION("""COMPUTED_VALUE"""),24106.0)</f>
        <v>24106</v>
      </c>
      <c r="E96" s="211">
        <f>IFERROR(__xludf.DUMMYFUNCTION("""COMPUTED_VALUE"""),3502.0)</f>
        <v>3502</v>
      </c>
      <c r="F96" s="151">
        <f>IFERROR(__xludf.DUMMYFUNCTION("""COMPUTED_VALUE"""),217394.0)</f>
        <v>217394</v>
      </c>
      <c r="G96" s="151">
        <f>IFERROR(__xludf.DUMMYFUNCTION("""COMPUTED_VALUE"""),3622.0)</f>
        <v>3622</v>
      </c>
      <c r="H96" s="151">
        <f>IFERROR(__xludf.DUMMYFUNCTION("""COMPUTED_VALUE"""),241500.0)</f>
        <v>241500</v>
      </c>
      <c r="I96" s="211">
        <f>IFERROR(__xludf.DUMMYFUNCTION("""COMPUTED_VALUE"""),44.0)</f>
        <v>44</v>
      </c>
      <c r="J96" s="211">
        <f>IFERROR(__xludf.DUMMYFUNCTION("""COMPUTED_VALUE"""),63.0)</f>
        <v>63</v>
      </c>
      <c r="K96" s="211">
        <f>IFERROR(__xludf.DUMMYFUNCTION("""COMPUTED_VALUE"""),16597.0)</f>
        <v>16597</v>
      </c>
      <c r="L96" s="211">
        <f>IFERROR(__xludf.DUMMYFUNCTION("""COMPUTED_VALUE"""),1685.0)</f>
        <v>1685</v>
      </c>
      <c r="M96" s="211">
        <f>IFERROR(__xludf.DUMMYFUNCTION("""COMPUTED_VALUE"""),132980.0)</f>
        <v>132980</v>
      </c>
      <c r="N96" s="211">
        <f>IFERROR(__xludf.DUMMYFUNCTION("""COMPUTED_VALUE"""),149577.0)</f>
        <v>149577</v>
      </c>
      <c r="O96" s="211">
        <f>IFERROR(__xludf.DUMMYFUNCTION("""COMPUTED_VALUE"""),9.0)</f>
        <v>9</v>
      </c>
      <c r="P96" s="211">
        <f>IFERROR(__xludf.DUMMYFUNCTION("""COMPUTED_VALUE"""),2019.0)</f>
        <v>2019</v>
      </c>
      <c r="Q96" s="211">
        <f>IFERROR(__xludf.DUMMYFUNCTION("""COMPUTED_VALUE"""),10.0)</f>
        <v>10</v>
      </c>
      <c r="R96" s="211">
        <f>IFERROR(__xludf.DUMMYFUNCTION("""COMPUTED_VALUE"""),1622.0)</f>
        <v>1622</v>
      </c>
      <c r="S96" s="211">
        <f>IFERROR(__xludf.DUMMYFUNCTION("""COMPUTED_VALUE"""),1.0)</f>
        <v>1</v>
      </c>
      <c r="T96" s="211">
        <f>IFERROR(__xludf.DUMMYFUNCTION("""COMPUTED_VALUE"""),298.0)</f>
        <v>298</v>
      </c>
      <c r="U96" s="211">
        <f>IFERROR(__xludf.DUMMYFUNCTION("""COMPUTED_VALUE"""),99.0)</f>
        <v>99</v>
      </c>
      <c r="V96" s="211">
        <f>IFERROR(__xludf.DUMMYFUNCTION("""COMPUTED_VALUE"""),105.0)</f>
        <v>105</v>
      </c>
      <c r="W96" s="211">
        <f>IFERROR(__xludf.DUMMYFUNCTION("""COMPUTED_VALUE"""),18.0)</f>
        <v>18</v>
      </c>
      <c r="X96" s="211">
        <f>IFERROR(__xludf.DUMMYFUNCTION("""COMPUTED_VALUE"""),18.0)</f>
        <v>18</v>
      </c>
      <c r="Y96" s="211">
        <f>IFERROR(__xludf.DUMMYFUNCTION("""COMPUTED_VALUE"""),5.0)</f>
        <v>5</v>
      </c>
      <c r="Z96" s="211">
        <f>IFERROR(__xludf.DUMMYFUNCTION("""COMPUTED_VALUE"""),955.0)</f>
        <v>955</v>
      </c>
    </row>
    <row r="97">
      <c r="A97" s="210">
        <f>IFERROR(__xludf.DUMMYFUNCTION("""COMPUTED_VALUE"""),44007.0)</f>
        <v>44007</v>
      </c>
      <c r="B97" s="211">
        <f>IFERROR(__xludf.DUMMYFUNCTION("""COMPUTED_VALUE"""),103.0)</f>
        <v>103</v>
      </c>
      <c r="C97" s="211">
        <f>IFERROR(__xludf.DUMMYFUNCTION("""COMPUTED_VALUE"""),129.0)</f>
        <v>129</v>
      </c>
      <c r="D97" s="211">
        <f>IFERROR(__xludf.DUMMYFUNCTION("""COMPUTED_VALUE"""),24209.0)</f>
        <v>24209</v>
      </c>
      <c r="E97" s="211">
        <f>IFERROR(__xludf.DUMMYFUNCTION("""COMPUTED_VALUE"""),2883.0)</f>
        <v>2883</v>
      </c>
      <c r="F97" s="151">
        <f>IFERROR(__xludf.DUMMYFUNCTION("""COMPUTED_VALUE"""),220277.0)</f>
        <v>220277</v>
      </c>
      <c r="G97" s="151">
        <f>IFERROR(__xludf.DUMMYFUNCTION("""COMPUTED_VALUE"""),2986.0)</f>
        <v>2986</v>
      </c>
      <c r="H97" s="151">
        <f>IFERROR(__xludf.DUMMYFUNCTION("""COMPUTED_VALUE"""),244486.0)</f>
        <v>244486</v>
      </c>
      <c r="I97" s="211">
        <f>IFERROR(__xludf.DUMMYFUNCTION("""COMPUTED_VALUE"""),50.0)</f>
        <v>50</v>
      </c>
      <c r="J97" s="211">
        <f>IFERROR(__xludf.DUMMYFUNCTION("""COMPUTED_VALUE"""),58.0)</f>
        <v>58</v>
      </c>
      <c r="K97" s="211">
        <f>IFERROR(__xludf.DUMMYFUNCTION("""COMPUTED_VALUE"""),16647.0)</f>
        <v>16647</v>
      </c>
      <c r="L97" s="211">
        <f>IFERROR(__xludf.DUMMYFUNCTION("""COMPUTED_VALUE"""),1512.0)</f>
        <v>1512</v>
      </c>
      <c r="M97" s="211">
        <f>IFERROR(__xludf.DUMMYFUNCTION("""COMPUTED_VALUE"""),134492.0)</f>
        <v>134492</v>
      </c>
      <c r="N97" s="211">
        <f>IFERROR(__xludf.DUMMYFUNCTION("""COMPUTED_VALUE"""),151139.0)</f>
        <v>151139</v>
      </c>
      <c r="O97" s="211">
        <f>IFERROR(__xludf.DUMMYFUNCTION("""COMPUTED_VALUE"""),6.0)</f>
        <v>6</v>
      </c>
      <c r="P97" s="211">
        <f>IFERROR(__xludf.DUMMYFUNCTION("""COMPUTED_VALUE"""),2025.0)</f>
        <v>2025</v>
      </c>
      <c r="Q97" s="211">
        <f>IFERROR(__xludf.DUMMYFUNCTION("""COMPUTED_VALUE"""),14.0)</f>
        <v>14</v>
      </c>
      <c r="R97" s="211">
        <f>IFERROR(__xludf.DUMMYFUNCTION("""COMPUTED_VALUE"""),1636.0)</f>
        <v>1636</v>
      </c>
      <c r="S97" s="211">
        <f>IFERROR(__xludf.DUMMYFUNCTION("""COMPUTED_VALUE"""),1.0)</f>
        <v>1</v>
      </c>
      <c r="T97" s="211">
        <f>IFERROR(__xludf.DUMMYFUNCTION("""COMPUTED_VALUE"""),299.0)</f>
        <v>299</v>
      </c>
      <c r="U97" s="211">
        <f>IFERROR(__xludf.DUMMYFUNCTION("""COMPUTED_VALUE"""),90.0)</f>
        <v>90</v>
      </c>
      <c r="V97" s="211">
        <f>IFERROR(__xludf.DUMMYFUNCTION("""COMPUTED_VALUE"""),97.0)</f>
        <v>97</v>
      </c>
      <c r="W97" s="211">
        <f>IFERROR(__xludf.DUMMYFUNCTION("""COMPUTED_VALUE"""),17.0)</f>
        <v>17</v>
      </c>
      <c r="X97" s="211">
        <f>IFERROR(__xludf.DUMMYFUNCTION("""COMPUTED_VALUE"""),17.0)</f>
        <v>17</v>
      </c>
      <c r="Y97" s="211">
        <f>IFERROR(__xludf.DUMMYFUNCTION("""COMPUTED_VALUE"""),1.0)</f>
        <v>1</v>
      </c>
      <c r="Z97" s="211">
        <f>IFERROR(__xludf.DUMMYFUNCTION("""COMPUTED_VALUE"""),956.0)</f>
        <v>956</v>
      </c>
    </row>
    <row r="98">
      <c r="A98" s="210">
        <f>IFERROR(__xludf.DUMMYFUNCTION("""COMPUTED_VALUE"""),44008.0)</f>
        <v>44008</v>
      </c>
      <c r="B98" s="211">
        <f>IFERROR(__xludf.DUMMYFUNCTION("""COMPUTED_VALUE"""),94.0)</f>
        <v>94</v>
      </c>
      <c r="C98" s="211">
        <f>IFERROR(__xludf.DUMMYFUNCTION("""COMPUTED_VALUE"""),106.0)</f>
        <v>106</v>
      </c>
      <c r="D98" s="211">
        <f>IFERROR(__xludf.DUMMYFUNCTION("""COMPUTED_VALUE"""),24303.0)</f>
        <v>24303</v>
      </c>
      <c r="E98" s="211">
        <f>IFERROR(__xludf.DUMMYFUNCTION("""COMPUTED_VALUE"""),2488.0)</f>
        <v>2488</v>
      </c>
      <c r="F98" s="151">
        <f>IFERROR(__xludf.DUMMYFUNCTION("""COMPUTED_VALUE"""),222765.0)</f>
        <v>222765</v>
      </c>
      <c r="G98" s="151">
        <f>IFERROR(__xludf.DUMMYFUNCTION("""COMPUTED_VALUE"""),2582.0)</f>
        <v>2582</v>
      </c>
      <c r="H98" s="151">
        <f>IFERROR(__xludf.DUMMYFUNCTION("""COMPUTED_VALUE"""),247068.0)</f>
        <v>247068</v>
      </c>
      <c r="I98" s="211">
        <f>IFERROR(__xludf.DUMMYFUNCTION("""COMPUTED_VALUE"""),60.0)</f>
        <v>60</v>
      </c>
      <c r="J98" s="211">
        <f>IFERROR(__xludf.DUMMYFUNCTION("""COMPUTED_VALUE"""),51.0)</f>
        <v>51</v>
      </c>
      <c r="K98" s="211">
        <f>IFERROR(__xludf.DUMMYFUNCTION("""COMPUTED_VALUE"""),16707.0)</f>
        <v>16707</v>
      </c>
      <c r="L98" s="211">
        <f>IFERROR(__xludf.DUMMYFUNCTION("""COMPUTED_VALUE"""),1331.0)</f>
        <v>1331</v>
      </c>
      <c r="M98" s="211">
        <f>IFERROR(__xludf.DUMMYFUNCTION("""COMPUTED_VALUE"""),135823.0)</f>
        <v>135823</v>
      </c>
      <c r="N98" s="211">
        <f>IFERROR(__xludf.DUMMYFUNCTION("""COMPUTED_VALUE"""),152530.0)</f>
        <v>152530</v>
      </c>
      <c r="O98" s="211">
        <f>IFERROR(__xludf.DUMMYFUNCTION("""COMPUTED_VALUE"""),2.0)</f>
        <v>2</v>
      </c>
      <c r="P98" s="211">
        <f>IFERROR(__xludf.DUMMYFUNCTION("""COMPUTED_VALUE"""),2027.0)</f>
        <v>2027</v>
      </c>
      <c r="Q98" s="211">
        <f>IFERROR(__xludf.DUMMYFUNCTION("""COMPUTED_VALUE"""),10.0)</f>
        <v>10</v>
      </c>
      <c r="R98" s="211">
        <f>IFERROR(__xludf.DUMMYFUNCTION("""COMPUTED_VALUE"""),1646.0)</f>
        <v>1646</v>
      </c>
      <c r="S98" s="211">
        <f>IFERROR(__xludf.DUMMYFUNCTION("""COMPUTED_VALUE"""),0.0)</f>
        <v>0</v>
      </c>
      <c r="T98" s="211">
        <f>IFERROR(__xludf.DUMMYFUNCTION("""COMPUTED_VALUE"""),299.0)</f>
        <v>299</v>
      </c>
      <c r="U98" s="211">
        <f>IFERROR(__xludf.DUMMYFUNCTION("""COMPUTED_VALUE"""),82.0)</f>
        <v>82</v>
      </c>
      <c r="V98" s="211">
        <f>IFERROR(__xludf.DUMMYFUNCTION("""COMPUTED_VALUE"""),90.0)</f>
        <v>90</v>
      </c>
      <c r="W98" s="211">
        <f>IFERROR(__xludf.DUMMYFUNCTION("""COMPUTED_VALUE"""),18.0)</f>
        <v>18</v>
      </c>
      <c r="X98" s="211">
        <f>IFERROR(__xludf.DUMMYFUNCTION("""COMPUTED_VALUE"""),18.0)</f>
        <v>18</v>
      </c>
      <c r="Y98" s="211">
        <f>IFERROR(__xludf.DUMMYFUNCTION("""COMPUTED_VALUE"""),1.0)</f>
        <v>1</v>
      </c>
      <c r="Z98" s="211">
        <f>IFERROR(__xludf.DUMMYFUNCTION("""COMPUTED_VALUE"""),957.0)</f>
        <v>957</v>
      </c>
    </row>
    <row r="99">
      <c r="A99" s="210">
        <f>IFERROR(__xludf.DUMMYFUNCTION("""COMPUTED_VALUE"""),44009.0)</f>
        <v>44009</v>
      </c>
      <c r="B99" s="211">
        <f>IFERROR(__xludf.DUMMYFUNCTION("""COMPUTED_VALUE"""),84.0)</f>
        <v>84</v>
      </c>
      <c r="C99" s="211">
        <f>IFERROR(__xludf.DUMMYFUNCTION("""COMPUTED_VALUE"""),94.0)</f>
        <v>94</v>
      </c>
      <c r="D99" s="211">
        <f>IFERROR(__xludf.DUMMYFUNCTION("""COMPUTED_VALUE"""),24387.0)</f>
        <v>24387</v>
      </c>
      <c r="E99" s="211">
        <f>IFERROR(__xludf.DUMMYFUNCTION("""COMPUTED_VALUE"""),3214.0)</f>
        <v>3214</v>
      </c>
      <c r="F99" s="151">
        <f>IFERROR(__xludf.DUMMYFUNCTION("""COMPUTED_VALUE"""),225979.0)</f>
        <v>225979</v>
      </c>
      <c r="G99" s="151">
        <f>IFERROR(__xludf.DUMMYFUNCTION("""COMPUTED_VALUE"""),3298.0)</f>
        <v>3298</v>
      </c>
      <c r="H99" s="151">
        <f>IFERROR(__xludf.DUMMYFUNCTION("""COMPUTED_VALUE"""),250366.0)</f>
        <v>250366</v>
      </c>
      <c r="I99" s="211">
        <f>IFERROR(__xludf.DUMMYFUNCTION("""COMPUTED_VALUE"""),37.0)</f>
        <v>37</v>
      </c>
      <c r="J99" s="211">
        <f>IFERROR(__xludf.DUMMYFUNCTION("""COMPUTED_VALUE"""),49.0)</f>
        <v>49</v>
      </c>
      <c r="K99" s="211">
        <f>IFERROR(__xludf.DUMMYFUNCTION("""COMPUTED_VALUE"""),16744.0)</f>
        <v>16744</v>
      </c>
      <c r="L99" s="211">
        <f>IFERROR(__xludf.DUMMYFUNCTION("""COMPUTED_VALUE"""),1218.0)</f>
        <v>1218</v>
      </c>
      <c r="M99" s="211">
        <f>IFERROR(__xludf.DUMMYFUNCTION("""COMPUTED_VALUE"""),137041.0)</f>
        <v>137041</v>
      </c>
      <c r="N99" s="211">
        <f>IFERROR(__xludf.DUMMYFUNCTION("""COMPUTED_VALUE"""),153785.0)</f>
        <v>153785</v>
      </c>
      <c r="O99" s="211">
        <f>IFERROR(__xludf.DUMMYFUNCTION("""COMPUTED_VALUE"""),5.0)</f>
        <v>5</v>
      </c>
      <c r="P99" s="211">
        <f>IFERROR(__xludf.DUMMYFUNCTION("""COMPUTED_VALUE"""),2032.0)</f>
        <v>2032</v>
      </c>
      <c r="Q99" s="211">
        <f>IFERROR(__xludf.DUMMYFUNCTION("""COMPUTED_VALUE"""),3.0)</f>
        <v>3</v>
      </c>
      <c r="R99" s="211">
        <f>IFERROR(__xludf.DUMMYFUNCTION("""COMPUTED_VALUE"""),1649.0)</f>
        <v>1649</v>
      </c>
      <c r="S99" s="211">
        <f>IFERROR(__xludf.DUMMYFUNCTION("""COMPUTED_VALUE"""),1.0)</f>
        <v>1</v>
      </c>
      <c r="T99" s="211">
        <f>IFERROR(__xludf.DUMMYFUNCTION("""COMPUTED_VALUE"""),300.0)</f>
        <v>300</v>
      </c>
      <c r="U99" s="211">
        <f>IFERROR(__xludf.DUMMYFUNCTION("""COMPUTED_VALUE"""),83.0)</f>
        <v>83</v>
      </c>
      <c r="V99" s="211">
        <f>IFERROR(__xludf.DUMMYFUNCTION("""COMPUTED_VALUE"""),85.0)</f>
        <v>85</v>
      </c>
      <c r="W99" s="211">
        <f>IFERROR(__xludf.DUMMYFUNCTION("""COMPUTED_VALUE"""),17.0)</f>
        <v>17</v>
      </c>
      <c r="X99" s="211">
        <f>IFERROR(__xludf.DUMMYFUNCTION("""COMPUTED_VALUE"""),17.0)</f>
        <v>17</v>
      </c>
      <c r="Y99" s="211">
        <f>IFERROR(__xludf.DUMMYFUNCTION("""COMPUTED_VALUE"""),5.0)</f>
        <v>5</v>
      </c>
      <c r="Z99" s="211">
        <f>IFERROR(__xludf.DUMMYFUNCTION("""COMPUTED_VALUE"""),962.0)</f>
        <v>962</v>
      </c>
    </row>
    <row r="100">
      <c r="A100" s="210">
        <f>IFERROR(__xludf.DUMMYFUNCTION("""COMPUTED_VALUE"""),44010.0)</f>
        <v>44010</v>
      </c>
      <c r="B100" s="211">
        <f>IFERROR(__xludf.DUMMYFUNCTION("""COMPUTED_VALUE"""),39.0)</f>
        <v>39</v>
      </c>
      <c r="C100" s="211">
        <f>IFERROR(__xludf.DUMMYFUNCTION("""COMPUTED_VALUE"""),72.0)</f>
        <v>72</v>
      </c>
      <c r="D100" s="211">
        <f>IFERROR(__xludf.DUMMYFUNCTION("""COMPUTED_VALUE"""),24426.0)</f>
        <v>24426</v>
      </c>
      <c r="E100" s="211">
        <f>IFERROR(__xludf.DUMMYFUNCTION("""COMPUTED_VALUE"""),1469.0)</f>
        <v>1469</v>
      </c>
      <c r="F100" s="151">
        <f>IFERROR(__xludf.DUMMYFUNCTION("""COMPUTED_VALUE"""),227448.0)</f>
        <v>227448</v>
      </c>
      <c r="G100" s="151">
        <f>IFERROR(__xludf.DUMMYFUNCTION("""COMPUTED_VALUE"""),1508.0)</f>
        <v>1508</v>
      </c>
      <c r="H100" s="151">
        <f>IFERROR(__xludf.DUMMYFUNCTION("""COMPUTED_VALUE"""),251874.0)</f>
        <v>251874</v>
      </c>
      <c r="I100" s="211">
        <f>IFERROR(__xludf.DUMMYFUNCTION("""COMPUTED_VALUE"""),17.0)</f>
        <v>17</v>
      </c>
      <c r="J100" s="211">
        <f>IFERROR(__xludf.DUMMYFUNCTION("""COMPUTED_VALUE"""),38.0)</f>
        <v>38</v>
      </c>
      <c r="K100" s="211">
        <f>IFERROR(__xludf.DUMMYFUNCTION("""COMPUTED_VALUE"""),16761.0)</f>
        <v>16761</v>
      </c>
      <c r="L100" s="211">
        <f>IFERROR(__xludf.DUMMYFUNCTION("""COMPUTED_VALUE"""),595.0)</f>
        <v>595</v>
      </c>
      <c r="M100" s="211">
        <f>IFERROR(__xludf.DUMMYFUNCTION("""COMPUTED_VALUE"""),137636.0)</f>
        <v>137636</v>
      </c>
      <c r="N100" s="211">
        <f>IFERROR(__xludf.DUMMYFUNCTION("""COMPUTED_VALUE"""),154397.0)</f>
        <v>154397</v>
      </c>
      <c r="O100" s="211">
        <f>IFERROR(__xludf.DUMMYFUNCTION("""COMPUTED_VALUE"""),4.0)</f>
        <v>4</v>
      </c>
      <c r="P100" s="211">
        <f>IFERROR(__xludf.DUMMYFUNCTION("""COMPUTED_VALUE"""),2036.0)</f>
        <v>2036</v>
      </c>
      <c r="Q100" s="211">
        <f>IFERROR(__xludf.DUMMYFUNCTION("""COMPUTED_VALUE"""),4.0)</f>
        <v>4</v>
      </c>
      <c r="R100" s="211">
        <f>IFERROR(__xludf.DUMMYFUNCTION("""COMPUTED_VALUE"""),1653.0)</f>
        <v>1653</v>
      </c>
      <c r="S100" s="211">
        <f>IFERROR(__xludf.DUMMYFUNCTION("""COMPUTED_VALUE"""),4.0)</f>
        <v>4</v>
      </c>
      <c r="T100" s="211">
        <f>IFERROR(__xludf.DUMMYFUNCTION("""COMPUTED_VALUE"""),304.0)</f>
        <v>304</v>
      </c>
      <c r="U100" s="211">
        <f>IFERROR(__xludf.DUMMYFUNCTION("""COMPUTED_VALUE"""),79.0)</f>
        <v>79</v>
      </c>
      <c r="V100" s="211">
        <f>IFERROR(__xludf.DUMMYFUNCTION("""COMPUTED_VALUE"""),81.0)</f>
        <v>81</v>
      </c>
      <c r="W100" s="211">
        <f>IFERROR(__xludf.DUMMYFUNCTION("""COMPUTED_VALUE"""),15.0)</f>
        <v>15</v>
      </c>
      <c r="X100" s="211">
        <f>IFERROR(__xludf.DUMMYFUNCTION("""COMPUTED_VALUE"""),14.0)</f>
        <v>14</v>
      </c>
      <c r="Y100" s="211">
        <f>IFERROR(__xludf.DUMMYFUNCTION("""COMPUTED_VALUE"""),6.0)</f>
        <v>6</v>
      </c>
      <c r="Z100" s="211">
        <f>IFERROR(__xludf.DUMMYFUNCTION("""COMPUTED_VALUE"""),968.0)</f>
        <v>968</v>
      </c>
    </row>
    <row r="101">
      <c r="A101" s="210">
        <f>IFERROR(__xludf.DUMMYFUNCTION("""COMPUTED_VALUE"""),44011.0)</f>
        <v>44011</v>
      </c>
      <c r="B101" s="211">
        <f>IFERROR(__xludf.DUMMYFUNCTION("""COMPUTED_VALUE"""),85.0)</f>
        <v>85</v>
      </c>
      <c r="C101" s="211">
        <f>IFERROR(__xludf.DUMMYFUNCTION("""COMPUTED_VALUE"""),69.0)</f>
        <v>69</v>
      </c>
      <c r="D101" s="211">
        <f>IFERROR(__xludf.DUMMYFUNCTION("""COMPUTED_VALUE"""),24511.0)</f>
        <v>24511</v>
      </c>
      <c r="E101" s="211">
        <f>IFERROR(__xludf.DUMMYFUNCTION("""COMPUTED_VALUE"""),3697.0)</f>
        <v>3697</v>
      </c>
      <c r="F101" s="151">
        <f>IFERROR(__xludf.DUMMYFUNCTION("""COMPUTED_VALUE"""),231145.0)</f>
        <v>231145</v>
      </c>
      <c r="G101" s="151">
        <f>IFERROR(__xludf.DUMMYFUNCTION("""COMPUTED_VALUE"""),3782.0)</f>
        <v>3782</v>
      </c>
      <c r="H101" s="151">
        <f>IFERROR(__xludf.DUMMYFUNCTION("""COMPUTED_VALUE"""),255656.0)</f>
        <v>255656</v>
      </c>
      <c r="I101" s="211">
        <f>IFERROR(__xludf.DUMMYFUNCTION("""COMPUTED_VALUE"""),39.0)</f>
        <v>39</v>
      </c>
      <c r="J101" s="211">
        <f>IFERROR(__xludf.DUMMYFUNCTION("""COMPUTED_VALUE"""),31.0)</f>
        <v>31</v>
      </c>
      <c r="K101" s="211">
        <f>IFERROR(__xludf.DUMMYFUNCTION("""COMPUTED_VALUE"""),16800.0)</f>
        <v>16800</v>
      </c>
      <c r="L101" s="211">
        <f>IFERROR(__xludf.DUMMYFUNCTION("""COMPUTED_VALUE"""),1352.0)</f>
        <v>1352</v>
      </c>
      <c r="M101" s="211">
        <f>IFERROR(__xludf.DUMMYFUNCTION("""COMPUTED_VALUE"""),138988.0)</f>
        <v>138988</v>
      </c>
      <c r="N101" s="211">
        <f>IFERROR(__xludf.DUMMYFUNCTION("""COMPUTED_VALUE"""),155788.0)</f>
        <v>155788</v>
      </c>
      <c r="O101" s="211">
        <f>IFERROR(__xludf.DUMMYFUNCTION("""COMPUTED_VALUE"""),4.0)</f>
        <v>4</v>
      </c>
      <c r="P101" s="211">
        <f>IFERROR(__xludf.DUMMYFUNCTION("""COMPUTED_VALUE"""),2040.0)</f>
        <v>2040</v>
      </c>
      <c r="Q101" s="211">
        <f>IFERROR(__xludf.DUMMYFUNCTION("""COMPUTED_VALUE"""),5.0)</f>
        <v>5</v>
      </c>
      <c r="R101" s="211">
        <f>IFERROR(__xludf.DUMMYFUNCTION("""COMPUTED_VALUE"""),1658.0)</f>
        <v>1658</v>
      </c>
      <c r="S101" s="211">
        <f>IFERROR(__xludf.DUMMYFUNCTION("""COMPUTED_VALUE"""),0.0)</f>
        <v>0</v>
      </c>
      <c r="T101" s="211">
        <f>IFERROR(__xludf.DUMMYFUNCTION("""COMPUTED_VALUE"""),304.0)</f>
        <v>304</v>
      </c>
      <c r="U101" s="211">
        <f>IFERROR(__xludf.DUMMYFUNCTION("""COMPUTED_VALUE"""),78.0)</f>
        <v>78</v>
      </c>
      <c r="V101" s="211">
        <f>IFERROR(__xludf.DUMMYFUNCTION("""COMPUTED_VALUE"""),80.0)</f>
        <v>80</v>
      </c>
      <c r="W101" s="211">
        <f>IFERROR(__xludf.DUMMYFUNCTION("""COMPUTED_VALUE"""),14.0)</f>
        <v>14</v>
      </c>
      <c r="X101" s="211">
        <f>IFERROR(__xludf.DUMMYFUNCTION("""COMPUTED_VALUE"""),14.0)</f>
        <v>14</v>
      </c>
      <c r="Y101" s="211">
        <f>IFERROR(__xludf.DUMMYFUNCTION("""COMPUTED_VALUE"""),1.0)</f>
        <v>1</v>
      </c>
      <c r="Z101" s="211">
        <f>IFERROR(__xludf.DUMMYFUNCTION("""COMPUTED_VALUE"""),969.0)</f>
        <v>969</v>
      </c>
    </row>
    <row r="102">
      <c r="A102" s="210">
        <f>IFERROR(__xludf.DUMMYFUNCTION("""COMPUTED_VALUE"""),44012.0)</f>
        <v>44012</v>
      </c>
      <c r="B102" s="211">
        <f>IFERROR(__xludf.DUMMYFUNCTION("""COMPUTED_VALUE"""),57.0)</f>
        <v>57</v>
      </c>
      <c r="C102" s="211">
        <f>IFERROR(__xludf.DUMMYFUNCTION("""COMPUTED_VALUE"""),60.0)</f>
        <v>60</v>
      </c>
      <c r="D102" s="211">
        <f>IFERROR(__xludf.DUMMYFUNCTION("""COMPUTED_VALUE"""),24568.0)</f>
        <v>24568</v>
      </c>
      <c r="E102" s="211">
        <f>IFERROR(__xludf.DUMMYFUNCTION("""COMPUTED_VALUE"""),1957.0)</f>
        <v>1957</v>
      </c>
      <c r="F102" s="151">
        <f>IFERROR(__xludf.DUMMYFUNCTION("""COMPUTED_VALUE"""),233102.0)</f>
        <v>233102</v>
      </c>
      <c r="G102" s="151">
        <f>IFERROR(__xludf.DUMMYFUNCTION("""COMPUTED_VALUE"""),2014.0)</f>
        <v>2014</v>
      </c>
      <c r="H102" s="151">
        <f>IFERROR(__xludf.DUMMYFUNCTION("""COMPUTED_VALUE"""),257670.0)</f>
        <v>257670</v>
      </c>
      <c r="I102" s="211">
        <f>IFERROR(__xludf.DUMMYFUNCTION("""COMPUTED_VALUE"""),33.0)</f>
        <v>33</v>
      </c>
      <c r="J102" s="211">
        <f>IFERROR(__xludf.DUMMYFUNCTION("""COMPUTED_VALUE"""),30.0)</f>
        <v>30</v>
      </c>
      <c r="K102" s="211">
        <f>IFERROR(__xludf.DUMMYFUNCTION("""COMPUTED_VALUE"""),16833.0)</f>
        <v>16833</v>
      </c>
      <c r="L102" s="211">
        <f>IFERROR(__xludf.DUMMYFUNCTION("""COMPUTED_VALUE"""),995.0)</f>
        <v>995</v>
      </c>
      <c r="M102" s="211">
        <f>IFERROR(__xludf.DUMMYFUNCTION("""COMPUTED_VALUE"""),139983.0)</f>
        <v>139983</v>
      </c>
      <c r="N102" s="211">
        <f>IFERROR(__xludf.DUMMYFUNCTION("""COMPUTED_VALUE"""),156816.0)</f>
        <v>156816</v>
      </c>
      <c r="O102" s="211">
        <f>IFERROR(__xludf.DUMMYFUNCTION("""COMPUTED_VALUE"""),1.0)</f>
        <v>1</v>
      </c>
      <c r="P102" s="211">
        <f>IFERROR(__xludf.DUMMYFUNCTION("""COMPUTED_VALUE"""),2041.0)</f>
        <v>2041</v>
      </c>
      <c r="Q102" s="211">
        <f>IFERROR(__xludf.DUMMYFUNCTION("""COMPUTED_VALUE"""),5.0)</f>
        <v>5</v>
      </c>
      <c r="R102" s="211">
        <f>IFERROR(__xludf.DUMMYFUNCTION("""COMPUTED_VALUE"""),1663.0)</f>
        <v>1663</v>
      </c>
      <c r="S102" s="211">
        <f>IFERROR(__xludf.DUMMYFUNCTION("""COMPUTED_VALUE"""),1.0)</f>
        <v>1</v>
      </c>
      <c r="T102" s="211">
        <f>IFERROR(__xludf.DUMMYFUNCTION("""COMPUTED_VALUE"""),305.0)</f>
        <v>305</v>
      </c>
      <c r="U102" s="211">
        <f>IFERROR(__xludf.DUMMYFUNCTION("""COMPUTED_VALUE"""),73.0)</f>
        <v>73</v>
      </c>
      <c r="V102" s="211">
        <f>IFERROR(__xludf.DUMMYFUNCTION("""COMPUTED_VALUE"""),77.0)</f>
        <v>77</v>
      </c>
      <c r="W102" s="211">
        <f>IFERROR(__xludf.DUMMYFUNCTION("""COMPUTED_VALUE"""),12.0)</f>
        <v>12</v>
      </c>
      <c r="X102" s="211">
        <f>IFERROR(__xludf.DUMMYFUNCTION("""COMPUTED_VALUE"""),11.0)</f>
        <v>11</v>
      </c>
      <c r="Y102" s="211">
        <f>IFERROR(__xludf.DUMMYFUNCTION("""COMPUTED_VALUE"""),4.0)</f>
        <v>4</v>
      </c>
      <c r="Z102" s="211">
        <f>IFERROR(__xludf.DUMMYFUNCTION("""COMPUTED_VALUE"""),973.0)</f>
        <v>973</v>
      </c>
    </row>
    <row r="103">
      <c r="A103" s="210">
        <f>IFERROR(__xludf.DUMMYFUNCTION("""COMPUTED_VALUE"""),44013.0)</f>
        <v>44013</v>
      </c>
      <c r="B103" s="211">
        <f>IFERROR(__xludf.DUMMYFUNCTION("""COMPUTED_VALUE"""),144.0)</f>
        <v>144</v>
      </c>
      <c r="C103" s="211">
        <f>IFERROR(__xludf.DUMMYFUNCTION("""COMPUTED_VALUE"""),95.0)</f>
        <v>95</v>
      </c>
      <c r="D103" s="211">
        <f>IFERROR(__xludf.DUMMYFUNCTION("""COMPUTED_VALUE"""),24712.0)</f>
        <v>24712</v>
      </c>
      <c r="E103" s="211">
        <f>IFERROR(__xludf.DUMMYFUNCTION("""COMPUTED_VALUE"""),4098.0)</f>
        <v>4098</v>
      </c>
      <c r="F103" s="151">
        <f>IFERROR(__xludf.DUMMYFUNCTION("""COMPUTED_VALUE"""),237200.0)</f>
        <v>237200</v>
      </c>
      <c r="G103" s="151">
        <f>IFERROR(__xludf.DUMMYFUNCTION("""COMPUTED_VALUE"""),4242.0)</f>
        <v>4242</v>
      </c>
      <c r="H103" s="151">
        <f>IFERROR(__xludf.DUMMYFUNCTION("""COMPUTED_VALUE"""),261912.0)</f>
        <v>261912</v>
      </c>
      <c r="I103" s="211">
        <f>IFERROR(__xludf.DUMMYFUNCTION("""COMPUTED_VALUE"""),78.0)</f>
        <v>78</v>
      </c>
      <c r="J103" s="211">
        <f>IFERROR(__xludf.DUMMYFUNCTION("""COMPUTED_VALUE"""),50.0)</f>
        <v>50</v>
      </c>
      <c r="K103" s="211">
        <f>IFERROR(__xludf.DUMMYFUNCTION("""COMPUTED_VALUE"""),16911.0)</f>
        <v>16911</v>
      </c>
      <c r="L103" s="211">
        <f>IFERROR(__xludf.DUMMYFUNCTION("""COMPUTED_VALUE"""),1934.0)</f>
        <v>1934</v>
      </c>
      <c r="M103" s="211">
        <f>IFERROR(__xludf.DUMMYFUNCTION("""COMPUTED_VALUE"""),141917.0)</f>
        <v>141917</v>
      </c>
      <c r="N103" s="211">
        <f>IFERROR(__xludf.DUMMYFUNCTION("""COMPUTED_VALUE"""),158828.0)</f>
        <v>158828</v>
      </c>
      <c r="O103" s="211">
        <f>IFERROR(__xludf.DUMMYFUNCTION("""COMPUTED_VALUE"""),7.0)</f>
        <v>7</v>
      </c>
      <c r="P103" s="211">
        <f>IFERROR(__xludf.DUMMYFUNCTION("""COMPUTED_VALUE"""),2048.0)</f>
        <v>2048</v>
      </c>
      <c r="Q103" s="211">
        <f>IFERROR(__xludf.DUMMYFUNCTION("""COMPUTED_VALUE"""),9.0)</f>
        <v>9</v>
      </c>
      <c r="R103" s="211">
        <f>IFERROR(__xludf.DUMMYFUNCTION("""COMPUTED_VALUE"""),1672.0)</f>
        <v>1672</v>
      </c>
      <c r="S103" s="211">
        <f>IFERROR(__xludf.DUMMYFUNCTION("""COMPUTED_VALUE"""),0.0)</f>
        <v>0</v>
      </c>
      <c r="T103" s="211">
        <f>IFERROR(__xludf.DUMMYFUNCTION("""COMPUTED_VALUE"""),305.0)</f>
        <v>305</v>
      </c>
      <c r="U103" s="211">
        <f>IFERROR(__xludf.DUMMYFUNCTION("""COMPUTED_VALUE"""),71.0)</f>
        <v>71</v>
      </c>
      <c r="V103" s="211">
        <f>IFERROR(__xludf.DUMMYFUNCTION("""COMPUTED_VALUE"""),74.0)</f>
        <v>74</v>
      </c>
      <c r="W103" s="211">
        <f>IFERROR(__xludf.DUMMYFUNCTION("""COMPUTED_VALUE"""),11.0)</f>
        <v>11</v>
      </c>
      <c r="X103" s="211">
        <f>IFERROR(__xludf.DUMMYFUNCTION("""COMPUTED_VALUE"""),11.0)</f>
        <v>11</v>
      </c>
      <c r="Y103" s="211">
        <f>IFERROR(__xludf.DUMMYFUNCTION("""COMPUTED_VALUE"""),1.0)</f>
        <v>1</v>
      </c>
      <c r="Z103" s="211">
        <f>IFERROR(__xludf.DUMMYFUNCTION("""COMPUTED_VALUE"""),974.0)</f>
        <v>974</v>
      </c>
    </row>
    <row r="104">
      <c r="A104" s="210">
        <f>IFERROR(__xludf.DUMMYFUNCTION("""COMPUTED_VALUE"""),44014.0)</f>
        <v>44014</v>
      </c>
      <c r="B104" s="211">
        <f>IFERROR(__xludf.DUMMYFUNCTION("""COMPUTED_VALUE"""),103.0)</f>
        <v>103</v>
      </c>
      <c r="C104" s="211">
        <f>IFERROR(__xludf.DUMMYFUNCTION("""COMPUTED_VALUE"""),101.0)</f>
        <v>101</v>
      </c>
      <c r="D104" s="211">
        <f>IFERROR(__xludf.DUMMYFUNCTION("""COMPUTED_VALUE"""),24815.0)</f>
        <v>24815</v>
      </c>
      <c r="E104" s="211">
        <f>IFERROR(__xludf.DUMMYFUNCTION("""COMPUTED_VALUE"""),2803.0)</f>
        <v>2803</v>
      </c>
      <c r="F104" s="151">
        <f>IFERROR(__xludf.DUMMYFUNCTION("""COMPUTED_VALUE"""),240003.0)</f>
        <v>240003</v>
      </c>
      <c r="G104" s="151">
        <f>IFERROR(__xludf.DUMMYFUNCTION("""COMPUTED_VALUE"""),2906.0)</f>
        <v>2906</v>
      </c>
      <c r="H104" s="151">
        <f>IFERROR(__xludf.DUMMYFUNCTION("""COMPUTED_VALUE"""),264818.0)</f>
        <v>264818</v>
      </c>
      <c r="I104" s="211">
        <f>IFERROR(__xludf.DUMMYFUNCTION("""COMPUTED_VALUE"""),59.0)</f>
        <v>59</v>
      </c>
      <c r="J104" s="211">
        <f>IFERROR(__xludf.DUMMYFUNCTION("""COMPUTED_VALUE"""),57.0)</f>
        <v>57</v>
      </c>
      <c r="K104" s="211">
        <f>IFERROR(__xludf.DUMMYFUNCTION("""COMPUTED_VALUE"""),16970.0)</f>
        <v>16970</v>
      </c>
      <c r="L104" s="211">
        <f>IFERROR(__xludf.DUMMYFUNCTION("""COMPUTED_VALUE"""),1088.0)</f>
        <v>1088</v>
      </c>
      <c r="M104" s="211">
        <f>IFERROR(__xludf.DUMMYFUNCTION("""COMPUTED_VALUE"""),143005.0)</f>
        <v>143005</v>
      </c>
      <c r="N104" s="211">
        <f>IFERROR(__xludf.DUMMYFUNCTION("""COMPUTED_VALUE"""),159975.0)</f>
        <v>159975</v>
      </c>
      <c r="O104" s="211">
        <f>IFERROR(__xludf.DUMMYFUNCTION("""COMPUTED_VALUE"""),5.0)</f>
        <v>5</v>
      </c>
      <c r="P104" s="211">
        <f>IFERROR(__xludf.DUMMYFUNCTION("""COMPUTED_VALUE"""),2053.0)</f>
        <v>2053</v>
      </c>
      <c r="Q104" s="211">
        <f>IFERROR(__xludf.DUMMYFUNCTION("""COMPUTED_VALUE"""),5.0)</f>
        <v>5</v>
      </c>
      <c r="R104" s="211">
        <f>IFERROR(__xludf.DUMMYFUNCTION("""COMPUTED_VALUE"""),1677.0)</f>
        <v>1677</v>
      </c>
      <c r="S104" s="211">
        <f>IFERROR(__xludf.DUMMYFUNCTION("""COMPUTED_VALUE"""),1.0)</f>
        <v>1</v>
      </c>
      <c r="T104" s="211">
        <f>IFERROR(__xludf.DUMMYFUNCTION("""COMPUTED_VALUE"""),306.0)</f>
        <v>306</v>
      </c>
      <c r="U104" s="211">
        <f>IFERROR(__xludf.DUMMYFUNCTION("""COMPUTED_VALUE"""),70.0)</f>
        <v>70</v>
      </c>
      <c r="V104" s="211">
        <f>IFERROR(__xludf.DUMMYFUNCTION("""COMPUTED_VALUE"""),71.0)</f>
        <v>71</v>
      </c>
      <c r="W104" s="211">
        <f>IFERROR(__xludf.DUMMYFUNCTION("""COMPUTED_VALUE"""),10.0)</f>
        <v>10</v>
      </c>
      <c r="X104" s="211">
        <f>IFERROR(__xludf.DUMMYFUNCTION("""COMPUTED_VALUE"""),10.0)</f>
        <v>10</v>
      </c>
      <c r="Y104" s="211">
        <f>IFERROR(__xludf.DUMMYFUNCTION("""COMPUTED_VALUE"""),3.0)</f>
        <v>3</v>
      </c>
      <c r="Z104" s="211">
        <f>IFERROR(__xludf.DUMMYFUNCTION("""COMPUTED_VALUE"""),977.0)</f>
        <v>977</v>
      </c>
    </row>
    <row r="105">
      <c r="A105" s="210">
        <f>IFERROR(__xludf.DUMMYFUNCTION("""COMPUTED_VALUE"""),44015.0)</f>
        <v>44015</v>
      </c>
      <c r="B105" s="211">
        <f>IFERROR(__xludf.DUMMYFUNCTION("""COMPUTED_VALUE"""),50.0)</f>
        <v>50</v>
      </c>
      <c r="C105" s="211">
        <f>IFERROR(__xludf.DUMMYFUNCTION("""COMPUTED_VALUE"""),99.0)</f>
        <v>99</v>
      </c>
      <c r="D105" s="211">
        <f>IFERROR(__xludf.DUMMYFUNCTION("""COMPUTED_VALUE"""),24865.0)</f>
        <v>24865</v>
      </c>
      <c r="E105" s="211">
        <f>IFERROR(__xludf.DUMMYFUNCTION("""COMPUTED_VALUE"""),2076.0)</f>
        <v>2076</v>
      </c>
      <c r="F105" s="151">
        <f>IFERROR(__xludf.DUMMYFUNCTION("""COMPUTED_VALUE"""),242079.0)</f>
        <v>242079</v>
      </c>
      <c r="G105" s="151">
        <f>IFERROR(__xludf.DUMMYFUNCTION("""COMPUTED_VALUE"""),2126.0)</f>
        <v>2126</v>
      </c>
      <c r="H105" s="151">
        <f>IFERROR(__xludf.DUMMYFUNCTION("""COMPUTED_VALUE"""),266944.0)</f>
        <v>266944</v>
      </c>
      <c r="I105" s="211">
        <f>IFERROR(__xludf.DUMMYFUNCTION("""COMPUTED_VALUE"""),25.0)</f>
        <v>25</v>
      </c>
      <c r="J105" s="211">
        <f>IFERROR(__xludf.DUMMYFUNCTION("""COMPUTED_VALUE"""),54.0)</f>
        <v>54</v>
      </c>
      <c r="K105" s="211">
        <f>IFERROR(__xludf.DUMMYFUNCTION("""COMPUTED_VALUE"""),16995.0)</f>
        <v>16995</v>
      </c>
      <c r="L105" s="211">
        <f>IFERROR(__xludf.DUMMYFUNCTION("""COMPUTED_VALUE"""),778.0)</f>
        <v>778</v>
      </c>
      <c r="M105" s="211">
        <f>IFERROR(__xludf.DUMMYFUNCTION("""COMPUTED_VALUE"""),143783.0)</f>
        <v>143783</v>
      </c>
      <c r="N105" s="211">
        <f>IFERROR(__xludf.DUMMYFUNCTION("""COMPUTED_VALUE"""),160778.0)</f>
        <v>160778</v>
      </c>
      <c r="O105" s="211">
        <f>IFERROR(__xludf.DUMMYFUNCTION("""COMPUTED_VALUE"""),9.0)</f>
        <v>9</v>
      </c>
      <c r="P105" s="211">
        <f>IFERROR(__xludf.DUMMYFUNCTION("""COMPUTED_VALUE"""),2062.0)</f>
        <v>2062</v>
      </c>
      <c r="Q105" s="211">
        <f>IFERROR(__xludf.DUMMYFUNCTION("""COMPUTED_VALUE"""),6.0)</f>
        <v>6</v>
      </c>
      <c r="R105" s="211">
        <f>IFERROR(__xludf.DUMMYFUNCTION("""COMPUTED_VALUE"""),1683.0)</f>
        <v>1683</v>
      </c>
      <c r="S105" s="211">
        <f>IFERROR(__xludf.DUMMYFUNCTION("""COMPUTED_VALUE"""),0.0)</f>
        <v>0</v>
      </c>
      <c r="T105" s="211">
        <f>IFERROR(__xludf.DUMMYFUNCTION("""COMPUTED_VALUE"""),306.0)</f>
        <v>306</v>
      </c>
      <c r="U105" s="211">
        <f>IFERROR(__xludf.DUMMYFUNCTION("""COMPUTED_VALUE"""),73.0)</f>
        <v>73</v>
      </c>
      <c r="V105" s="211">
        <f>IFERROR(__xludf.DUMMYFUNCTION("""COMPUTED_VALUE"""),71.0)</f>
        <v>71</v>
      </c>
      <c r="W105" s="211">
        <f>IFERROR(__xludf.DUMMYFUNCTION("""COMPUTED_VALUE"""),9.0)</f>
        <v>9</v>
      </c>
      <c r="X105" s="211">
        <f>IFERROR(__xludf.DUMMYFUNCTION("""COMPUTED_VALUE"""),9.0)</f>
        <v>9</v>
      </c>
      <c r="Y105" s="211">
        <f>IFERROR(__xludf.DUMMYFUNCTION("""COMPUTED_VALUE"""),3.0)</f>
        <v>3</v>
      </c>
      <c r="Z105" s="211">
        <f>IFERROR(__xludf.DUMMYFUNCTION("""COMPUTED_VALUE"""),980.0)</f>
        <v>980</v>
      </c>
    </row>
    <row r="106">
      <c r="A106" s="210">
        <f>IFERROR(__xludf.DUMMYFUNCTION("""COMPUTED_VALUE"""),44016.0)</f>
        <v>44016</v>
      </c>
      <c r="B106" s="211">
        <f>IFERROR(__xludf.DUMMYFUNCTION("""COMPUTED_VALUE"""),57.0)</f>
        <v>57</v>
      </c>
      <c r="C106" s="211">
        <f>IFERROR(__xludf.DUMMYFUNCTION("""COMPUTED_VALUE"""),70.0)</f>
        <v>70</v>
      </c>
      <c r="D106" s="211">
        <f>IFERROR(__xludf.DUMMYFUNCTION("""COMPUTED_VALUE"""),24922.0)</f>
        <v>24922</v>
      </c>
      <c r="E106" s="211">
        <f>IFERROR(__xludf.DUMMYFUNCTION("""COMPUTED_VALUE"""),2345.0)</f>
        <v>2345</v>
      </c>
      <c r="F106" s="151">
        <f>IFERROR(__xludf.DUMMYFUNCTION("""COMPUTED_VALUE"""),244424.0)</f>
        <v>244424</v>
      </c>
      <c r="G106" s="151">
        <f>IFERROR(__xludf.DUMMYFUNCTION("""COMPUTED_VALUE"""),2402.0)</f>
        <v>2402</v>
      </c>
      <c r="H106" s="151">
        <f>IFERROR(__xludf.DUMMYFUNCTION("""COMPUTED_VALUE"""),269346.0)</f>
        <v>269346</v>
      </c>
      <c r="I106" s="211">
        <f>IFERROR(__xludf.DUMMYFUNCTION("""COMPUTED_VALUE"""),33.0)</f>
        <v>33</v>
      </c>
      <c r="J106" s="211">
        <f>IFERROR(__xludf.DUMMYFUNCTION("""COMPUTED_VALUE"""),39.0)</f>
        <v>39</v>
      </c>
      <c r="K106" s="211">
        <f>IFERROR(__xludf.DUMMYFUNCTION("""COMPUTED_VALUE"""),17028.0)</f>
        <v>17028</v>
      </c>
      <c r="L106" s="211">
        <f>IFERROR(__xludf.DUMMYFUNCTION("""COMPUTED_VALUE"""),1011.0)</f>
        <v>1011</v>
      </c>
      <c r="M106" s="211">
        <f>IFERROR(__xludf.DUMMYFUNCTION("""COMPUTED_VALUE"""),144794.0)</f>
        <v>144794</v>
      </c>
      <c r="N106" s="211">
        <f>IFERROR(__xludf.DUMMYFUNCTION("""COMPUTED_VALUE"""),161822.0)</f>
        <v>161822</v>
      </c>
      <c r="O106" s="211">
        <f>IFERROR(__xludf.DUMMYFUNCTION("""COMPUTED_VALUE"""),2.0)</f>
        <v>2</v>
      </c>
      <c r="P106" s="211">
        <f>IFERROR(__xludf.DUMMYFUNCTION("""COMPUTED_VALUE"""),2064.0)</f>
        <v>2064</v>
      </c>
      <c r="Q106" s="211">
        <f>IFERROR(__xludf.DUMMYFUNCTION("""COMPUTED_VALUE"""),4.0)</f>
        <v>4</v>
      </c>
      <c r="R106" s="211">
        <f>IFERROR(__xludf.DUMMYFUNCTION("""COMPUTED_VALUE"""),1687.0)</f>
        <v>1687</v>
      </c>
      <c r="S106" s="211">
        <f>IFERROR(__xludf.DUMMYFUNCTION("""COMPUTED_VALUE"""),1.0)</f>
        <v>1</v>
      </c>
      <c r="T106" s="211">
        <f>IFERROR(__xludf.DUMMYFUNCTION("""COMPUTED_VALUE"""),307.0)</f>
        <v>307</v>
      </c>
      <c r="U106" s="211">
        <f>IFERROR(__xludf.DUMMYFUNCTION("""COMPUTED_VALUE"""),70.0)</f>
        <v>70</v>
      </c>
      <c r="V106" s="211">
        <f>IFERROR(__xludf.DUMMYFUNCTION("""COMPUTED_VALUE"""),71.0)</f>
        <v>71</v>
      </c>
      <c r="W106" s="211">
        <f>IFERROR(__xludf.DUMMYFUNCTION("""COMPUTED_VALUE"""),10.0)</f>
        <v>10</v>
      </c>
      <c r="X106" s="211">
        <f>IFERROR(__xludf.DUMMYFUNCTION("""COMPUTED_VALUE"""),9.0)</f>
        <v>9</v>
      </c>
      <c r="Y106" s="211">
        <f>IFERROR(__xludf.DUMMYFUNCTION("""COMPUTED_VALUE"""),2.0)</f>
        <v>2</v>
      </c>
      <c r="Z106" s="211">
        <f>IFERROR(__xludf.DUMMYFUNCTION("""COMPUTED_VALUE"""),982.0)</f>
        <v>982</v>
      </c>
    </row>
    <row r="107">
      <c r="A107" s="210">
        <f>IFERROR(__xludf.DUMMYFUNCTION("""COMPUTED_VALUE"""),44017.0)</f>
        <v>44017</v>
      </c>
      <c r="B107" s="211">
        <f>IFERROR(__xludf.DUMMYFUNCTION("""COMPUTED_VALUE"""),49.0)</f>
        <v>49</v>
      </c>
      <c r="C107" s="211">
        <f>IFERROR(__xludf.DUMMYFUNCTION("""COMPUTED_VALUE"""),52.0)</f>
        <v>52</v>
      </c>
      <c r="D107" s="211">
        <f>IFERROR(__xludf.DUMMYFUNCTION("""COMPUTED_VALUE"""),24971.0)</f>
        <v>24971</v>
      </c>
      <c r="E107" s="211">
        <f>IFERROR(__xludf.DUMMYFUNCTION("""COMPUTED_VALUE"""),2932.0)</f>
        <v>2932</v>
      </c>
      <c r="F107" s="151">
        <f>IFERROR(__xludf.DUMMYFUNCTION("""COMPUTED_VALUE"""),247356.0)</f>
        <v>247356</v>
      </c>
      <c r="G107" s="151">
        <f>IFERROR(__xludf.DUMMYFUNCTION("""COMPUTED_VALUE"""),2981.0)</f>
        <v>2981</v>
      </c>
      <c r="H107" s="151">
        <f>IFERROR(__xludf.DUMMYFUNCTION("""COMPUTED_VALUE"""),272327.0)</f>
        <v>272327</v>
      </c>
      <c r="I107" s="211">
        <f>IFERROR(__xludf.DUMMYFUNCTION("""COMPUTED_VALUE"""),26.0)</f>
        <v>26</v>
      </c>
      <c r="J107" s="211">
        <f>IFERROR(__xludf.DUMMYFUNCTION("""COMPUTED_VALUE"""),28.0)</f>
        <v>28</v>
      </c>
      <c r="K107" s="211">
        <f>IFERROR(__xludf.DUMMYFUNCTION("""COMPUTED_VALUE"""),17054.0)</f>
        <v>17054</v>
      </c>
      <c r="L107" s="211">
        <f>IFERROR(__xludf.DUMMYFUNCTION("""COMPUTED_VALUE"""),1443.0)</f>
        <v>1443</v>
      </c>
      <c r="M107" s="211">
        <f>IFERROR(__xludf.DUMMYFUNCTION("""COMPUTED_VALUE"""),146237.0)</f>
        <v>146237</v>
      </c>
      <c r="N107" s="211">
        <f>IFERROR(__xludf.DUMMYFUNCTION("""COMPUTED_VALUE"""),163291.0)</f>
        <v>163291</v>
      </c>
      <c r="O107" s="211">
        <f>IFERROR(__xludf.DUMMYFUNCTION("""COMPUTED_VALUE"""),1.0)</f>
        <v>1</v>
      </c>
      <c r="P107" s="211">
        <f>IFERROR(__xludf.DUMMYFUNCTION("""COMPUTED_VALUE"""),2065.0)</f>
        <v>2065</v>
      </c>
      <c r="Q107" s="211">
        <f>IFERROR(__xludf.DUMMYFUNCTION("""COMPUTED_VALUE"""),2.0)</f>
        <v>2</v>
      </c>
      <c r="R107" s="211">
        <f>IFERROR(__xludf.DUMMYFUNCTION("""COMPUTED_VALUE"""),1689.0)</f>
        <v>1689</v>
      </c>
      <c r="S107" s="211">
        <f>IFERROR(__xludf.DUMMYFUNCTION("""COMPUTED_VALUE"""),1.0)</f>
        <v>1</v>
      </c>
      <c r="T107" s="211">
        <f>IFERROR(__xludf.DUMMYFUNCTION("""COMPUTED_VALUE"""),308.0)</f>
        <v>308</v>
      </c>
      <c r="U107" s="211">
        <f>IFERROR(__xludf.DUMMYFUNCTION("""COMPUTED_VALUE"""),68.0)</f>
        <v>68</v>
      </c>
      <c r="V107" s="211">
        <f>IFERROR(__xludf.DUMMYFUNCTION("""COMPUTED_VALUE"""),70.0)</f>
        <v>70</v>
      </c>
      <c r="W107" s="211">
        <f>IFERROR(__xludf.DUMMYFUNCTION("""COMPUTED_VALUE"""),8.0)</f>
        <v>8</v>
      </c>
      <c r="X107" s="211">
        <f>IFERROR(__xludf.DUMMYFUNCTION("""COMPUTED_VALUE"""),8.0)</f>
        <v>8</v>
      </c>
      <c r="Y107" s="211">
        <f>IFERROR(__xludf.DUMMYFUNCTION("""COMPUTED_VALUE"""),2.0)</f>
        <v>2</v>
      </c>
      <c r="Z107" s="211">
        <f>IFERROR(__xludf.DUMMYFUNCTION("""COMPUTED_VALUE"""),984.0)</f>
        <v>984</v>
      </c>
    </row>
    <row r="108">
      <c r="A108" s="210">
        <f>IFERROR(__xludf.DUMMYFUNCTION("""COMPUTED_VALUE"""),44018.0)</f>
        <v>44018</v>
      </c>
      <c r="B108" s="211">
        <f>IFERROR(__xludf.DUMMYFUNCTION("""COMPUTED_VALUE"""),101.0)</f>
        <v>101</v>
      </c>
      <c r="C108" s="211">
        <f>IFERROR(__xludf.DUMMYFUNCTION("""COMPUTED_VALUE"""),69.0)</f>
        <v>69</v>
      </c>
      <c r="D108" s="211">
        <f>IFERROR(__xludf.DUMMYFUNCTION("""COMPUTED_VALUE"""),25072.0)</f>
        <v>25072</v>
      </c>
      <c r="E108" s="211">
        <f>IFERROR(__xludf.DUMMYFUNCTION("""COMPUTED_VALUE"""),2811.0)</f>
        <v>2811</v>
      </c>
      <c r="F108" s="151">
        <f>IFERROR(__xludf.DUMMYFUNCTION("""COMPUTED_VALUE"""),250167.0)</f>
        <v>250167</v>
      </c>
      <c r="G108" s="151">
        <f>IFERROR(__xludf.DUMMYFUNCTION("""COMPUTED_VALUE"""),2912.0)</f>
        <v>2912</v>
      </c>
      <c r="H108" s="151">
        <f>IFERROR(__xludf.DUMMYFUNCTION("""COMPUTED_VALUE"""),275239.0)</f>
        <v>275239</v>
      </c>
      <c r="I108" s="211">
        <f>IFERROR(__xludf.DUMMYFUNCTION("""COMPUTED_VALUE"""),57.0)</f>
        <v>57</v>
      </c>
      <c r="J108" s="211">
        <f>IFERROR(__xludf.DUMMYFUNCTION("""COMPUTED_VALUE"""),39.0)</f>
        <v>39</v>
      </c>
      <c r="K108" s="211">
        <f>IFERROR(__xludf.DUMMYFUNCTION("""COMPUTED_VALUE"""),17111.0)</f>
        <v>17111</v>
      </c>
      <c r="L108" s="211">
        <f>IFERROR(__xludf.DUMMYFUNCTION("""COMPUTED_VALUE"""),1551.0)</f>
        <v>1551</v>
      </c>
      <c r="M108" s="211">
        <f>IFERROR(__xludf.DUMMYFUNCTION("""COMPUTED_VALUE"""),147788.0)</f>
        <v>147788</v>
      </c>
      <c r="N108" s="211">
        <f>IFERROR(__xludf.DUMMYFUNCTION("""COMPUTED_VALUE"""),164899.0)</f>
        <v>164899</v>
      </c>
      <c r="O108" s="211">
        <f>IFERROR(__xludf.DUMMYFUNCTION("""COMPUTED_VALUE"""),6.0)</f>
        <v>6</v>
      </c>
      <c r="P108" s="211">
        <f>IFERROR(__xludf.DUMMYFUNCTION("""COMPUTED_VALUE"""),2071.0)</f>
        <v>2071</v>
      </c>
      <c r="Q108" s="211">
        <f>IFERROR(__xludf.DUMMYFUNCTION("""COMPUTED_VALUE"""),6.0)</f>
        <v>6</v>
      </c>
      <c r="R108" s="211">
        <f>IFERROR(__xludf.DUMMYFUNCTION("""COMPUTED_VALUE"""),1695.0)</f>
        <v>1695</v>
      </c>
      <c r="S108" s="211">
        <f>IFERROR(__xludf.DUMMYFUNCTION("""COMPUTED_VALUE"""),0.0)</f>
        <v>0</v>
      </c>
      <c r="T108" s="211">
        <f>IFERROR(__xludf.DUMMYFUNCTION("""COMPUTED_VALUE"""),308.0)</f>
        <v>308</v>
      </c>
      <c r="U108" s="211">
        <f>IFERROR(__xludf.DUMMYFUNCTION("""COMPUTED_VALUE"""),68.0)</f>
        <v>68</v>
      </c>
      <c r="V108" s="211">
        <f>IFERROR(__xludf.DUMMYFUNCTION("""COMPUTED_VALUE"""),69.0)</f>
        <v>69</v>
      </c>
      <c r="W108" s="211">
        <f>IFERROR(__xludf.DUMMYFUNCTION("""COMPUTED_VALUE"""),9.0)</f>
        <v>9</v>
      </c>
      <c r="X108" s="211">
        <f>IFERROR(__xludf.DUMMYFUNCTION("""COMPUTED_VALUE"""),9.0)</f>
        <v>9</v>
      </c>
      <c r="Y108" s="211">
        <f>IFERROR(__xludf.DUMMYFUNCTION("""COMPUTED_VALUE"""),4.0)</f>
        <v>4</v>
      </c>
      <c r="Z108" s="211">
        <f>IFERROR(__xludf.DUMMYFUNCTION("""COMPUTED_VALUE"""),988.0)</f>
        <v>988</v>
      </c>
    </row>
    <row r="109">
      <c r="A109" s="210">
        <f>IFERROR(__xludf.DUMMYFUNCTION("""COMPUTED_VALUE"""),44019.0)</f>
        <v>44019</v>
      </c>
      <c r="B109" s="211">
        <f>IFERROR(__xludf.DUMMYFUNCTION("""COMPUTED_VALUE"""),81.0)</f>
        <v>81</v>
      </c>
      <c r="C109" s="211">
        <f>IFERROR(__xludf.DUMMYFUNCTION("""COMPUTED_VALUE"""),77.0)</f>
        <v>77</v>
      </c>
      <c r="D109" s="211">
        <f>IFERROR(__xludf.DUMMYFUNCTION("""COMPUTED_VALUE"""),25153.0)</f>
        <v>25153</v>
      </c>
      <c r="E109" s="211">
        <f>IFERROR(__xludf.DUMMYFUNCTION("""COMPUTED_VALUE"""),3457.0)</f>
        <v>3457</v>
      </c>
      <c r="F109" s="151">
        <f>IFERROR(__xludf.DUMMYFUNCTION("""COMPUTED_VALUE"""),253624.0)</f>
        <v>253624</v>
      </c>
      <c r="G109" s="151">
        <f>IFERROR(__xludf.DUMMYFUNCTION("""COMPUTED_VALUE"""),3538.0)</f>
        <v>3538</v>
      </c>
      <c r="H109" s="151">
        <f>IFERROR(__xludf.DUMMYFUNCTION("""COMPUTED_VALUE"""),278777.0)</f>
        <v>278777</v>
      </c>
      <c r="I109" s="211">
        <f>IFERROR(__xludf.DUMMYFUNCTION("""COMPUTED_VALUE"""),47.0)</f>
        <v>47</v>
      </c>
      <c r="J109" s="211">
        <f>IFERROR(__xludf.DUMMYFUNCTION("""COMPUTED_VALUE"""),43.0)</f>
        <v>43</v>
      </c>
      <c r="K109" s="211">
        <f>IFERROR(__xludf.DUMMYFUNCTION("""COMPUTED_VALUE"""),17158.0)</f>
        <v>17158</v>
      </c>
      <c r="L109" s="211">
        <f>IFERROR(__xludf.DUMMYFUNCTION("""COMPUTED_VALUE"""),1535.0)</f>
        <v>1535</v>
      </c>
      <c r="M109" s="211">
        <f>IFERROR(__xludf.DUMMYFUNCTION("""COMPUTED_VALUE"""),149323.0)</f>
        <v>149323</v>
      </c>
      <c r="N109" s="211">
        <f>IFERROR(__xludf.DUMMYFUNCTION("""COMPUTED_VALUE"""),166481.0)</f>
        <v>166481</v>
      </c>
      <c r="O109" s="211">
        <f>IFERROR(__xludf.DUMMYFUNCTION("""COMPUTED_VALUE"""),5.0)</f>
        <v>5</v>
      </c>
      <c r="P109" s="211">
        <f>IFERROR(__xludf.DUMMYFUNCTION("""COMPUTED_VALUE"""),2076.0)</f>
        <v>2076</v>
      </c>
      <c r="Q109" s="211">
        <f>IFERROR(__xludf.DUMMYFUNCTION("""COMPUTED_VALUE"""),7.0)</f>
        <v>7</v>
      </c>
      <c r="R109" s="211">
        <f>IFERROR(__xludf.DUMMYFUNCTION("""COMPUTED_VALUE"""),1702.0)</f>
        <v>1702</v>
      </c>
      <c r="S109" s="211">
        <f>IFERROR(__xludf.DUMMYFUNCTION("""COMPUTED_VALUE"""),0.0)</f>
        <v>0</v>
      </c>
      <c r="T109" s="211">
        <f>IFERROR(__xludf.DUMMYFUNCTION("""COMPUTED_VALUE"""),308.0)</f>
        <v>308</v>
      </c>
      <c r="U109" s="211">
        <f>IFERROR(__xludf.DUMMYFUNCTION("""COMPUTED_VALUE"""),66.0)</f>
        <v>66</v>
      </c>
      <c r="V109" s="211">
        <f>IFERROR(__xludf.DUMMYFUNCTION("""COMPUTED_VALUE"""),67.0)</f>
        <v>67</v>
      </c>
      <c r="W109" s="211">
        <f>IFERROR(__xludf.DUMMYFUNCTION("""COMPUTED_VALUE"""),8.0)</f>
        <v>8</v>
      </c>
      <c r="X109" s="211">
        <f>IFERROR(__xludf.DUMMYFUNCTION("""COMPUTED_VALUE"""),8.0)</f>
        <v>8</v>
      </c>
      <c r="Y109" s="211">
        <f>IFERROR(__xludf.DUMMYFUNCTION("""COMPUTED_VALUE"""),2.0)</f>
        <v>2</v>
      </c>
      <c r="Z109" s="211">
        <f>IFERROR(__xludf.DUMMYFUNCTION("""COMPUTED_VALUE"""),990.0)</f>
        <v>990</v>
      </c>
    </row>
    <row r="110">
      <c r="A110" s="210">
        <f>IFERROR(__xludf.DUMMYFUNCTION("""COMPUTED_VALUE"""),44020.0)</f>
        <v>44020</v>
      </c>
      <c r="B110" s="211">
        <f>IFERROR(__xludf.DUMMYFUNCTION("""COMPUTED_VALUE"""),105.0)</f>
        <v>105</v>
      </c>
      <c r="C110" s="211">
        <f>IFERROR(__xludf.DUMMYFUNCTION("""COMPUTED_VALUE"""),96.0)</f>
        <v>96</v>
      </c>
      <c r="D110" s="211">
        <f>IFERROR(__xludf.DUMMYFUNCTION("""COMPUTED_VALUE"""),25258.0)</f>
        <v>25258</v>
      </c>
      <c r="E110" s="211">
        <f>IFERROR(__xludf.DUMMYFUNCTION("""COMPUTED_VALUE"""),3403.0)</f>
        <v>3403</v>
      </c>
      <c r="F110" s="151">
        <f>IFERROR(__xludf.DUMMYFUNCTION("""COMPUTED_VALUE"""),257027.0)</f>
        <v>257027</v>
      </c>
      <c r="G110" s="151">
        <f>IFERROR(__xludf.DUMMYFUNCTION("""COMPUTED_VALUE"""),3508.0)</f>
        <v>3508</v>
      </c>
      <c r="H110" s="151">
        <f>IFERROR(__xludf.DUMMYFUNCTION("""COMPUTED_VALUE"""),282285.0)</f>
        <v>282285</v>
      </c>
      <c r="I110" s="211">
        <f>IFERROR(__xludf.DUMMYFUNCTION("""COMPUTED_VALUE"""),64.0)</f>
        <v>64</v>
      </c>
      <c r="J110" s="211">
        <f>IFERROR(__xludf.DUMMYFUNCTION("""COMPUTED_VALUE"""),56.0)</f>
        <v>56</v>
      </c>
      <c r="K110" s="211">
        <f>IFERROR(__xludf.DUMMYFUNCTION("""COMPUTED_VALUE"""),17222.0)</f>
        <v>17222</v>
      </c>
      <c r="L110" s="211">
        <f>IFERROR(__xludf.DUMMYFUNCTION("""COMPUTED_VALUE"""),1423.0)</f>
        <v>1423</v>
      </c>
      <c r="M110" s="211">
        <f>IFERROR(__xludf.DUMMYFUNCTION("""COMPUTED_VALUE"""),150746.0)</f>
        <v>150746</v>
      </c>
      <c r="N110" s="211">
        <f>IFERROR(__xludf.DUMMYFUNCTION("""COMPUTED_VALUE"""),167968.0)</f>
        <v>167968</v>
      </c>
      <c r="O110" s="211">
        <f>IFERROR(__xludf.DUMMYFUNCTION("""COMPUTED_VALUE"""),4.0)</f>
        <v>4</v>
      </c>
      <c r="P110" s="211">
        <f>IFERROR(__xludf.DUMMYFUNCTION("""COMPUTED_VALUE"""),2080.0)</f>
        <v>2080</v>
      </c>
      <c r="Q110" s="211">
        <f>IFERROR(__xludf.DUMMYFUNCTION("""COMPUTED_VALUE"""),2.0)</f>
        <v>2</v>
      </c>
      <c r="R110" s="211">
        <f>IFERROR(__xludf.DUMMYFUNCTION("""COMPUTED_VALUE"""),1704.0)</f>
        <v>1704</v>
      </c>
      <c r="S110" s="211">
        <f>IFERROR(__xludf.DUMMYFUNCTION("""COMPUTED_VALUE"""),0.0)</f>
        <v>0</v>
      </c>
      <c r="T110" s="211">
        <f>IFERROR(__xludf.DUMMYFUNCTION("""COMPUTED_VALUE"""),308.0)</f>
        <v>308</v>
      </c>
      <c r="U110" s="211">
        <f>IFERROR(__xludf.DUMMYFUNCTION("""COMPUTED_VALUE"""),68.0)</f>
        <v>68</v>
      </c>
      <c r="V110" s="211">
        <f>IFERROR(__xludf.DUMMYFUNCTION("""COMPUTED_VALUE"""),67.0)</f>
        <v>67</v>
      </c>
      <c r="W110" s="211">
        <f>IFERROR(__xludf.DUMMYFUNCTION("""COMPUTED_VALUE"""),9.0)</f>
        <v>9</v>
      </c>
      <c r="X110" s="211">
        <f>IFERROR(__xludf.DUMMYFUNCTION("""COMPUTED_VALUE"""),8.0)</f>
        <v>8</v>
      </c>
      <c r="Y110" s="211">
        <f>IFERROR(__xludf.DUMMYFUNCTION("""COMPUTED_VALUE"""),0.0)</f>
        <v>0</v>
      </c>
      <c r="Z110" s="211">
        <f>IFERROR(__xludf.DUMMYFUNCTION("""COMPUTED_VALUE"""),990.0)</f>
        <v>990</v>
      </c>
    </row>
    <row r="111">
      <c r="A111" s="210">
        <f>IFERROR(__xludf.DUMMYFUNCTION("""COMPUTED_VALUE"""),44021.0)</f>
        <v>44021</v>
      </c>
      <c r="B111" s="211">
        <f>IFERROR(__xludf.DUMMYFUNCTION("""COMPUTED_VALUE"""),94.0)</f>
        <v>94</v>
      </c>
      <c r="C111" s="211">
        <f>IFERROR(__xludf.DUMMYFUNCTION("""COMPUTED_VALUE"""),93.0)</f>
        <v>93</v>
      </c>
      <c r="D111" s="211">
        <f>IFERROR(__xludf.DUMMYFUNCTION("""COMPUTED_VALUE"""),25352.0)</f>
        <v>25352</v>
      </c>
      <c r="E111" s="211">
        <f>IFERROR(__xludf.DUMMYFUNCTION("""COMPUTED_VALUE"""),3712.0)</f>
        <v>3712</v>
      </c>
      <c r="F111" s="151">
        <f>IFERROR(__xludf.DUMMYFUNCTION("""COMPUTED_VALUE"""),260739.0)</f>
        <v>260739</v>
      </c>
      <c r="G111" s="151">
        <f>IFERROR(__xludf.DUMMYFUNCTION("""COMPUTED_VALUE"""),3806.0)</f>
        <v>3806</v>
      </c>
      <c r="H111" s="151">
        <f>IFERROR(__xludf.DUMMYFUNCTION("""COMPUTED_VALUE"""),286091.0)</f>
        <v>286091</v>
      </c>
      <c r="I111" s="211">
        <f>IFERROR(__xludf.DUMMYFUNCTION("""COMPUTED_VALUE"""),50.0)</f>
        <v>50</v>
      </c>
      <c r="J111" s="211">
        <f>IFERROR(__xludf.DUMMYFUNCTION("""COMPUTED_VALUE"""),54.0)</f>
        <v>54</v>
      </c>
      <c r="K111" s="211">
        <f>IFERROR(__xludf.DUMMYFUNCTION("""COMPUTED_VALUE"""),17272.0)</f>
        <v>17272</v>
      </c>
      <c r="L111" s="211">
        <f>IFERROR(__xludf.DUMMYFUNCTION("""COMPUTED_VALUE"""),1626.0)</f>
        <v>1626</v>
      </c>
      <c r="M111" s="211">
        <f>IFERROR(__xludf.DUMMYFUNCTION("""COMPUTED_VALUE"""),152372.0)</f>
        <v>152372</v>
      </c>
      <c r="N111" s="211">
        <f>IFERROR(__xludf.DUMMYFUNCTION("""COMPUTED_VALUE"""),169644.0)</f>
        <v>169644</v>
      </c>
      <c r="O111" s="211">
        <f>IFERROR(__xludf.DUMMYFUNCTION("""COMPUTED_VALUE"""),9.0)</f>
        <v>9</v>
      </c>
      <c r="P111" s="211">
        <f>IFERROR(__xludf.DUMMYFUNCTION("""COMPUTED_VALUE"""),2089.0)</f>
        <v>2089</v>
      </c>
      <c r="Q111" s="211">
        <f>IFERROR(__xludf.DUMMYFUNCTION("""COMPUTED_VALUE"""),3.0)</f>
        <v>3</v>
      </c>
      <c r="R111" s="211">
        <f>IFERROR(__xludf.DUMMYFUNCTION("""COMPUTED_VALUE"""),1707.0)</f>
        <v>1707</v>
      </c>
      <c r="S111" s="211">
        <f>IFERROR(__xludf.DUMMYFUNCTION("""COMPUTED_VALUE"""),0.0)</f>
        <v>0</v>
      </c>
      <c r="T111" s="211">
        <f>IFERROR(__xludf.DUMMYFUNCTION("""COMPUTED_VALUE"""),308.0)</f>
        <v>308</v>
      </c>
      <c r="U111" s="211">
        <f>IFERROR(__xludf.DUMMYFUNCTION("""COMPUTED_VALUE"""),74.0)</f>
        <v>74</v>
      </c>
      <c r="V111" s="211">
        <f>IFERROR(__xludf.DUMMYFUNCTION("""COMPUTED_VALUE"""),69.0)</f>
        <v>69</v>
      </c>
      <c r="W111" s="211">
        <f>IFERROR(__xludf.DUMMYFUNCTION("""COMPUTED_VALUE"""),9.0)</f>
        <v>9</v>
      </c>
      <c r="X111" s="211">
        <f>IFERROR(__xludf.DUMMYFUNCTION("""COMPUTED_VALUE"""),8.0)</f>
        <v>8</v>
      </c>
      <c r="Y111" s="211">
        <f>IFERROR(__xludf.DUMMYFUNCTION("""COMPUTED_VALUE"""),0.0)</f>
        <v>0</v>
      </c>
      <c r="Z111" s="211">
        <f>IFERROR(__xludf.DUMMYFUNCTION("""COMPUTED_VALUE"""),990.0)</f>
        <v>990</v>
      </c>
    </row>
    <row r="112">
      <c r="A112" s="210">
        <f>IFERROR(__xludf.DUMMYFUNCTION("""COMPUTED_VALUE"""),44022.0)</f>
        <v>44022</v>
      </c>
      <c r="B112" s="211">
        <f>IFERROR(__xludf.DUMMYFUNCTION("""COMPUTED_VALUE"""),131.0)</f>
        <v>131</v>
      </c>
      <c r="C112" s="211">
        <f>IFERROR(__xludf.DUMMYFUNCTION("""COMPUTED_VALUE"""),110.0)</f>
        <v>110</v>
      </c>
      <c r="D112" s="211">
        <f>IFERROR(__xludf.DUMMYFUNCTION("""COMPUTED_VALUE"""),25483.0)</f>
        <v>25483</v>
      </c>
      <c r="E112" s="211">
        <f>IFERROR(__xludf.DUMMYFUNCTION("""COMPUTED_VALUE"""),4431.0)</f>
        <v>4431</v>
      </c>
      <c r="F112" s="151">
        <f>IFERROR(__xludf.DUMMYFUNCTION("""COMPUTED_VALUE"""),265170.0)</f>
        <v>265170</v>
      </c>
      <c r="G112" s="151">
        <f>IFERROR(__xludf.DUMMYFUNCTION("""COMPUTED_VALUE"""),4562.0)</f>
        <v>4562</v>
      </c>
      <c r="H112" s="151">
        <f>IFERROR(__xludf.DUMMYFUNCTION("""COMPUTED_VALUE"""),290653.0)</f>
        <v>290653</v>
      </c>
      <c r="I112" s="211">
        <f>IFERROR(__xludf.DUMMYFUNCTION("""COMPUTED_VALUE"""),80.0)</f>
        <v>80</v>
      </c>
      <c r="J112" s="211">
        <f>IFERROR(__xludf.DUMMYFUNCTION("""COMPUTED_VALUE"""),65.0)</f>
        <v>65</v>
      </c>
      <c r="K112" s="211">
        <f>IFERROR(__xludf.DUMMYFUNCTION("""COMPUTED_VALUE"""),17352.0)</f>
        <v>17352</v>
      </c>
      <c r="L112" s="211">
        <f>IFERROR(__xludf.DUMMYFUNCTION("""COMPUTED_VALUE"""),2079.0)</f>
        <v>2079</v>
      </c>
      <c r="M112" s="211">
        <f>IFERROR(__xludf.DUMMYFUNCTION("""COMPUTED_VALUE"""),154451.0)</f>
        <v>154451</v>
      </c>
      <c r="N112" s="211">
        <f>IFERROR(__xludf.DUMMYFUNCTION("""COMPUTED_VALUE"""),171803.0)</f>
        <v>171803</v>
      </c>
      <c r="O112" s="211">
        <f>IFERROR(__xludf.DUMMYFUNCTION("""COMPUTED_VALUE"""),6.0)</f>
        <v>6</v>
      </c>
      <c r="P112" s="211">
        <f>IFERROR(__xludf.DUMMYFUNCTION("""COMPUTED_VALUE"""),2095.0)</f>
        <v>2095</v>
      </c>
      <c r="Q112" s="211">
        <f>IFERROR(__xludf.DUMMYFUNCTION("""COMPUTED_VALUE"""),3.0)</f>
        <v>3</v>
      </c>
      <c r="R112" s="211">
        <f>IFERROR(__xludf.DUMMYFUNCTION("""COMPUTED_VALUE"""),1710.0)</f>
        <v>1710</v>
      </c>
      <c r="S112" s="211">
        <f>IFERROR(__xludf.DUMMYFUNCTION("""COMPUTED_VALUE"""),2.0)</f>
        <v>2</v>
      </c>
      <c r="T112" s="211">
        <f>IFERROR(__xludf.DUMMYFUNCTION("""COMPUTED_VALUE"""),310.0)</f>
        <v>310</v>
      </c>
      <c r="U112" s="211">
        <f>IFERROR(__xludf.DUMMYFUNCTION("""COMPUTED_VALUE"""),75.0)</f>
        <v>75</v>
      </c>
      <c r="V112" s="211">
        <f>IFERROR(__xludf.DUMMYFUNCTION("""COMPUTED_VALUE"""),72.0)</f>
        <v>72</v>
      </c>
      <c r="W112" s="211">
        <f>IFERROR(__xludf.DUMMYFUNCTION("""COMPUTED_VALUE"""),7.0)</f>
        <v>7</v>
      </c>
      <c r="X112" s="211">
        <f>IFERROR(__xludf.DUMMYFUNCTION("""COMPUTED_VALUE"""),7.0)</f>
        <v>7</v>
      </c>
      <c r="Y112" s="211">
        <f>IFERROR(__xludf.DUMMYFUNCTION("""COMPUTED_VALUE"""),3.0)</f>
        <v>3</v>
      </c>
      <c r="Z112" s="211">
        <f>IFERROR(__xludf.DUMMYFUNCTION("""COMPUTED_VALUE"""),993.0)</f>
        <v>993</v>
      </c>
    </row>
    <row r="113">
      <c r="A113" s="210">
        <f>IFERROR(__xludf.DUMMYFUNCTION("""COMPUTED_VALUE"""),44023.0)</f>
        <v>44023</v>
      </c>
      <c r="B113" s="211">
        <f>IFERROR(__xludf.DUMMYFUNCTION("""COMPUTED_VALUE"""),63.0)</f>
        <v>63</v>
      </c>
      <c r="C113" s="211">
        <f>IFERROR(__xludf.DUMMYFUNCTION("""COMPUTED_VALUE"""),96.0)</f>
        <v>96</v>
      </c>
      <c r="D113" s="211">
        <f>IFERROR(__xludf.DUMMYFUNCTION("""COMPUTED_VALUE"""),25546.0)</f>
        <v>25546</v>
      </c>
      <c r="E113" s="211">
        <f>IFERROR(__xludf.DUMMYFUNCTION("""COMPUTED_VALUE"""),2932.0)</f>
        <v>2932</v>
      </c>
      <c r="F113" s="151">
        <f>IFERROR(__xludf.DUMMYFUNCTION("""COMPUTED_VALUE"""),268102.0)</f>
        <v>268102</v>
      </c>
      <c r="G113" s="151">
        <f>IFERROR(__xludf.DUMMYFUNCTION("""COMPUTED_VALUE"""),2995.0)</f>
        <v>2995</v>
      </c>
      <c r="H113" s="151">
        <f>IFERROR(__xludf.DUMMYFUNCTION("""COMPUTED_VALUE"""),293648.0)</f>
        <v>293648</v>
      </c>
      <c r="I113" s="211">
        <f>IFERROR(__xludf.DUMMYFUNCTION("""COMPUTED_VALUE"""),36.0)</f>
        <v>36</v>
      </c>
      <c r="J113" s="211">
        <f>IFERROR(__xludf.DUMMYFUNCTION("""COMPUTED_VALUE"""),55.0)</f>
        <v>55</v>
      </c>
      <c r="K113" s="211">
        <f>IFERROR(__xludf.DUMMYFUNCTION("""COMPUTED_VALUE"""),17388.0)</f>
        <v>17388</v>
      </c>
      <c r="L113" s="211">
        <f>IFERROR(__xludf.DUMMYFUNCTION("""COMPUTED_VALUE"""),1316.0)</f>
        <v>1316</v>
      </c>
      <c r="M113" s="211">
        <f>IFERROR(__xludf.DUMMYFUNCTION("""COMPUTED_VALUE"""),155767.0)</f>
        <v>155767</v>
      </c>
      <c r="N113" s="211">
        <f>IFERROR(__xludf.DUMMYFUNCTION("""COMPUTED_VALUE"""),173155.0)</f>
        <v>173155</v>
      </c>
      <c r="O113" s="211">
        <f>IFERROR(__xludf.DUMMYFUNCTION("""COMPUTED_VALUE"""),6.0)</f>
        <v>6</v>
      </c>
      <c r="P113" s="211">
        <f>IFERROR(__xludf.DUMMYFUNCTION("""COMPUTED_VALUE"""),2101.0)</f>
        <v>2101</v>
      </c>
      <c r="Q113" s="211">
        <f>IFERROR(__xludf.DUMMYFUNCTION("""COMPUTED_VALUE"""),3.0)</f>
        <v>3</v>
      </c>
      <c r="R113" s="211">
        <f>IFERROR(__xludf.DUMMYFUNCTION("""COMPUTED_VALUE"""),1713.0)</f>
        <v>1713</v>
      </c>
      <c r="S113" s="211">
        <f>IFERROR(__xludf.DUMMYFUNCTION("""COMPUTED_VALUE"""),1.0)</f>
        <v>1</v>
      </c>
      <c r="T113" s="211">
        <f>IFERROR(__xludf.DUMMYFUNCTION("""COMPUTED_VALUE"""),311.0)</f>
        <v>311</v>
      </c>
      <c r="U113" s="211">
        <f>IFERROR(__xludf.DUMMYFUNCTION("""COMPUTED_VALUE"""),77.0)</f>
        <v>77</v>
      </c>
      <c r="V113" s="211">
        <f>IFERROR(__xludf.DUMMYFUNCTION("""COMPUTED_VALUE"""),75.0)</f>
        <v>75</v>
      </c>
      <c r="W113" s="211">
        <f>IFERROR(__xludf.DUMMYFUNCTION("""COMPUTED_VALUE"""),6.0)</f>
        <v>6</v>
      </c>
      <c r="X113" s="211">
        <f>IFERROR(__xludf.DUMMYFUNCTION("""COMPUTED_VALUE"""),6.0)</f>
        <v>6</v>
      </c>
      <c r="Y113" s="211">
        <f>IFERROR(__xludf.DUMMYFUNCTION("""COMPUTED_VALUE"""),3.0)</f>
        <v>3</v>
      </c>
      <c r="Z113" s="211">
        <f>IFERROR(__xludf.DUMMYFUNCTION("""COMPUTED_VALUE"""),996.0)</f>
        <v>996</v>
      </c>
    </row>
    <row r="114">
      <c r="A114" s="210">
        <f>IFERROR(__xludf.DUMMYFUNCTION("""COMPUTED_VALUE"""),44024.0)</f>
        <v>44024</v>
      </c>
      <c r="B114" s="211">
        <f>IFERROR(__xludf.DUMMYFUNCTION("""COMPUTED_VALUE"""),47.0)</f>
        <v>47</v>
      </c>
      <c r="C114" s="211">
        <f>IFERROR(__xludf.DUMMYFUNCTION("""COMPUTED_VALUE"""),80.0)</f>
        <v>80</v>
      </c>
      <c r="D114" s="211">
        <f>IFERROR(__xludf.DUMMYFUNCTION("""COMPUTED_VALUE"""),25593.0)</f>
        <v>25593</v>
      </c>
      <c r="E114" s="211">
        <f>IFERROR(__xludf.DUMMYFUNCTION("""COMPUTED_VALUE"""),1836.0)</f>
        <v>1836</v>
      </c>
      <c r="F114" s="151">
        <f>IFERROR(__xludf.DUMMYFUNCTION("""COMPUTED_VALUE"""),269938.0)</f>
        <v>269938</v>
      </c>
      <c r="G114" s="151">
        <f>IFERROR(__xludf.DUMMYFUNCTION("""COMPUTED_VALUE"""),1883.0)</f>
        <v>1883</v>
      </c>
      <c r="H114" s="151">
        <f>IFERROR(__xludf.DUMMYFUNCTION("""COMPUTED_VALUE"""),295531.0)</f>
        <v>295531</v>
      </c>
      <c r="I114" s="211">
        <f>IFERROR(__xludf.DUMMYFUNCTION("""COMPUTED_VALUE"""),34.0)</f>
        <v>34</v>
      </c>
      <c r="J114" s="211">
        <f>IFERROR(__xludf.DUMMYFUNCTION("""COMPUTED_VALUE"""),50.0)</f>
        <v>50</v>
      </c>
      <c r="K114" s="211">
        <f>IFERROR(__xludf.DUMMYFUNCTION("""COMPUTED_VALUE"""),17422.0)</f>
        <v>17422</v>
      </c>
      <c r="L114" s="211">
        <f>IFERROR(__xludf.DUMMYFUNCTION("""COMPUTED_VALUE"""),943.0)</f>
        <v>943</v>
      </c>
      <c r="M114" s="211">
        <f>IFERROR(__xludf.DUMMYFUNCTION("""COMPUTED_VALUE"""),156710.0)</f>
        <v>156710</v>
      </c>
      <c r="N114" s="211">
        <f>IFERROR(__xludf.DUMMYFUNCTION("""COMPUTED_VALUE"""),174132.0)</f>
        <v>174132</v>
      </c>
      <c r="O114" s="211">
        <f>IFERROR(__xludf.DUMMYFUNCTION("""COMPUTED_VALUE"""),1.0)</f>
        <v>1</v>
      </c>
      <c r="P114" s="211">
        <f>IFERROR(__xludf.DUMMYFUNCTION("""COMPUTED_VALUE"""),2102.0)</f>
        <v>2102</v>
      </c>
      <c r="Q114" s="211">
        <f>IFERROR(__xludf.DUMMYFUNCTION("""COMPUTED_VALUE"""),3.0)</f>
        <v>3</v>
      </c>
      <c r="R114" s="211">
        <f>IFERROR(__xludf.DUMMYFUNCTION("""COMPUTED_VALUE"""),1716.0)</f>
        <v>1716</v>
      </c>
      <c r="S114" s="211">
        <f>IFERROR(__xludf.DUMMYFUNCTION("""COMPUTED_VALUE"""),1.0)</f>
        <v>1</v>
      </c>
      <c r="T114" s="211">
        <f>IFERROR(__xludf.DUMMYFUNCTION("""COMPUTED_VALUE"""),312.0)</f>
        <v>312</v>
      </c>
      <c r="U114" s="211">
        <f>IFERROR(__xludf.DUMMYFUNCTION("""COMPUTED_VALUE"""),74.0)</f>
        <v>74</v>
      </c>
      <c r="V114" s="211">
        <f>IFERROR(__xludf.DUMMYFUNCTION("""COMPUTED_VALUE"""),75.0)</f>
        <v>75</v>
      </c>
      <c r="W114" s="211">
        <f>IFERROR(__xludf.DUMMYFUNCTION("""COMPUTED_VALUE"""),6.0)</f>
        <v>6</v>
      </c>
      <c r="X114" s="211">
        <f>IFERROR(__xludf.DUMMYFUNCTION("""COMPUTED_VALUE"""),5.0)</f>
        <v>5</v>
      </c>
      <c r="Y114" s="211">
        <f>IFERROR(__xludf.DUMMYFUNCTION("""COMPUTED_VALUE"""),3.0)</f>
        <v>3</v>
      </c>
      <c r="Z114" s="211">
        <f>IFERROR(__xludf.DUMMYFUNCTION("""COMPUTED_VALUE"""),999.0)</f>
        <v>999</v>
      </c>
    </row>
    <row r="115">
      <c r="A115" s="210">
        <f>IFERROR(__xludf.DUMMYFUNCTION("""COMPUTED_VALUE"""),44025.0)</f>
        <v>44025</v>
      </c>
      <c r="B115" s="211">
        <f>IFERROR(__xludf.DUMMYFUNCTION("""COMPUTED_VALUE"""),84.0)</f>
        <v>84</v>
      </c>
      <c r="C115" s="211">
        <f>IFERROR(__xludf.DUMMYFUNCTION("""COMPUTED_VALUE"""),65.0)</f>
        <v>65</v>
      </c>
      <c r="D115" s="211">
        <f>IFERROR(__xludf.DUMMYFUNCTION("""COMPUTED_VALUE"""),25677.0)</f>
        <v>25677</v>
      </c>
      <c r="E115" s="211">
        <f>IFERROR(__xludf.DUMMYFUNCTION("""COMPUTED_VALUE"""),3201.0)</f>
        <v>3201</v>
      </c>
      <c r="F115" s="151">
        <f>IFERROR(__xludf.DUMMYFUNCTION("""COMPUTED_VALUE"""),273139.0)</f>
        <v>273139</v>
      </c>
      <c r="G115" s="151">
        <f>IFERROR(__xludf.DUMMYFUNCTION("""COMPUTED_VALUE"""),3285.0)</f>
        <v>3285</v>
      </c>
      <c r="H115" s="151">
        <f>IFERROR(__xludf.DUMMYFUNCTION("""COMPUTED_VALUE"""),298816.0)</f>
        <v>298816</v>
      </c>
      <c r="I115" s="211">
        <f>IFERROR(__xludf.DUMMYFUNCTION("""COMPUTED_VALUE"""),61.0)</f>
        <v>61</v>
      </c>
      <c r="J115" s="211">
        <f>IFERROR(__xludf.DUMMYFUNCTION("""COMPUTED_VALUE"""),44.0)</f>
        <v>44</v>
      </c>
      <c r="K115" s="211">
        <f>IFERROR(__xludf.DUMMYFUNCTION("""COMPUTED_VALUE"""),17483.0)</f>
        <v>17483</v>
      </c>
      <c r="L115" s="211">
        <f>IFERROR(__xludf.DUMMYFUNCTION("""COMPUTED_VALUE"""),1505.0)</f>
        <v>1505</v>
      </c>
      <c r="M115" s="211">
        <f>IFERROR(__xludf.DUMMYFUNCTION("""COMPUTED_VALUE"""),158215.0)</f>
        <v>158215</v>
      </c>
      <c r="N115" s="211">
        <f>IFERROR(__xludf.DUMMYFUNCTION("""COMPUTED_VALUE"""),175698.0)</f>
        <v>175698</v>
      </c>
      <c r="O115" s="211">
        <f>IFERROR(__xludf.DUMMYFUNCTION("""COMPUTED_VALUE"""),8.0)</f>
        <v>8</v>
      </c>
      <c r="P115" s="211">
        <f>IFERROR(__xludf.DUMMYFUNCTION("""COMPUTED_VALUE"""),2110.0)</f>
        <v>2110</v>
      </c>
      <c r="Q115" s="211">
        <f>IFERROR(__xludf.DUMMYFUNCTION("""COMPUTED_VALUE"""),10.0)</f>
        <v>10</v>
      </c>
      <c r="R115" s="211">
        <f>IFERROR(__xludf.DUMMYFUNCTION("""COMPUTED_VALUE"""),1726.0)</f>
        <v>1726</v>
      </c>
      <c r="S115" s="211">
        <f>IFERROR(__xludf.DUMMYFUNCTION("""COMPUTED_VALUE"""),0.0)</f>
        <v>0</v>
      </c>
      <c r="T115" s="211">
        <f>IFERROR(__xludf.DUMMYFUNCTION("""COMPUTED_VALUE"""),312.0)</f>
        <v>312</v>
      </c>
      <c r="U115" s="211">
        <f>IFERROR(__xludf.DUMMYFUNCTION("""COMPUTED_VALUE"""),72.0)</f>
        <v>72</v>
      </c>
      <c r="V115" s="211">
        <f>IFERROR(__xludf.DUMMYFUNCTION("""COMPUTED_VALUE"""),74.0)</f>
        <v>74</v>
      </c>
      <c r="W115" s="211">
        <f>IFERROR(__xludf.DUMMYFUNCTION("""COMPUTED_VALUE"""),6.0)</f>
        <v>6</v>
      </c>
      <c r="X115" s="211">
        <f>IFERROR(__xludf.DUMMYFUNCTION("""COMPUTED_VALUE"""),5.0)</f>
        <v>5</v>
      </c>
      <c r="Y115" s="211">
        <f>IFERROR(__xludf.DUMMYFUNCTION("""COMPUTED_VALUE"""),1.0)</f>
        <v>1</v>
      </c>
      <c r="Z115" s="211">
        <f>IFERROR(__xludf.DUMMYFUNCTION("""COMPUTED_VALUE"""),1000.0)</f>
        <v>1000</v>
      </c>
    </row>
    <row r="116">
      <c r="A116" s="210">
        <f>IFERROR(__xludf.DUMMYFUNCTION("""COMPUTED_VALUE"""),44026.0)</f>
        <v>44026</v>
      </c>
      <c r="B116" s="211">
        <f>IFERROR(__xludf.DUMMYFUNCTION("""COMPUTED_VALUE"""),73.0)</f>
        <v>73</v>
      </c>
      <c r="C116" s="211">
        <f>IFERROR(__xludf.DUMMYFUNCTION("""COMPUTED_VALUE"""),68.0)</f>
        <v>68</v>
      </c>
      <c r="D116" s="211">
        <f>IFERROR(__xludf.DUMMYFUNCTION("""COMPUTED_VALUE"""),25750.0)</f>
        <v>25750</v>
      </c>
      <c r="E116" s="211">
        <f>IFERROR(__xludf.DUMMYFUNCTION("""COMPUTED_VALUE"""),3291.0)</f>
        <v>3291</v>
      </c>
      <c r="F116" s="151">
        <f>IFERROR(__xludf.DUMMYFUNCTION("""COMPUTED_VALUE"""),276430.0)</f>
        <v>276430</v>
      </c>
      <c r="G116" s="151">
        <f>IFERROR(__xludf.DUMMYFUNCTION("""COMPUTED_VALUE"""),3364.0)</f>
        <v>3364</v>
      </c>
      <c r="H116" s="151">
        <f>IFERROR(__xludf.DUMMYFUNCTION("""COMPUTED_VALUE"""),302180.0)</f>
        <v>302180</v>
      </c>
      <c r="I116" s="211">
        <f>IFERROR(__xludf.DUMMYFUNCTION("""COMPUTED_VALUE"""),43.0)</f>
        <v>43</v>
      </c>
      <c r="J116" s="211">
        <f>IFERROR(__xludf.DUMMYFUNCTION("""COMPUTED_VALUE"""),46.0)</f>
        <v>46</v>
      </c>
      <c r="K116" s="211">
        <f>IFERROR(__xludf.DUMMYFUNCTION("""COMPUTED_VALUE"""),17526.0)</f>
        <v>17526</v>
      </c>
      <c r="L116" s="211">
        <f>IFERROR(__xludf.DUMMYFUNCTION("""COMPUTED_VALUE"""),1375.0)</f>
        <v>1375</v>
      </c>
      <c r="M116" s="211">
        <f>IFERROR(__xludf.DUMMYFUNCTION("""COMPUTED_VALUE"""),159590.0)</f>
        <v>159590</v>
      </c>
      <c r="N116" s="211">
        <f>IFERROR(__xludf.DUMMYFUNCTION("""COMPUTED_VALUE"""),177116.0)</f>
        <v>177116</v>
      </c>
      <c r="O116" s="211">
        <f>IFERROR(__xludf.DUMMYFUNCTION("""COMPUTED_VALUE"""),7.0)</f>
        <v>7</v>
      </c>
      <c r="P116" s="211">
        <f>IFERROR(__xludf.DUMMYFUNCTION("""COMPUTED_VALUE"""),2117.0)</f>
        <v>2117</v>
      </c>
      <c r="Q116" s="211">
        <f>IFERROR(__xludf.DUMMYFUNCTION("""COMPUTED_VALUE"""),4.0)</f>
        <v>4</v>
      </c>
      <c r="R116" s="211">
        <f>IFERROR(__xludf.DUMMYFUNCTION("""COMPUTED_VALUE"""),1730.0)</f>
        <v>1730</v>
      </c>
      <c r="S116" s="211">
        <f>IFERROR(__xludf.DUMMYFUNCTION("""COMPUTED_VALUE"""),0.0)</f>
        <v>0</v>
      </c>
      <c r="T116" s="211">
        <f>IFERROR(__xludf.DUMMYFUNCTION("""COMPUTED_VALUE"""),312.0)</f>
        <v>312</v>
      </c>
      <c r="U116" s="211">
        <f>IFERROR(__xludf.DUMMYFUNCTION("""COMPUTED_VALUE"""),75.0)</f>
        <v>75</v>
      </c>
      <c r="V116" s="211">
        <f>IFERROR(__xludf.DUMMYFUNCTION("""COMPUTED_VALUE"""),74.0)</f>
        <v>74</v>
      </c>
      <c r="W116" s="211">
        <f>IFERROR(__xludf.DUMMYFUNCTION("""COMPUTED_VALUE"""),5.0)</f>
        <v>5</v>
      </c>
      <c r="X116" s="211">
        <f>IFERROR(__xludf.DUMMYFUNCTION("""COMPUTED_VALUE"""),5.0)</f>
        <v>5</v>
      </c>
      <c r="Y116" s="211">
        <f>IFERROR(__xludf.DUMMYFUNCTION("""COMPUTED_VALUE"""),1.0)</f>
        <v>1</v>
      </c>
      <c r="Z116" s="211">
        <f>IFERROR(__xludf.DUMMYFUNCTION("""COMPUTED_VALUE"""),1001.0)</f>
        <v>1001</v>
      </c>
    </row>
    <row r="117">
      <c r="A117" s="210">
        <f>IFERROR(__xludf.DUMMYFUNCTION("""COMPUTED_VALUE"""),44027.0)</f>
        <v>44027</v>
      </c>
      <c r="B117" s="211">
        <f>IFERROR(__xludf.DUMMYFUNCTION("""COMPUTED_VALUE"""),130.0)</f>
        <v>130</v>
      </c>
      <c r="C117" s="211">
        <f>IFERROR(__xludf.DUMMYFUNCTION("""COMPUTED_VALUE"""),96.0)</f>
        <v>96</v>
      </c>
      <c r="D117" s="211">
        <f>IFERROR(__xludf.DUMMYFUNCTION("""COMPUTED_VALUE"""),25880.0)</f>
        <v>25880</v>
      </c>
      <c r="E117" s="211">
        <f>IFERROR(__xludf.DUMMYFUNCTION("""COMPUTED_VALUE"""),4172.0)</f>
        <v>4172</v>
      </c>
      <c r="F117" s="151">
        <f>IFERROR(__xludf.DUMMYFUNCTION("""COMPUTED_VALUE"""),280602.0)</f>
        <v>280602</v>
      </c>
      <c r="G117" s="151">
        <f>IFERROR(__xludf.DUMMYFUNCTION("""COMPUTED_VALUE"""),4302.0)</f>
        <v>4302</v>
      </c>
      <c r="H117" s="151">
        <f>IFERROR(__xludf.DUMMYFUNCTION("""COMPUTED_VALUE"""),306482.0)</f>
        <v>306482</v>
      </c>
      <c r="I117" s="211">
        <f>IFERROR(__xludf.DUMMYFUNCTION("""COMPUTED_VALUE"""),99.0)</f>
        <v>99</v>
      </c>
      <c r="J117" s="211">
        <f>IFERROR(__xludf.DUMMYFUNCTION("""COMPUTED_VALUE"""),68.0)</f>
        <v>68</v>
      </c>
      <c r="K117" s="211">
        <f>IFERROR(__xludf.DUMMYFUNCTION("""COMPUTED_VALUE"""),17625.0)</f>
        <v>17625</v>
      </c>
      <c r="L117" s="211">
        <f>IFERROR(__xludf.DUMMYFUNCTION("""COMPUTED_VALUE"""),1751.0)</f>
        <v>1751</v>
      </c>
      <c r="M117" s="211">
        <f>IFERROR(__xludf.DUMMYFUNCTION("""COMPUTED_VALUE"""),161341.0)</f>
        <v>161341</v>
      </c>
      <c r="N117" s="211">
        <f>IFERROR(__xludf.DUMMYFUNCTION("""COMPUTED_VALUE"""),178966.0)</f>
        <v>178966</v>
      </c>
      <c r="O117" s="211">
        <f>IFERROR(__xludf.DUMMYFUNCTION("""COMPUTED_VALUE"""),5.0)</f>
        <v>5</v>
      </c>
      <c r="P117" s="211">
        <f>IFERROR(__xludf.DUMMYFUNCTION("""COMPUTED_VALUE"""),2122.0)</f>
        <v>2122</v>
      </c>
      <c r="Q117" s="211">
        <f>IFERROR(__xludf.DUMMYFUNCTION("""COMPUTED_VALUE"""),7.0)</f>
        <v>7</v>
      </c>
      <c r="R117" s="211">
        <f>IFERROR(__xludf.DUMMYFUNCTION("""COMPUTED_VALUE"""),1737.0)</f>
        <v>1737</v>
      </c>
      <c r="S117" s="211">
        <f>IFERROR(__xludf.DUMMYFUNCTION("""COMPUTED_VALUE"""),0.0)</f>
        <v>0</v>
      </c>
      <c r="T117" s="211">
        <f>IFERROR(__xludf.DUMMYFUNCTION("""COMPUTED_VALUE"""),312.0)</f>
        <v>312</v>
      </c>
      <c r="U117" s="211">
        <f>IFERROR(__xludf.DUMMYFUNCTION("""COMPUTED_VALUE"""),73.0)</f>
        <v>73</v>
      </c>
      <c r="V117" s="211">
        <f>IFERROR(__xludf.DUMMYFUNCTION("""COMPUTED_VALUE"""),73.0)</f>
        <v>73</v>
      </c>
      <c r="W117" s="211">
        <f>IFERROR(__xludf.DUMMYFUNCTION("""COMPUTED_VALUE"""),5.0)</f>
        <v>5</v>
      </c>
      <c r="X117" s="211">
        <f>IFERROR(__xludf.DUMMYFUNCTION("""COMPUTED_VALUE"""),4.0)</f>
        <v>4</v>
      </c>
      <c r="Y117" s="211">
        <f>IFERROR(__xludf.DUMMYFUNCTION("""COMPUTED_VALUE"""),0.0)</f>
        <v>0</v>
      </c>
      <c r="Z117" s="211">
        <f>IFERROR(__xludf.DUMMYFUNCTION("""COMPUTED_VALUE"""),1001.0)</f>
        <v>1001</v>
      </c>
    </row>
    <row r="118">
      <c r="A118" s="210">
        <f>IFERROR(__xludf.DUMMYFUNCTION("""COMPUTED_VALUE"""),44028.0)</f>
        <v>44028</v>
      </c>
      <c r="B118" s="211">
        <f>IFERROR(__xludf.DUMMYFUNCTION("""COMPUTED_VALUE"""),102.0)</f>
        <v>102</v>
      </c>
      <c r="C118" s="211">
        <f>IFERROR(__xludf.DUMMYFUNCTION("""COMPUTED_VALUE"""),102.0)</f>
        <v>102</v>
      </c>
      <c r="D118" s="211">
        <f>IFERROR(__xludf.DUMMYFUNCTION("""COMPUTED_VALUE"""),25982.0)</f>
        <v>25982</v>
      </c>
      <c r="E118" s="211">
        <f>IFERROR(__xludf.DUMMYFUNCTION("""COMPUTED_VALUE"""),3733.0)</f>
        <v>3733</v>
      </c>
      <c r="F118" s="151">
        <f>IFERROR(__xludf.DUMMYFUNCTION("""COMPUTED_VALUE"""),284335.0)</f>
        <v>284335</v>
      </c>
      <c r="G118" s="151">
        <f>IFERROR(__xludf.DUMMYFUNCTION("""COMPUTED_VALUE"""),3835.0)</f>
        <v>3835</v>
      </c>
      <c r="H118" s="151">
        <f>IFERROR(__xludf.DUMMYFUNCTION("""COMPUTED_VALUE"""),310317.0)</f>
        <v>310317</v>
      </c>
      <c r="I118" s="211">
        <f>IFERROR(__xludf.DUMMYFUNCTION("""COMPUTED_VALUE"""),75.0)</f>
        <v>75</v>
      </c>
      <c r="J118" s="211">
        <f>IFERROR(__xludf.DUMMYFUNCTION("""COMPUTED_VALUE"""),72.0)</f>
        <v>72</v>
      </c>
      <c r="K118" s="211">
        <f>IFERROR(__xludf.DUMMYFUNCTION("""COMPUTED_VALUE"""),17700.0)</f>
        <v>17700</v>
      </c>
      <c r="L118" s="211">
        <f>IFERROR(__xludf.DUMMYFUNCTION("""COMPUTED_VALUE"""),1619.0)</f>
        <v>1619</v>
      </c>
      <c r="M118" s="211">
        <f>IFERROR(__xludf.DUMMYFUNCTION("""COMPUTED_VALUE"""),162960.0)</f>
        <v>162960</v>
      </c>
      <c r="N118" s="211">
        <f>IFERROR(__xludf.DUMMYFUNCTION("""COMPUTED_VALUE"""),180660.0)</f>
        <v>180660</v>
      </c>
      <c r="O118" s="211">
        <f>IFERROR(__xludf.DUMMYFUNCTION("""COMPUTED_VALUE"""),6.0)</f>
        <v>6</v>
      </c>
      <c r="P118" s="211">
        <f>IFERROR(__xludf.DUMMYFUNCTION("""COMPUTED_VALUE"""),2128.0)</f>
        <v>2128</v>
      </c>
      <c r="Q118" s="211">
        <f>IFERROR(__xludf.DUMMYFUNCTION("""COMPUTED_VALUE"""),9.0)</f>
        <v>9</v>
      </c>
      <c r="R118" s="211">
        <f>IFERROR(__xludf.DUMMYFUNCTION("""COMPUTED_VALUE"""),1746.0)</f>
        <v>1746</v>
      </c>
      <c r="S118" s="211">
        <f>IFERROR(__xludf.DUMMYFUNCTION("""COMPUTED_VALUE"""),0.0)</f>
        <v>0</v>
      </c>
      <c r="T118" s="211">
        <f>IFERROR(__xludf.DUMMYFUNCTION("""COMPUTED_VALUE"""),312.0)</f>
        <v>312</v>
      </c>
      <c r="U118" s="211">
        <f>IFERROR(__xludf.DUMMYFUNCTION("""COMPUTED_VALUE"""),70.0)</f>
        <v>70</v>
      </c>
      <c r="V118" s="211">
        <f>IFERROR(__xludf.DUMMYFUNCTION("""COMPUTED_VALUE"""),73.0)</f>
        <v>73</v>
      </c>
      <c r="W118" s="211">
        <f>IFERROR(__xludf.DUMMYFUNCTION("""COMPUTED_VALUE"""),6.0)</f>
        <v>6</v>
      </c>
      <c r="X118" s="211">
        <f>IFERROR(__xludf.DUMMYFUNCTION("""COMPUTED_VALUE"""),5.0)</f>
        <v>5</v>
      </c>
      <c r="Y118" s="211">
        <f>IFERROR(__xludf.DUMMYFUNCTION("""COMPUTED_VALUE"""),1.0)</f>
        <v>1</v>
      </c>
      <c r="Z118" s="211">
        <f>IFERROR(__xludf.DUMMYFUNCTION("""COMPUTED_VALUE"""),1002.0)</f>
        <v>1002</v>
      </c>
    </row>
    <row r="119">
      <c r="A119" s="210">
        <f>IFERROR(__xludf.DUMMYFUNCTION("""COMPUTED_VALUE"""),44029.0)</f>
        <v>44029</v>
      </c>
      <c r="B119" s="211">
        <f>IFERROR(__xludf.DUMMYFUNCTION("""COMPUTED_VALUE"""),156.0)</f>
        <v>156</v>
      </c>
      <c r="C119" s="211">
        <f>IFERROR(__xludf.DUMMYFUNCTION("""COMPUTED_VALUE"""),129.0)</f>
        <v>129</v>
      </c>
      <c r="D119" s="211">
        <f>IFERROR(__xludf.DUMMYFUNCTION("""COMPUTED_VALUE"""),26138.0)</f>
        <v>26138</v>
      </c>
      <c r="E119" s="211">
        <f>IFERROR(__xludf.DUMMYFUNCTION("""COMPUTED_VALUE"""),4236.0)</f>
        <v>4236</v>
      </c>
      <c r="F119" s="151">
        <f>IFERROR(__xludf.DUMMYFUNCTION("""COMPUTED_VALUE"""),288571.0)</f>
        <v>288571</v>
      </c>
      <c r="G119" s="151">
        <f>IFERROR(__xludf.DUMMYFUNCTION("""COMPUTED_VALUE"""),4392.0)</f>
        <v>4392</v>
      </c>
      <c r="H119" s="151">
        <f>IFERROR(__xludf.DUMMYFUNCTION("""COMPUTED_VALUE"""),314709.0)</f>
        <v>314709</v>
      </c>
      <c r="I119" s="211">
        <f>IFERROR(__xludf.DUMMYFUNCTION("""COMPUTED_VALUE"""),79.0)</f>
        <v>79</v>
      </c>
      <c r="J119" s="211">
        <f>IFERROR(__xludf.DUMMYFUNCTION("""COMPUTED_VALUE"""),84.0)</f>
        <v>84</v>
      </c>
      <c r="K119" s="211">
        <f>IFERROR(__xludf.DUMMYFUNCTION("""COMPUTED_VALUE"""),17779.0)</f>
        <v>17779</v>
      </c>
      <c r="L119" s="211">
        <f>IFERROR(__xludf.DUMMYFUNCTION("""COMPUTED_VALUE"""),1846.0)</f>
        <v>1846</v>
      </c>
      <c r="M119" s="211">
        <f>IFERROR(__xludf.DUMMYFUNCTION("""COMPUTED_VALUE"""),164806.0)</f>
        <v>164806</v>
      </c>
      <c r="N119" s="211">
        <f>IFERROR(__xludf.DUMMYFUNCTION("""COMPUTED_VALUE"""),182585.0)</f>
        <v>182585</v>
      </c>
      <c r="O119" s="211">
        <f>IFERROR(__xludf.DUMMYFUNCTION("""COMPUTED_VALUE"""),14.0)</f>
        <v>14</v>
      </c>
      <c r="P119" s="211">
        <f>IFERROR(__xludf.DUMMYFUNCTION("""COMPUTED_VALUE"""),2142.0)</f>
        <v>2142</v>
      </c>
      <c r="Q119" s="211">
        <f>IFERROR(__xludf.DUMMYFUNCTION("""COMPUTED_VALUE"""),3.0)</f>
        <v>3</v>
      </c>
      <c r="R119" s="211">
        <f>IFERROR(__xludf.DUMMYFUNCTION("""COMPUTED_VALUE"""),1749.0)</f>
        <v>1749</v>
      </c>
      <c r="S119" s="211">
        <f>IFERROR(__xludf.DUMMYFUNCTION("""COMPUTED_VALUE"""),1.0)</f>
        <v>1</v>
      </c>
      <c r="T119" s="211">
        <f>IFERROR(__xludf.DUMMYFUNCTION("""COMPUTED_VALUE"""),313.0)</f>
        <v>313</v>
      </c>
      <c r="U119" s="211">
        <f>IFERROR(__xludf.DUMMYFUNCTION("""COMPUTED_VALUE"""),80.0)</f>
        <v>80</v>
      </c>
      <c r="V119" s="211">
        <f>IFERROR(__xludf.DUMMYFUNCTION("""COMPUTED_VALUE"""),74.0)</f>
        <v>74</v>
      </c>
      <c r="W119" s="211">
        <f>IFERROR(__xludf.DUMMYFUNCTION("""COMPUTED_VALUE"""),5.0)</f>
        <v>5</v>
      </c>
      <c r="X119" s="211">
        <f>IFERROR(__xludf.DUMMYFUNCTION("""COMPUTED_VALUE"""),5.0)</f>
        <v>5</v>
      </c>
      <c r="Y119" s="211">
        <f>IFERROR(__xludf.DUMMYFUNCTION("""COMPUTED_VALUE"""),2.0)</f>
        <v>2</v>
      </c>
      <c r="Z119" s="211">
        <f>IFERROR(__xludf.DUMMYFUNCTION("""COMPUTED_VALUE"""),1004.0)</f>
        <v>1004</v>
      </c>
    </row>
    <row r="120">
      <c r="A120" s="210">
        <f>IFERROR(__xludf.DUMMYFUNCTION("""COMPUTED_VALUE"""),44030.0)</f>
        <v>44030</v>
      </c>
      <c r="B120" s="211">
        <f>IFERROR(__xludf.DUMMYFUNCTION("""COMPUTED_VALUE"""),85.0)</f>
        <v>85</v>
      </c>
      <c r="C120" s="211">
        <f>IFERROR(__xludf.DUMMYFUNCTION("""COMPUTED_VALUE"""),114.0)</f>
        <v>114</v>
      </c>
      <c r="D120" s="211">
        <f>IFERROR(__xludf.DUMMYFUNCTION("""COMPUTED_VALUE"""),26223.0)</f>
        <v>26223</v>
      </c>
      <c r="E120" s="211">
        <f>IFERROR(__xludf.DUMMYFUNCTION("""COMPUTED_VALUE"""),3267.0)</f>
        <v>3267</v>
      </c>
      <c r="F120" s="151">
        <f>IFERROR(__xludf.DUMMYFUNCTION("""COMPUTED_VALUE"""),291838.0)</f>
        <v>291838</v>
      </c>
      <c r="G120" s="151">
        <f>IFERROR(__xludf.DUMMYFUNCTION("""COMPUTED_VALUE"""),3352.0)</f>
        <v>3352</v>
      </c>
      <c r="H120" s="151">
        <f>IFERROR(__xludf.DUMMYFUNCTION("""COMPUTED_VALUE"""),318061.0)</f>
        <v>318061</v>
      </c>
      <c r="I120" s="211">
        <f>IFERROR(__xludf.DUMMYFUNCTION("""COMPUTED_VALUE"""),70.0)</f>
        <v>70</v>
      </c>
      <c r="J120" s="211">
        <f>IFERROR(__xludf.DUMMYFUNCTION("""COMPUTED_VALUE"""),75.0)</f>
        <v>75</v>
      </c>
      <c r="K120" s="211">
        <f>IFERROR(__xludf.DUMMYFUNCTION("""COMPUTED_VALUE"""),17849.0)</f>
        <v>17849</v>
      </c>
      <c r="L120" s="211">
        <f>IFERROR(__xludf.DUMMYFUNCTION("""COMPUTED_VALUE"""),1399.0)</f>
        <v>1399</v>
      </c>
      <c r="M120" s="211">
        <f>IFERROR(__xludf.DUMMYFUNCTION("""COMPUTED_VALUE"""),166205.0)</f>
        <v>166205</v>
      </c>
      <c r="N120" s="211">
        <f>IFERROR(__xludf.DUMMYFUNCTION("""COMPUTED_VALUE"""),184054.0)</f>
        <v>184054</v>
      </c>
      <c r="O120" s="211">
        <f>IFERROR(__xludf.DUMMYFUNCTION("""COMPUTED_VALUE"""),5.0)</f>
        <v>5</v>
      </c>
      <c r="P120" s="211">
        <f>IFERROR(__xludf.DUMMYFUNCTION("""COMPUTED_VALUE"""),2147.0)</f>
        <v>2147</v>
      </c>
      <c r="Q120" s="211">
        <f>IFERROR(__xludf.DUMMYFUNCTION("""COMPUTED_VALUE"""),9.0)</f>
        <v>9</v>
      </c>
      <c r="R120" s="211">
        <f>IFERROR(__xludf.DUMMYFUNCTION("""COMPUTED_VALUE"""),1758.0)</f>
        <v>1758</v>
      </c>
      <c r="S120" s="211">
        <f>IFERROR(__xludf.DUMMYFUNCTION("""COMPUTED_VALUE"""),1.0)</f>
        <v>1</v>
      </c>
      <c r="T120" s="211">
        <f>IFERROR(__xludf.DUMMYFUNCTION("""COMPUTED_VALUE"""),314.0)</f>
        <v>314</v>
      </c>
      <c r="U120" s="211">
        <f>IFERROR(__xludf.DUMMYFUNCTION("""COMPUTED_VALUE"""),75.0)</f>
        <v>75</v>
      </c>
      <c r="V120" s="211">
        <f>IFERROR(__xludf.DUMMYFUNCTION("""COMPUTED_VALUE"""),75.0)</f>
        <v>75</v>
      </c>
      <c r="W120" s="211">
        <f>IFERROR(__xludf.DUMMYFUNCTION("""COMPUTED_VALUE"""),5.0)</f>
        <v>5</v>
      </c>
      <c r="X120" s="211">
        <f>IFERROR(__xludf.DUMMYFUNCTION("""COMPUTED_VALUE"""),4.0)</f>
        <v>4</v>
      </c>
      <c r="Y120" s="211">
        <f>IFERROR(__xludf.DUMMYFUNCTION("""COMPUTED_VALUE"""),4.0)</f>
        <v>4</v>
      </c>
      <c r="Z120" s="211">
        <f>IFERROR(__xludf.DUMMYFUNCTION("""COMPUTED_VALUE"""),1008.0)</f>
        <v>1008</v>
      </c>
    </row>
    <row r="121">
      <c r="A121" s="210">
        <f>IFERROR(__xludf.DUMMYFUNCTION("""COMPUTED_VALUE"""),44031.0)</f>
        <v>44031</v>
      </c>
      <c r="B121" s="211">
        <f>IFERROR(__xludf.DUMMYFUNCTION("""COMPUTED_VALUE"""),82.0)</f>
        <v>82</v>
      </c>
      <c r="C121" s="211">
        <f>IFERROR(__xludf.DUMMYFUNCTION("""COMPUTED_VALUE"""),108.0)</f>
        <v>108</v>
      </c>
      <c r="D121" s="211">
        <f>IFERROR(__xludf.DUMMYFUNCTION("""COMPUTED_VALUE"""),26305.0)</f>
        <v>26305</v>
      </c>
      <c r="E121" s="211">
        <f>IFERROR(__xludf.DUMMYFUNCTION("""COMPUTED_VALUE"""),2693.0)</f>
        <v>2693</v>
      </c>
      <c r="F121" s="151">
        <f>IFERROR(__xludf.DUMMYFUNCTION("""COMPUTED_VALUE"""),294531.0)</f>
        <v>294531</v>
      </c>
      <c r="G121" s="151">
        <f>IFERROR(__xludf.DUMMYFUNCTION("""COMPUTED_VALUE"""),2775.0)</f>
        <v>2775</v>
      </c>
      <c r="H121" s="151">
        <f>IFERROR(__xludf.DUMMYFUNCTION("""COMPUTED_VALUE"""),320836.0)</f>
        <v>320836</v>
      </c>
      <c r="I121" s="211">
        <f>IFERROR(__xludf.DUMMYFUNCTION("""COMPUTED_VALUE"""),57.0)</f>
        <v>57</v>
      </c>
      <c r="J121" s="211">
        <f>IFERROR(__xludf.DUMMYFUNCTION("""COMPUTED_VALUE"""),69.0)</f>
        <v>69</v>
      </c>
      <c r="K121" s="211">
        <f>IFERROR(__xludf.DUMMYFUNCTION("""COMPUTED_VALUE"""),17906.0)</f>
        <v>17906</v>
      </c>
      <c r="L121" s="211">
        <f>IFERROR(__xludf.DUMMYFUNCTION("""COMPUTED_VALUE"""),1149.0)</f>
        <v>1149</v>
      </c>
      <c r="M121" s="211">
        <f>IFERROR(__xludf.DUMMYFUNCTION("""COMPUTED_VALUE"""),167354.0)</f>
        <v>167354</v>
      </c>
      <c r="N121" s="211">
        <f>IFERROR(__xludf.DUMMYFUNCTION("""COMPUTED_VALUE"""),185260.0)</f>
        <v>185260</v>
      </c>
      <c r="O121" s="211">
        <f>IFERROR(__xludf.DUMMYFUNCTION("""COMPUTED_VALUE"""),7.0)</f>
        <v>7</v>
      </c>
      <c r="P121" s="211">
        <f>IFERROR(__xludf.DUMMYFUNCTION("""COMPUTED_VALUE"""),2154.0)</f>
        <v>2154</v>
      </c>
      <c r="Q121" s="211">
        <f>IFERROR(__xludf.DUMMYFUNCTION("""COMPUTED_VALUE"""),3.0)</f>
        <v>3</v>
      </c>
      <c r="R121" s="211">
        <f>IFERROR(__xludf.DUMMYFUNCTION("""COMPUTED_VALUE"""),1761.0)</f>
        <v>1761</v>
      </c>
      <c r="S121" s="211">
        <f>IFERROR(__xludf.DUMMYFUNCTION("""COMPUTED_VALUE"""),0.0)</f>
        <v>0</v>
      </c>
      <c r="T121" s="211">
        <f>IFERROR(__xludf.DUMMYFUNCTION("""COMPUTED_VALUE"""),314.0)</f>
        <v>314</v>
      </c>
      <c r="U121" s="211">
        <f>IFERROR(__xludf.DUMMYFUNCTION("""COMPUTED_VALUE"""),79.0)</f>
        <v>79</v>
      </c>
      <c r="V121" s="211">
        <f>IFERROR(__xludf.DUMMYFUNCTION("""COMPUTED_VALUE"""),78.0)</f>
        <v>78</v>
      </c>
      <c r="W121" s="211">
        <f>IFERROR(__xludf.DUMMYFUNCTION("""COMPUTED_VALUE"""),6.0)</f>
        <v>6</v>
      </c>
      <c r="X121" s="211">
        <f>IFERROR(__xludf.DUMMYFUNCTION("""COMPUTED_VALUE"""),4.0)</f>
        <v>4</v>
      </c>
      <c r="Y121" s="211">
        <f>IFERROR(__xludf.DUMMYFUNCTION("""COMPUTED_VALUE"""),2.0)</f>
        <v>2</v>
      </c>
      <c r="Z121" s="211">
        <f>IFERROR(__xludf.DUMMYFUNCTION("""COMPUTED_VALUE"""),1010.0)</f>
        <v>1010</v>
      </c>
    </row>
    <row r="122">
      <c r="A122" s="210">
        <f>IFERROR(__xludf.DUMMYFUNCTION("""COMPUTED_VALUE"""),44032.0)</f>
        <v>44032</v>
      </c>
      <c r="B122" s="211">
        <f>IFERROR(__xludf.DUMMYFUNCTION("""COMPUTED_VALUE"""),71.0)</f>
        <v>71</v>
      </c>
      <c r="C122" s="211">
        <f>IFERROR(__xludf.DUMMYFUNCTION("""COMPUTED_VALUE"""),79.0)</f>
        <v>79</v>
      </c>
      <c r="D122" s="211">
        <f>IFERROR(__xludf.DUMMYFUNCTION("""COMPUTED_VALUE"""),26376.0)</f>
        <v>26376</v>
      </c>
      <c r="E122" s="211">
        <f>IFERROR(__xludf.DUMMYFUNCTION("""COMPUTED_VALUE"""),2664.0)</f>
        <v>2664</v>
      </c>
      <c r="F122" s="151">
        <f>IFERROR(__xludf.DUMMYFUNCTION("""COMPUTED_VALUE"""),297195.0)</f>
        <v>297195</v>
      </c>
      <c r="G122" s="151">
        <f>IFERROR(__xludf.DUMMYFUNCTION("""COMPUTED_VALUE"""),2735.0)</f>
        <v>2735</v>
      </c>
      <c r="H122" s="151">
        <f>IFERROR(__xludf.DUMMYFUNCTION("""COMPUTED_VALUE"""),323571.0)</f>
        <v>323571</v>
      </c>
      <c r="I122" s="211">
        <f>IFERROR(__xludf.DUMMYFUNCTION("""COMPUTED_VALUE"""),68.0)</f>
        <v>68</v>
      </c>
      <c r="J122" s="211">
        <f>IFERROR(__xludf.DUMMYFUNCTION("""COMPUTED_VALUE"""),65.0)</f>
        <v>65</v>
      </c>
      <c r="K122" s="211">
        <f>IFERROR(__xludf.DUMMYFUNCTION("""COMPUTED_VALUE"""),17974.0)</f>
        <v>17974</v>
      </c>
      <c r="L122" s="211">
        <f>IFERROR(__xludf.DUMMYFUNCTION("""COMPUTED_VALUE"""),1464.0)</f>
        <v>1464</v>
      </c>
      <c r="M122" s="211">
        <f>IFERROR(__xludf.DUMMYFUNCTION("""COMPUTED_VALUE"""),168818.0)</f>
        <v>168818</v>
      </c>
      <c r="N122" s="211">
        <f>IFERROR(__xludf.DUMMYFUNCTION("""COMPUTED_VALUE"""),186792.0)</f>
        <v>186792</v>
      </c>
      <c r="O122" s="211">
        <f>IFERROR(__xludf.DUMMYFUNCTION("""COMPUTED_VALUE"""),9.0)</f>
        <v>9</v>
      </c>
      <c r="P122" s="211">
        <f>IFERROR(__xludf.DUMMYFUNCTION("""COMPUTED_VALUE"""),2163.0)</f>
        <v>2163</v>
      </c>
      <c r="Q122" s="211">
        <f>IFERROR(__xludf.DUMMYFUNCTION("""COMPUTED_VALUE"""),7.0)</f>
        <v>7</v>
      </c>
      <c r="R122" s="211">
        <f>IFERROR(__xludf.DUMMYFUNCTION("""COMPUTED_VALUE"""),1768.0)</f>
        <v>1768</v>
      </c>
      <c r="S122" s="211">
        <f>IFERROR(__xludf.DUMMYFUNCTION("""COMPUTED_VALUE"""),0.0)</f>
        <v>0</v>
      </c>
      <c r="T122" s="211">
        <f>IFERROR(__xludf.DUMMYFUNCTION("""COMPUTED_VALUE"""),314.0)</f>
        <v>314</v>
      </c>
      <c r="U122" s="211">
        <f>IFERROR(__xludf.DUMMYFUNCTION("""COMPUTED_VALUE"""),81.0)</f>
        <v>81</v>
      </c>
      <c r="V122" s="211">
        <f>IFERROR(__xludf.DUMMYFUNCTION("""COMPUTED_VALUE"""),78.0)</f>
        <v>78</v>
      </c>
      <c r="W122" s="211">
        <f>IFERROR(__xludf.DUMMYFUNCTION("""COMPUTED_VALUE"""),7.0)</f>
        <v>7</v>
      </c>
      <c r="X122" s="211">
        <f>IFERROR(__xludf.DUMMYFUNCTION("""COMPUTED_VALUE"""),5.0)</f>
        <v>5</v>
      </c>
      <c r="Y122" s="211">
        <f>IFERROR(__xludf.DUMMYFUNCTION("""COMPUTED_VALUE"""),2.0)</f>
        <v>2</v>
      </c>
      <c r="Z122" s="211">
        <f>IFERROR(__xludf.DUMMYFUNCTION("""COMPUTED_VALUE"""),1012.0)</f>
        <v>1012</v>
      </c>
    </row>
    <row r="123">
      <c r="A123" s="210">
        <f>IFERROR(__xludf.DUMMYFUNCTION("""COMPUTED_VALUE"""),44033.0)</f>
        <v>44033</v>
      </c>
      <c r="B123" s="211">
        <f>IFERROR(__xludf.DUMMYFUNCTION("""COMPUTED_VALUE"""),130.0)</f>
        <v>130</v>
      </c>
      <c r="C123" s="211">
        <f>IFERROR(__xludf.DUMMYFUNCTION("""COMPUTED_VALUE"""),94.0)</f>
        <v>94</v>
      </c>
      <c r="D123" s="211">
        <f>IFERROR(__xludf.DUMMYFUNCTION("""COMPUTED_VALUE"""),26506.0)</f>
        <v>26506</v>
      </c>
      <c r="E123" s="211">
        <f>IFERROR(__xludf.DUMMYFUNCTION("""COMPUTED_VALUE"""),4298.0)</f>
        <v>4298</v>
      </c>
      <c r="F123" s="151">
        <f>IFERROR(__xludf.DUMMYFUNCTION("""COMPUTED_VALUE"""),301493.0)</f>
        <v>301493</v>
      </c>
      <c r="G123" s="151">
        <f>IFERROR(__xludf.DUMMYFUNCTION("""COMPUTED_VALUE"""),4428.0)</f>
        <v>4428</v>
      </c>
      <c r="H123" s="151">
        <f>IFERROR(__xludf.DUMMYFUNCTION("""COMPUTED_VALUE"""),327999.0)</f>
        <v>327999</v>
      </c>
      <c r="I123" s="211">
        <f>IFERROR(__xludf.DUMMYFUNCTION("""COMPUTED_VALUE"""),109.0)</f>
        <v>109</v>
      </c>
      <c r="J123" s="211">
        <f>IFERROR(__xludf.DUMMYFUNCTION("""COMPUTED_VALUE"""),78.0)</f>
        <v>78</v>
      </c>
      <c r="K123" s="211">
        <f>IFERROR(__xludf.DUMMYFUNCTION("""COMPUTED_VALUE"""),18083.0)</f>
        <v>18083</v>
      </c>
      <c r="L123" s="211">
        <f>IFERROR(__xludf.DUMMYFUNCTION("""COMPUTED_VALUE"""),1919.0)</f>
        <v>1919</v>
      </c>
      <c r="M123" s="211">
        <f>IFERROR(__xludf.DUMMYFUNCTION("""COMPUTED_VALUE"""),170737.0)</f>
        <v>170737</v>
      </c>
      <c r="N123" s="211">
        <f>IFERROR(__xludf.DUMMYFUNCTION("""COMPUTED_VALUE"""),188820.0)</f>
        <v>188820</v>
      </c>
      <c r="O123" s="211">
        <f>IFERROR(__xludf.DUMMYFUNCTION("""COMPUTED_VALUE"""),9.0)</f>
        <v>9</v>
      </c>
      <c r="P123" s="211">
        <f>IFERROR(__xludf.DUMMYFUNCTION("""COMPUTED_VALUE"""),2172.0)</f>
        <v>2172</v>
      </c>
      <c r="Q123" s="211">
        <f>IFERROR(__xludf.DUMMYFUNCTION("""COMPUTED_VALUE"""),11.0)</f>
        <v>11</v>
      </c>
      <c r="R123" s="211">
        <f>IFERROR(__xludf.DUMMYFUNCTION("""COMPUTED_VALUE"""),1779.0)</f>
        <v>1779</v>
      </c>
      <c r="S123" s="211">
        <f>IFERROR(__xludf.DUMMYFUNCTION("""COMPUTED_VALUE"""),0.0)</f>
        <v>0</v>
      </c>
      <c r="T123" s="211">
        <f>IFERROR(__xludf.DUMMYFUNCTION("""COMPUTED_VALUE"""),314.0)</f>
        <v>314</v>
      </c>
      <c r="U123" s="211">
        <f>IFERROR(__xludf.DUMMYFUNCTION("""COMPUTED_VALUE"""),79.0)</f>
        <v>79</v>
      </c>
      <c r="V123" s="211">
        <f>IFERROR(__xludf.DUMMYFUNCTION("""COMPUTED_VALUE"""),80.0)</f>
        <v>80</v>
      </c>
      <c r="W123" s="211">
        <f>IFERROR(__xludf.DUMMYFUNCTION("""COMPUTED_VALUE"""),9.0)</f>
        <v>9</v>
      </c>
      <c r="X123" s="211">
        <f>IFERROR(__xludf.DUMMYFUNCTION("""COMPUTED_VALUE"""),6.0)</f>
        <v>6</v>
      </c>
      <c r="Y123" s="211">
        <f>IFERROR(__xludf.DUMMYFUNCTION("""COMPUTED_VALUE"""),1.0)</f>
        <v>1</v>
      </c>
      <c r="Z123" s="211">
        <f>IFERROR(__xludf.DUMMYFUNCTION("""COMPUTED_VALUE"""),1013.0)</f>
        <v>1013</v>
      </c>
    </row>
    <row r="124">
      <c r="A124" s="210">
        <f>IFERROR(__xludf.DUMMYFUNCTION("""COMPUTED_VALUE"""),44034.0)</f>
        <v>44034</v>
      </c>
      <c r="B124" s="211">
        <f>IFERROR(__xludf.DUMMYFUNCTION("""COMPUTED_VALUE"""),130.0)</f>
        <v>130</v>
      </c>
      <c r="C124" s="211">
        <f>IFERROR(__xludf.DUMMYFUNCTION("""COMPUTED_VALUE"""),110.0)</f>
        <v>110</v>
      </c>
      <c r="D124" s="211">
        <f>IFERROR(__xludf.DUMMYFUNCTION("""COMPUTED_VALUE"""),26636.0)</f>
        <v>26636</v>
      </c>
      <c r="E124" s="211">
        <f>IFERROR(__xludf.DUMMYFUNCTION("""COMPUTED_VALUE"""),3926.0)</f>
        <v>3926</v>
      </c>
      <c r="F124" s="151">
        <f>IFERROR(__xludf.DUMMYFUNCTION("""COMPUTED_VALUE"""),305419.0)</f>
        <v>305419</v>
      </c>
      <c r="G124" s="151">
        <f>IFERROR(__xludf.DUMMYFUNCTION("""COMPUTED_VALUE"""),4056.0)</f>
        <v>4056</v>
      </c>
      <c r="H124" s="151">
        <f>IFERROR(__xludf.DUMMYFUNCTION("""COMPUTED_VALUE"""),332055.0)</f>
        <v>332055</v>
      </c>
      <c r="I124" s="211">
        <f>IFERROR(__xludf.DUMMYFUNCTION("""COMPUTED_VALUE"""),86.0)</f>
        <v>86</v>
      </c>
      <c r="J124" s="211">
        <f>IFERROR(__xludf.DUMMYFUNCTION("""COMPUTED_VALUE"""),88.0)</f>
        <v>88</v>
      </c>
      <c r="K124" s="211">
        <f>IFERROR(__xludf.DUMMYFUNCTION("""COMPUTED_VALUE"""),18169.0)</f>
        <v>18169</v>
      </c>
      <c r="L124" s="211">
        <f>IFERROR(__xludf.DUMMYFUNCTION("""COMPUTED_VALUE"""),1683.0)</f>
        <v>1683</v>
      </c>
      <c r="M124" s="211">
        <f>IFERROR(__xludf.DUMMYFUNCTION("""COMPUTED_VALUE"""),172420.0)</f>
        <v>172420</v>
      </c>
      <c r="N124" s="211">
        <f>IFERROR(__xludf.DUMMYFUNCTION("""COMPUTED_VALUE"""),190589.0)</f>
        <v>190589</v>
      </c>
      <c r="O124" s="211">
        <f>IFERROR(__xludf.DUMMYFUNCTION("""COMPUTED_VALUE"""),11.0)</f>
        <v>11</v>
      </c>
      <c r="P124" s="211">
        <f>IFERROR(__xludf.DUMMYFUNCTION("""COMPUTED_VALUE"""),2183.0)</f>
        <v>2183</v>
      </c>
      <c r="Q124" s="211">
        <f>IFERROR(__xludf.DUMMYFUNCTION("""COMPUTED_VALUE"""),11.0)</f>
        <v>11</v>
      </c>
      <c r="R124" s="211">
        <f>IFERROR(__xludf.DUMMYFUNCTION("""COMPUTED_VALUE"""),1790.0)</f>
        <v>1790</v>
      </c>
      <c r="S124" s="211">
        <f>IFERROR(__xludf.DUMMYFUNCTION("""COMPUTED_VALUE"""),1.0)</f>
        <v>1</v>
      </c>
      <c r="T124" s="211">
        <f>IFERROR(__xludf.DUMMYFUNCTION("""COMPUTED_VALUE"""),315.0)</f>
        <v>315</v>
      </c>
      <c r="U124" s="211">
        <f>IFERROR(__xludf.DUMMYFUNCTION("""COMPUTED_VALUE"""),78.0)</f>
        <v>78</v>
      </c>
      <c r="V124" s="211">
        <f>IFERROR(__xludf.DUMMYFUNCTION("""COMPUTED_VALUE"""),79.0)</f>
        <v>79</v>
      </c>
      <c r="W124" s="211">
        <f>IFERROR(__xludf.DUMMYFUNCTION("""COMPUTED_VALUE"""),7.0)</f>
        <v>7</v>
      </c>
      <c r="X124" s="211">
        <f>IFERROR(__xludf.DUMMYFUNCTION("""COMPUTED_VALUE"""),6.0)</f>
        <v>6</v>
      </c>
      <c r="Y124" s="211">
        <f>IFERROR(__xludf.DUMMYFUNCTION("""COMPUTED_VALUE"""),1.0)</f>
        <v>1</v>
      </c>
      <c r="Z124" s="211">
        <f>IFERROR(__xludf.DUMMYFUNCTION("""COMPUTED_VALUE"""),1014.0)</f>
        <v>1014</v>
      </c>
    </row>
    <row r="125">
      <c r="A125" s="210">
        <f>IFERROR(__xludf.DUMMYFUNCTION("""COMPUTED_VALUE"""),44035.0)</f>
        <v>44035</v>
      </c>
      <c r="B125" s="211">
        <f>IFERROR(__xludf.DUMMYFUNCTION("""COMPUTED_VALUE"""),141.0)</f>
        <v>141</v>
      </c>
      <c r="C125" s="211">
        <f>IFERROR(__xludf.DUMMYFUNCTION("""COMPUTED_VALUE"""),134.0)</f>
        <v>134</v>
      </c>
      <c r="D125" s="211">
        <f>IFERROR(__xludf.DUMMYFUNCTION("""COMPUTED_VALUE"""),26777.0)</f>
        <v>26777</v>
      </c>
      <c r="E125" s="211">
        <f>IFERROR(__xludf.DUMMYFUNCTION("""COMPUTED_VALUE"""),4412.0)</f>
        <v>4412</v>
      </c>
      <c r="F125" s="151">
        <f>IFERROR(__xludf.DUMMYFUNCTION("""COMPUTED_VALUE"""),309831.0)</f>
        <v>309831</v>
      </c>
      <c r="G125" s="151">
        <f>IFERROR(__xludf.DUMMYFUNCTION("""COMPUTED_VALUE"""),4553.0)</f>
        <v>4553</v>
      </c>
      <c r="H125" s="151">
        <f>IFERROR(__xludf.DUMMYFUNCTION("""COMPUTED_VALUE"""),336608.0)</f>
        <v>336608</v>
      </c>
      <c r="I125" s="211">
        <f>IFERROR(__xludf.DUMMYFUNCTION("""COMPUTED_VALUE"""),115.0)</f>
        <v>115</v>
      </c>
      <c r="J125" s="211">
        <f>IFERROR(__xludf.DUMMYFUNCTION("""COMPUTED_VALUE"""),103.0)</f>
        <v>103</v>
      </c>
      <c r="K125" s="211">
        <f>IFERROR(__xludf.DUMMYFUNCTION("""COMPUTED_VALUE"""),18284.0)</f>
        <v>18284</v>
      </c>
      <c r="L125" s="211">
        <f>IFERROR(__xludf.DUMMYFUNCTION("""COMPUTED_VALUE"""),1989.0)</f>
        <v>1989</v>
      </c>
      <c r="M125" s="211">
        <f>IFERROR(__xludf.DUMMYFUNCTION("""COMPUTED_VALUE"""),174409.0)</f>
        <v>174409</v>
      </c>
      <c r="N125" s="211">
        <f>IFERROR(__xludf.DUMMYFUNCTION("""COMPUTED_VALUE"""),192693.0)</f>
        <v>192693</v>
      </c>
      <c r="O125" s="211">
        <f>IFERROR(__xludf.DUMMYFUNCTION("""COMPUTED_VALUE"""),8.0)</f>
        <v>8</v>
      </c>
      <c r="P125" s="211">
        <f>IFERROR(__xludf.DUMMYFUNCTION("""COMPUTED_VALUE"""),2191.0)</f>
        <v>2191</v>
      </c>
      <c r="Q125" s="211">
        <f>IFERROR(__xludf.DUMMYFUNCTION("""COMPUTED_VALUE"""),6.0)</f>
        <v>6</v>
      </c>
      <c r="R125" s="211">
        <f>IFERROR(__xludf.DUMMYFUNCTION("""COMPUTED_VALUE"""),1796.0)</f>
        <v>1796</v>
      </c>
      <c r="S125" s="211">
        <f>IFERROR(__xludf.DUMMYFUNCTION("""COMPUTED_VALUE"""),0.0)</f>
        <v>0</v>
      </c>
      <c r="T125" s="211">
        <f>IFERROR(__xludf.DUMMYFUNCTION("""COMPUTED_VALUE"""),315.0)</f>
        <v>315</v>
      </c>
      <c r="U125" s="211">
        <f>IFERROR(__xludf.DUMMYFUNCTION("""COMPUTED_VALUE"""),80.0)</f>
        <v>80</v>
      </c>
      <c r="V125" s="211">
        <f>IFERROR(__xludf.DUMMYFUNCTION("""COMPUTED_VALUE"""),79.0)</f>
        <v>79</v>
      </c>
      <c r="W125" s="211">
        <f>IFERROR(__xludf.DUMMYFUNCTION("""COMPUTED_VALUE"""),8.0)</f>
        <v>8</v>
      </c>
      <c r="X125" s="211">
        <f>IFERROR(__xludf.DUMMYFUNCTION("""COMPUTED_VALUE"""),7.0)</f>
        <v>7</v>
      </c>
      <c r="Y125" s="211">
        <f>IFERROR(__xludf.DUMMYFUNCTION("""COMPUTED_VALUE"""),0.0)</f>
        <v>0</v>
      </c>
      <c r="Z125" s="211">
        <f>IFERROR(__xludf.DUMMYFUNCTION("""COMPUTED_VALUE"""),1014.0)</f>
        <v>1014</v>
      </c>
    </row>
    <row r="126">
      <c r="A126" s="210">
        <f>IFERROR(__xludf.DUMMYFUNCTION("""COMPUTED_VALUE"""),44036.0)</f>
        <v>44036</v>
      </c>
      <c r="B126" s="211">
        <f>IFERROR(__xludf.DUMMYFUNCTION("""COMPUTED_VALUE"""),172.0)</f>
        <v>172</v>
      </c>
      <c r="C126" s="211">
        <f>IFERROR(__xludf.DUMMYFUNCTION("""COMPUTED_VALUE"""),148.0)</f>
        <v>148</v>
      </c>
      <c r="D126" s="211">
        <f>IFERROR(__xludf.DUMMYFUNCTION("""COMPUTED_VALUE"""),26949.0)</f>
        <v>26949</v>
      </c>
      <c r="E126" s="211">
        <f>IFERROR(__xludf.DUMMYFUNCTION("""COMPUTED_VALUE"""),5959.0)</f>
        <v>5959</v>
      </c>
      <c r="F126" s="151">
        <f>IFERROR(__xludf.DUMMYFUNCTION("""COMPUTED_VALUE"""),315790.0)</f>
        <v>315790</v>
      </c>
      <c r="G126" s="151">
        <f>IFERROR(__xludf.DUMMYFUNCTION("""COMPUTED_VALUE"""),6131.0)</f>
        <v>6131</v>
      </c>
      <c r="H126" s="151">
        <f>IFERROR(__xludf.DUMMYFUNCTION("""COMPUTED_VALUE"""),342739.0)</f>
        <v>342739</v>
      </c>
      <c r="I126" s="211">
        <f>IFERROR(__xludf.DUMMYFUNCTION("""COMPUTED_VALUE"""),119.0)</f>
        <v>119</v>
      </c>
      <c r="J126" s="211">
        <f>IFERROR(__xludf.DUMMYFUNCTION("""COMPUTED_VALUE"""),107.0)</f>
        <v>107</v>
      </c>
      <c r="K126" s="211">
        <f>IFERROR(__xludf.DUMMYFUNCTION("""COMPUTED_VALUE"""),18403.0)</f>
        <v>18403</v>
      </c>
      <c r="L126" s="211">
        <f>IFERROR(__xludf.DUMMYFUNCTION("""COMPUTED_VALUE"""),2322.0)</f>
        <v>2322</v>
      </c>
      <c r="M126" s="211">
        <f>IFERROR(__xludf.DUMMYFUNCTION("""COMPUTED_VALUE"""),176731.0)</f>
        <v>176731</v>
      </c>
      <c r="N126" s="211">
        <f>IFERROR(__xludf.DUMMYFUNCTION("""COMPUTED_VALUE"""),195134.0)</f>
        <v>195134</v>
      </c>
      <c r="O126" s="211">
        <f>IFERROR(__xludf.DUMMYFUNCTION("""COMPUTED_VALUE"""),14.0)</f>
        <v>14</v>
      </c>
      <c r="P126" s="211">
        <f>IFERROR(__xludf.DUMMYFUNCTION("""COMPUTED_VALUE"""),2205.0)</f>
        <v>2205</v>
      </c>
      <c r="Q126" s="211">
        <f>IFERROR(__xludf.DUMMYFUNCTION("""COMPUTED_VALUE"""),14.0)</f>
        <v>14</v>
      </c>
      <c r="R126" s="211">
        <f>IFERROR(__xludf.DUMMYFUNCTION("""COMPUTED_VALUE"""),1810.0)</f>
        <v>1810</v>
      </c>
      <c r="S126" s="211">
        <f>IFERROR(__xludf.DUMMYFUNCTION("""COMPUTED_VALUE"""),0.0)</f>
        <v>0</v>
      </c>
      <c r="T126" s="211">
        <f>IFERROR(__xludf.DUMMYFUNCTION("""COMPUTED_VALUE"""),315.0)</f>
        <v>315</v>
      </c>
      <c r="U126" s="211">
        <f>IFERROR(__xludf.DUMMYFUNCTION("""COMPUTED_VALUE"""),80.0)</f>
        <v>80</v>
      </c>
      <c r="V126" s="211">
        <f>IFERROR(__xludf.DUMMYFUNCTION("""COMPUTED_VALUE"""),79.0)</f>
        <v>79</v>
      </c>
      <c r="W126" s="211">
        <f>IFERROR(__xludf.DUMMYFUNCTION("""COMPUTED_VALUE"""),9.0)</f>
        <v>9</v>
      </c>
      <c r="X126" s="211">
        <f>IFERROR(__xludf.DUMMYFUNCTION("""COMPUTED_VALUE"""),7.0)</f>
        <v>7</v>
      </c>
      <c r="Y126" s="211">
        <f>IFERROR(__xludf.DUMMYFUNCTION("""COMPUTED_VALUE"""),0.0)</f>
        <v>0</v>
      </c>
      <c r="Z126" s="211">
        <f>IFERROR(__xludf.DUMMYFUNCTION("""COMPUTED_VALUE"""),1014.0)</f>
        <v>1014</v>
      </c>
    </row>
    <row r="127">
      <c r="A127" s="210">
        <f>IFERROR(__xludf.DUMMYFUNCTION("""COMPUTED_VALUE"""),44037.0)</f>
        <v>44037</v>
      </c>
      <c r="B127" s="211">
        <f>IFERROR(__xludf.DUMMYFUNCTION("""COMPUTED_VALUE"""),134.0)</f>
        <v>134</v>
      </c>
      <c r="C127" s="211">
        <f>IFERROR(__xludf.DUMMYFUNCTION("""COMPUTED_VALUE"""),149.0)</f>
        <v>149</v>
      </c>
      <c r="D127" s="211">
        <f>IFERROR(__xludf.DUMMYFUNCTION("""COMPUTED_VALUE"""),27083.0)</f>
        <v>27083</v>
      </c>
      <c r="E127" s="211">
        <f>IFERROR(__xludf.DUMMYFUNCTION("""COMPUTED_VALUE"""),4398.0)</f>
        <v>4398</v>
      </c>
      <c r="F127" s="151">
        <f>IFERROR(__xludf.DUMMYFUNCTION("""COMPUTED_VALUE"""),320188.0)</f>
        <v>320188</v>
      </c>
      <c r="G127" s="151">
        <f>IFERROR(__xludf.DUMMYFUNCTION("""COMPUTED_VALUE"""),4532.0)</f>
        <v>4532</v>
      </c>
      <c r="H127" s="151">
        <f>IFERROR(__xludf.DUMMYFUNCTION("""COMPUTED_VALUE"""),347271.0)</f>
        <v>347271</v>
      </c>
      <c r="I127" s="211">
        <f>IFERROR(__xludf.DUMMYFUNCTION("""COMPUTED_VALUE"""),108.0)</f>
        <v>108</v>
      </c>
      <c r="J127" s="211">
        <f>IFERROR(__xludf.DUMMYFUNCTION("""COMPUTED_VALUE"""),114.0)</f>
        <v>114</v>
      </c>
      <c r="K127" s="211">
        <f>IFERROR(__xludf.DUMMYFUNCTION("""COMPUTED_VALUE"""),18511.0)</f>
        <v>18511</v>
      </c>
      <c r="L127" s="211">
        <f>IFERROR(__xludf.DUMMYFUNCTION("""COMPUTED_VALUE"""),2100.0)</f>
        <v>2100</v>
      </c>
      <c r="M127" s="211">
        <f>IFERROR(__xludf.DUMMYFUNCTION("""COMPUTED_VALUE"""),178831.0)</f>
        <v>178831</v>
      </c>
      <c r="N127" s="211">
        <f>IFERROR(__xludf.DUMMYFUNCTION("""COMPUTED_VALUE"""),197342.0)</f>
        <v>197342</v>
      </c>
      <c r="O127" s="211">
        <f>IFERROR(__xludf.DUMMYFUNCTION("""COMPUTED_VALUE"""),7.0)</f>
        <v>7</v>
      </c>
      <c r="P127" s="211">
        <f>IFERROR(__xludf.DUMMYFUNCTION("""COMPUTED_VALUE"""),2212.0)</f>
        <v>2212</v>
      </c>
      <c r="Q127" s="211">
        <f>IFERROR(__xludf.DUMMYFUNCTION("""COMPUTED_VALUE"""),7.0)</f>
        <v>7</v>
      </c>
      <c r="R127" s="211">
        <f>IFERROR(__xludf.DUMMYFUNCTION("""COMPUTED_VALUE"""),1817.0)</f>
        <v>1817</v>
      </c>
      <c r="S127" s="211">
        <f>IFERROR(__xludf.DUMMYFUNCTION("""COMPUTED_VALUE"""),0.0)</f>
        <v>0</v>
      </c>
      <c r="T127" s="211">
        <f>IFERROR(__xludf.DUMMYFUNCTION("""COMPUTED_VALUE"""),315.0)</f>
        <v>315</v>
      </c>
      <c r="U127" s="211">
        <f>IFERROR(__xludf.DUMMYFUNCTION("""COMPUTED_VALUE"""),80.0)</f>
        <v>80</v>
      </c>
      <c r="V127" s="211">
        <f>IFERROR(__xludf.DUMMYFUNCTION("""COMPUTED_VALUE"""),80.0)</f>
        <v>80</v>
      </c>
      <c r="W127" s="211">
        <f>IFERROR(__xludf.DUMMYFUNCTION("""COMPUTED_VALUE"""),10.0)</f>
        <v>10</v>
      </c>
      <c r="X127" s="211">
        <f>IFERROR(__xludf.DUMMYFUNCTION("""COMPUTED_VALUE"""),8.0)</f>
        <v>8</v>
      </c>
      <c r="Y127" s="211">
        <f>IFERROR(__xludf.DUMMYFUNCTION("""COMPUTED_VALUE"""),2.0)</f>
        <v>2</v>
      </c>
      <c r="Z127" s="211">
        <f>IFERROR(__xludf.DUMMYFUNCTION("""COMPUTED_VALUE"""),1016.0)</f>
        <v>1016</v>
      </c>
    </row>
    <row r="128">
      <c r="A128" s="210">
        <f>IFERROR(__xludf.DUMMYFUNCTION("""COMPUTED_VALUE"""),44038.0)</f>
        <v>44038</v>
      </c>
      <c r="B128" s="211">
        <f>IFERROR(__xludf.DUMMYFUNCTION("""COMPUTED_VALUE"""),62.0)</f>
        <v>62</v>
      </c>
      <c r="C128" s="211">
        <f>IFERROR(__xludf.DUMMYFUNCTION("""COMPUTED_VALUE"""),123.0)</f>
        <v>123</v>
      </c>
      <c r="D128" s="211">
        <f>IFERROR(__xludf.DUMMYFUNCTION("""COMPUTED_VALUE"""),27145.0)</f>
        <v>27145</v>
      </c>
      <c r="E128" s="211">
        <f>IFERROR(__xludf.DUMMYFUNCTION("""COMPUTED_VALUE"""),3027.0)</f>
        <v>3027</v>
      </c>
      <c r="F128" s="151">
        <f>IFERROR(__xludf.DUMMYFUNCTION("""COMPUTED_VALUE"""),323215.0)</f>
        <v>323215</v>
      </c>
      <c r="G128" s="151">
        <f>IFERROR(__xludf.DUMMYFUNCTION("""COMPUTED_VALUE"""),3089.0)</f>
        <v>3089</v>
      </c>
      <c r="H128" s="151">
        <f>IFERROR(__xludf.DUMMYFUNCTION("""COMPUTED_VALUE"""),350360.0)</f>
        <v>350360</v>
      </c>
      <c r="I128" s="211">
        <f>IFERROR(__xludf.DUMMYFUNCTION("""COMPUTED_VALUE"""),54.0)</f>
        <v>54</v>
      </c>
      <c r="J128" s="211">
        <f>IFERROR(__xludf.DUMMYFUNCTION("""COMPUTED_VALUE"""),94.0)</f>
        <v>94</v>
      </c>
      <c r="K128" s="211">
        <f>IFERROR(__xludf.DUMMYFUNCTION("""COMPUTED_VALUE"""),18565.0)</f>
        <v>18565</v>
      </c>
      <c r="L128" s="211">
        <f>IFERROR(__xludf.DUMMYFUNCTION("""COMPUTED_VALUE"""),1336.0)</f>
        <v>1336</v>
      </c>
      <c r="M128" s="211">
        <f>IFERROR(__xludf.DUMMYFUNCTION("""COMPUTED_VALUE"""),180167.0)</f>
        <v>180167</v>
      </c>
      <c r="N128" s="211">
        <f>IFERROR(__xludf.DUMMYFUNCTION("""COMPUTED_VALUE"""),198732.0)</f>
        <v>198732</v>
      </c>
      <c r="O128" s="211">
        <f>IFERROR(__xludf.DUMMYFUNCTION("""COMPUTED_VALUE"""),8.0)</f>
        <v>8</v>
      </c>
      <c r="P128" s="211">
        <f>IFERROR(__xludf.DUMMYFUNCTION("""COMPUTED_VALUE"""),2220.0)</f>
        <v>2220</v>
      </c>
      <c r="Q128" s="211">
        <f>IFERROR(__xludf.DUMMYFUNCTION("""COMPUTED_VALUE"""),9.0)</f>
        <v>9</v>
      </c>
      <c r="R128" s="211">
        <f>IFERROR(__xludf.DUMMYFUNCTION("""COMPUTED_VALUE"""),1826.0)</f>
        <v>1826</v>
      </c>
      <c r="S128" s="211">
        <f>IFERROR(__xludf.DUMMYFUNCTION("""COMPUTED_VALUE"""),0.0)</f>
        <v>0</v>
      </c>
      <c r="T128" s="211">
        <f>IFERROR(__xludf.DUMMYFUNCTION("""COMPUTED_VALUE"""),315.0)</f>
        <v>315</v>
      </c>
      <c r="U128" s="211">
        <f>IFERROR(__xludf.DUMMYFUNCTION("""COMPUTED_VALUE"""),79.0)</f>
        <v>79</v>
      </c>
      <c r="V128" s="211">
        <f>IFERROR(__xludf.DUMMYFUNCTION("""COMPUTED_VALUE"""),80.0)</f>
        <v>80</v>
      </c>
      <c r="W128" s="211">
        <f>IFERROR(__xludf.DUMMYFUNCTION("""COMPUTED_VALUE"""),11.0)</f>
        <v>11</v>
      </c>
      <c r="X128" s="211">
        <f>IFERROR(__xludf.DUMMYFUNCTION("""COMPUTED_VALUE"""),7.0)</f>
        <v>7</v>
      </c>
      <c r="Y128" s="211">
        <f>IFERROR(__xludf.DUMMYFUNCTION("""COMPUTED_VALUE"""),1.0)</f>
        <v>1</v>
      </c>
      <c r="Z128" s="211">
        <f>IFERROR(__xludf.DUMMYFUNCTION("""COMPUTED_VALUE"""),1017.0)</f>
        <v>1017</v>
      </c>
    </row>
    <row r="129">
      <c r="A129" s="210">
        <f>IFERROR(__xludf.DUMMYFUNCTION("""COMPUTED_VALUE"""),44039.0)</f>
        <v>44039</v>
      </c>
      <c r="B129" s="211">
        <f>IFERROR(__xludf.DUMMYFUNCTION("""COMPUTED_VALUE"""),188.0)</f>
        <v>188</v>
      </c>
      <c r="C129" s="211">
        <f>IFERROR(__xludf.DUMMYFUNCTION("""COMPUTED_VALUE"""),128.0)</f>
        <v>128</v>
      </c>
      <c r="D129" s="211">
        <f>IFERROR(__xludf.DUMMYFUNCTION("""COMPUTED_VALUE"""),27333.0)</f>
        <v>27333</v>
      </c>
      <c r="E129" s="211">
        <f>IFERROR(__xludf.DUMMYFUNCTION("""COMPUTED_VALUE"""),4190.0)</f>
        <v>4190</v>
      </c>
      <c r="F129" s="151">
        <f>IFERROR(__xludf.DUMMYFUNCTION("""COMPUTED_VALUE"""),327405.0)</f>
        <v>327405</v>
      </c>
      <c r="G129" s="151">
        <f>IFERROR(__xludf.DUMMYFUNCTION("""COMPUTED_VALUE"""),4378.0)</f>
        <v>4378</v>
      </c>
      <c r="H129" s="151">
        <f>IFERROR(__xludf.DUMMYFUNCTION("""COMPUTED_VALUE"""),354738.0)</f>
        <v>354738</v>
      </c>
      <c r="I129" s="211">
        <f>IFERROR(__xludf.DUMMYFUNCTION("""COMPUTED_VALUE"""),138.0)</f>
        <v>138</v>
      </c>
      <c r="J129" s="211">
        <f>IFERROR(__xludf.DUMMYFUNCTION("""COMPUTED_VALUE"""),100.0)</f>
        <v>100</v>
      </c>
      <c r="K129" s="211">
        <f>IFERROR(__xludf.DUMMYFUNCTION("""COMPUTED_VALUE"""),18703.0)</f>
        <v>18703</v>
      </c>
      <c r="L129" s="211">
        <f>IFERROR(__xludf.DUMMYFUNCTION("""COMPUTED_VALUE"""),2350.0)</f>
        <v>2350</v>
      </c>
      <c r="M129" s="211">
        <f>IFERROR(__xludf.DUMMYFUNCTION("""COMPUTED_VALUE"""),182517.0)</f>
        <v>182517</v>
      </c>
      <c r="N129" s="211">
        <f>IFERROR(__xludf.DUMMYFUNCTION("""COMPUTED_VALUE"""),201220.0)</f>
        <v>201220</v>
      </c>
      <c r="O129" s="211">
        <f>IFERROR(__xludf.DUMMYFUNCTION("""COMPUTED_VALUE"""),12.0)</f>
        <v>12</v>
      </c>
      <c r="P129" s="211">
        <f>IFERROR(__xludf.DUMMYFUNCTION("""COMPUTED_VALUE"""),2232.0)</f>
        <v>2232</v>
      </c>
      <c r="Q129" s="211">
        <f>IFERROR(__xludf.DUMMYFUNCTION("""COMPUTED_VALUE"""),7.0)</f>
        <v>7</v>
      </c>
      <c r="R129" s="211">
        <f>IFERROR(__xludf.DUMMYFUNCTION("""COMPUTED_VALUE"""),1833.0)</f>
        <v>1833</v>
      </c>
      <c r="S129" s="211">
        <f>IFERROR(__xludf.DUMMYFUNCTION("""COMPUTED_VALUE"""),0.0)</f>
        <v>0</v>
      </c>
      <c r="T129" s="211">
        <f>IFERROR(__xludf.DUMMYFUNCTION("""COMPUTED_VALUE"""),315.0)</f>
        <v>315</v>
      </c>
      <c r="U129" s="211">
        <f>IFERROR(__xludf.DUMMYFUNCTION("""COMPUTED_VALUE"""),84.0)</f>
        <v>84</v>
      </c>
      <c r="V129" s="211">
        <f>IFERROR(__xludf.DUMMYFUNCTION("""COMPUTED_VALUE"""),81.0)</f>
        <v>81</v>
      </c>
      <c r="W129" s="211">
        <f>IFERROR(__xludf.DUMMYFUNCTION("""COMPUTED_VALUE"""),13.0)</f>
        <v>13</v>
      </c>
      <c r="X129" s="211">
        <f>IFERROR(__xludf.DUMMYFUNCTION("""COMPUTED_VALUE"""),8.0)</f>
        <v>8</v>
      </c>
      <c r="Y129" s="211">
        <f>IFERROR(__xludf.DUMMYFUNCTION("""COMPUTED_VALUE"""),1.0)</f>
        <v>1</v>
      </c>
      <c r="Z129" s="211">
        <f>IFERROR(__xludf.DUMMYFUNCTION("""COMPUTED_VALUE"""),1018.0)</f>
        <v>1018</v>
      </c>
    </row>
    <row r="130">
      <c r="A130" s="210">
        <f>IFERROR(__xludf.DUMMYFUNCTION("""COMPUTED_VALUE"""),44040.0)</f>
        <v>44040</v>
      </c>
      <c r="B130" s="211">
        <f>IFERROR(__xludf.DUMMYFUNCTION("""COMPUTED_VALUE"""),105.0)</f>
        <v>105</v>
      </c>
      <c r="C130" s="211">
        <f>IFERROR(__xludf.DUMMYFUNCTION("""COMPUTED_VALUE"""),118.0)</f>
        <v>118</v>
      </c>
      <c r="D130" s="211">
        <f>IFERROR(__xludf.DUMMYFUNCTION("""COMPUTED_VALUE"""),27438.0)</f>
        <v>27438</v>
      </c>
      <c r="E130" s="211">
        <f>IFERROR(__xludf.DUMMYFUNCTION("""COMPUTED_VALUE"""),3834.0)</f>
        <v>3834</v>
      </c>
      <c r="F130" s="151">
        <f>IFERROR(__xludf.DUMMYFUNCTION("""COMPUTED_VALUE"""),331239.0)</f>
        <v>331239</v>
      </c>
      <c r="G130" s="151">
        <f>IFERROR(__xludf.DUMMYFUNCTION("""COMPUTED_VALUE"""),3939.0)</f>
        <v>3939</v>
      </c>
      <c r="H130" s="151">
        <f>IFERROR(__xludf.DUMMYFUNCTION("""COMPUTED_VALUE"""),358677.0)</f>
        <v>358677</v>
      </c>
      <c r="I130" s="211">
        <f>IFERROR(__xludf.DUMMYFUNCTION("""COMPUTED_VALUE"""),94.0)</f>
        <v>94</v>
      </c>
      <c r="J130" s="211">
        <f>IFERROR(__xludf.DUMMYFUNCTION("""COMPUTED_VALUE"""),95.0)</f>
        <v>95</v>
      </c>
      <c r="K130" s="211">
        <f>IFERROR(__xludf.DUMMYFUNCTION("""COMPUTED_VALUE"""),18797.0)</f>
        <v>18797</v>
      </c>
      <c r="L130" s="211">
        <f>IFERROR(__xludf.DUMMYFUNCTION("""COMPUTED_VALUE"""),1635.0)</f>
        <v>1635</v>
      </c>
      <c r="M130" s="211">
        <f>IFERROR(__xludf.DUMMYFUNCTION("""COMPUTED_VALUE"""),184152.0)</f>
        <v>184152</v>
      </c>
      <c r="N130" s="211">
        <f>IFERROR(__xludf.DUMMYFUNCTION("""COMPUTED_VALUE"""),202949.0)</f>
        <v>202949</v>
      </c>
      <c r="O130" s="211">
        <f>IFERROR(__xludf.DUMMYFUNCTION("""COMPUTED_VALUE"""),5.0)</f>
        <v>5</v>
      </c>
      <c r="P130" s="211">
        <f>IFERROR(__xludf.DUMMYFUNCTION("""COMPUTED_VALUE"""),2237.0)</f>
        <v>2237</v>
      </c>
      <c r="Q130" s="211">
        <f>IFERROR(__xludf.DUMMYFUNCTION("""COMPUTED_VALUE"""),5.0)</f>
        <v>5</v>
      </c>
      <c r="R130" s="211">
        <f>IFERROR(__xludf.DUMMYFUNCTION("""COMPUTED_VALUE"""),1838.0)</f>
        <v>1838</v>
      </c>
      <c r="S130" s="211">
        <f>IFERROR(__xludf.DUMMYFUNCTION("""COMPUTED_VALUE"""),0.0)</f>
        <v>0</v>
      </c>
      <c r="T130" s="211">
        <f>IFERROR(__xludf.DUMMYFUNCTION("""COMPUTED_VALUE"""),315.0)</f>
        <v>315</v>
      </c>
      <c r="U130" s="211">
        <f>IFERROR(__xludf.DUMMYFUNCTION("""COMPUTED_VALUE"""),84.0)</f>
        <v>84</v>
      </c>
      <c r="V130" s="211">
        <f>IFERROR(__xludf.DUMMYFUNCTION("""COMPUTED_VALUE"""),82.0)</f>
        <v>82</v>
      </c>
      <c r="W130" s="211">
        <f>IFERROR(__xludf.DUMMYFUNCTION("""COMPUTED_VALUE"""),14.0)</f>
        <v>14</v>
      </c>
      <c r="X130" s="211">
        <f>IFERROR(__xludf.DUMMYFUNCTION("""COMPUTED_VALUE"""),7.0)</f>
        <v>7</v>
      </c>
      <c r="Y130" s="211">
        <f>IFERROR(__xludf.DUMMYFUNCTION("""COMPUTED_VALUE"""),1.0)</f>
        <v>1</v>
      </c>
      <c r="Z130" s="211">
        <f>IFERROR(__xludf.DUMMYFUNCTION("""COMPUTED_VALUE"""),1019.0)</f>
        <v>1019</v>
      </c>
    </row>
    <row r="131">
      <c r="A131" s="210">
        <f>IFERROR(__xludf.DUMMYFUNCTION("""COMPUTED_VALUE"""),44041.0)</f>
        <v>44041</v>
      </c>
      <c r="B131" s="211">
        <f>IFERROR(__xludf.DUMMYFUNCTION("""COMPUTED_VALUE"""),191.0)</f>
        <v>191</v>
      </c>
      <c r="C131" s="211">
        <f>IFERROR(__xludf.DUMMYFUNCTION("""COMPUTED_VALUE"""),161.0)</f>
        <v>161</v>
      </c>
      <c r="D131" s="211">
        <f>IFERROR(__xludf.DUMMYFUNCTION("""COMPUTED_VALUE"""),27629.0)</f>
        <v>27629</v>
      </c>
      <c r="E131" s="211">
        <f>IFERROR(__xludf.DUMMYFUNCTION("""COMPUTED_VALUE"""),5137.0)</f>
        <v>5137</v>
      </c>
      <c r="F131" s="151">
        <f>IFERROR(__xludf.DUMMYFUNCTION("""COMPUTED_VALUE"""),336376.0)</f>
        <v>336376</v>
      </c>
      <c r="G131" s="151">
        <f>IFERROR(__xludf.DUMMYFUNCTION("""COMPUTED_VALUE"""),5328.0)</f>
        <v>5328</v>
      </c>
      <c r="H131" s="151">
        <f>IFERROR(__xludf.DUMMYFUNCTION("""COMPUTED_VALUE"""),364005.0)</f>
        <v>364005</v>
      </c>
      <c r="I131" s="211">
        <f>IFERROR(__xludf.DUMMYFUNCTION("""COMPUTED_VALUE"""),154.0)</f>
        <v>154</v>
      </c>
      <c r="J131" s="211">
        <f>IFERROR(__xludf.DUMMYFUNCTION("""COMPUTED_VALUE"""),129.0)</f>
        <v>129</v>
      </c>
      <c r="K131" s="211">
        <f>IFERROR(__xludf.DUMMYFUNCTION("""COMPUTED_VALUE"""),18951.0)</f>
        <v>18951</v>
      </c>
      <c r="L131" s="211">
        <f>IFERROR(__xludf.DUMMYFUNCTION("""COMPUTED_VALUE"""),2324.0)</f>
        <v>2324</v>
      </c>
      <c r="M131" s="211">
        <f>IFERROR(__xludf.DUMMYFUNCTION("""COMPUTED_VALUE"""),186476.0)</f>
        <v>186476</v>
      </c>
      <c r="N131" s="211">
        <f>IFERROR(__xludf.DUMMYFUNCTION("""COMPUTED_VALUE"""),205427.0)</f>
        <v>205427</v>
      </c>
      <c r="O131" s="211">
        <f>IFERROR(__xludf.DUMMYFUNCTION("""COMPUTED_VALUE"""),11.0)</f>
        <v>11</v>
      </c>
      <c r="P131" s="211">
        <f>IFERROR(__xludf.DUMMYFUNCTION("""COMPUTED_VALUE"""),2248.0)</f>
        <v>2248</v>
      </c>
      <c r="Q131" s="211">
        <f>IFERROR(__xludf.DUMMYFUNCTION("""COMPUTED_VALUE"""),12.0)</f>
        <v>12</v>
      </c>
      <c r="R131" s="211">
        <f>IFERROR(__xludf.DUMMYFUNCTION("""COMPUTED_VALUE"""),1850.0)</f>
        <v>1850</v>
      </c>
      <c r="S131" s="211">
        <f>IFERROR(__xludf.DUMMYFUNCTION("""COMPUTED_VALUE"""),0.0)</f>
        <v>0</v>
      </c>
      <c r="T131" s="211">
        <f>IFERROR(__xludf.DUMMYFUNCTION("""COMPUTED_VALUE"""),315.0)</f>
        <v>315</v>
      </c>
      <c r="U131" s="211">
        <f>IFERROR(__xludf.DUMMYFUNCTION("""COMPUTED_VALUE"""),83.0)</f>
        <v>83</v>
      </c>
      <c r="V131" s="211">
        <f>IFERROR(__xludf.DUMMYFUNCTION("""COMPUTED_VALUE"""),84.0)</f>
        <v>84</v>
      </c>
      <c r="W131" s="211">
        <f>IFERROR(__xludf.DUMMYFUNCTION("""COMPUTED_VALUE"""),15.0)</f>
        <v>15</v>
      </c>
      <c r="X131" s="211">
        <f>IFERROR(__xludf.DUMMYFUNCTION("""COMPUTED_VALUE"""),7.0)</f>
        <v>7</v>
      </c>
      <c r="Y131" s="211">
        <f>IFERROR(__xludf.DUMMYFUNCTION("""COMPUTED_VALUE"""),0.0)</f>
        <v>0</v>
      </c>
      <c r="Z131" s="211">
        <f>IFERROR(__xludf.DUMMYFUNCTION("""COMPUTED_VALUE"""),1019.0)</f>
        <v>1019</v>
      </c>
    </row>
    <row r="132">
      <c r="A132" s="210">
        <f>IFERROR(__xludf.DUMMYFUNCTION("""COMPUTED_VALUE"""),44042.0)</f>
        <v>44042</v>
      </c>
      <c r="B132" s="211">
        <f>IFERROR(__xludf.DUMMYFUNCTION("""COMPUTED_VALUE"""),121.0)</f>
        <v>121</v>
      </c>
      <c r="C132" s="211">
        <f>IFERROR(__xludf.DUMMYFUNCTION("""COMPUTED_VALUE"""),139.0)</f>
        <v>139</v>
      </c>
      <c r="D132" s="211">
        <f>IFERROR(__xludf.DUMMYFUNCTION("""COMPUTED_VALUE"""),27750.0)</f>
        <v>27750</v>
      </c>
      <c r="E132" s="211">
        <f>IFERROR(__xludf.DUMMYFUNCTION("""COMPUTED_VALUE"""),4344.0)</f>
        <v>4344</v>
      </c>
      <c r="F132" s="151">
        <f>IFERROR(__xludf.DUMMYFUNCTION("""COMPUTED_VALUE"""),340720.0)</f>
        <v>340720</v>
      </c>
      <c r="G132" s="151">
        <f>IFERROR(__xludf.DUMMYFUNCTION("""COMPUTED_VALUE"""),4465.0)</f>
        <v>4465</v>
      </c>
      <c r="H132" s="151">
        <f>IFERROR(__xludf.DUMMYFUNCTION("""COMPUTED_VALUE"""),368470.0)</f>
        <v>368470</v>
      </c>
      <c r="I132" s="211">
        <f>IFERROR(__xludf.DUMMYFUNCTION("""COMPUTED_VALUE"""),97.0)</f>
        <v>97</v>
      </c>
      <c r="J132" s="211">
        <f>IFERROR(__xludf.DUMMYFUNCTION("""COMPUTED_VALUE"""),115.0)</f>
        <v>115</v>
      </c>
      <c r="K132" s="211">
        <f>IFERROR(__xludf.DUMMYFUNCTION("""COMPUTED_VALUE"""),19048.0)</f>
        <v>19048</v>
      </c>
      <c r="L132" s="211">
        <f>IFERROR(__xludf.DUMMYFUNCTION("""COMPUTED_VALUE"""),1650.0)</f>
        <v>1650</v>
      </c>
      <c r="M132" s="211">
        <f>IFERROR(__xludf.DUMMYFUNCTION("""COMPUTED_VALUE"""),188126.0)</f>
        <v>188126</v>
      </c>
      <c r="N132" s="211">
        <f>IFERROR(__xludf.DUMMYFUNCTION("""COMPUTED_VALUE"""),207174.0)</f>
        <v>207174</v>
      </c>
      <c r="O132" s="211">
        <f>IFERROR(__xludf.DUMMYFUNCTION("""COMPUTED_VALUE"""),6.0)</f>
        <v>6</v>
      </c>
      <c r="P132" s="211">
        <f>IFERROR(__xludf.DUMMYFUNCTION("""COMPUTED_VALUE"""),2254.0)</f>
        <v>2254</v>
      </c>
      <c r="Q132" s="211">
        <f>IFERROR(__xludf.DUMMYFUNCTION("""COMPUTED_VALUE"""),2.0)</f>
        <v>2</v>
      </c>
      <c r="R132" s="211">
        <f>IFERROR(__xludf.DUMMYFUNCTION("""COMPUTED_VALUE"""),1852.0)</f>
        <v>1852</v>
      </c>
      <c r="S132" s="211">
        <f>IFERROR(__xludf.DUMMYFUNCTION("""COMPUTED_VALUE"""),1.0)</f>
        <v>1</v>
      </c>
      <c r="T132" s="211">
        <f>IFERROR(__xludf.DUMMYFUNCTION("""COMPUTED_VALUE"""),316.0)</f>
        <v>316</v>
      </c>
      <c r="U132" s="211">
        <f>IFERROR(__xludf.DUMMYFUNCTION("""COMPUTED_VALUE"""),86.0)</f>
        <v>86</v>
      </c>
      <c r="V132" s="211">
        <f>IFERROR(__xludf.DUMMYFUNCTION("""COMPUTED_VALUE"""),84.0)</f>
        <v>84</v>
      </c>
      <c r="W132" s="211">
        <f>IFERROR(__xludf.DUMMYFUNCTION("""COMPUTED_VALUE"""),15.0)</f>
        <v>15</v>
      </c>
      <c r="X132" s="211">
        <f>IFERROR(__xludf.DUMMYFUNCTION("""COMPUTED_VALUE"""),6.0)</f>
        <v>6</v>
      </c>
      <c r="Y132" s="211">
        <f>IFERROR(__xludf.DUMMYFUNCTION("""COMPUTED_VALUE"""),1.0)</f>
        <v>1</v>
      </c>
      <c r="Z132" s="211">
        <f>IFERROR(__xludf.DUMMYFUNCTION("""COMPUTED_VALUE"""),1020.0)</f>
        <v>1020</v>
      </c>
    </row>
    <row r="133">
      <c r="A133" s="210">
        <f>IFERROR(__xludf.DUMMYFUNCTION("""COMPUTED_VALUE"""),44043.0)</f>
        <v>44043</v>
      </c>
      <c r="B133" s="211">
        <f>IFERROR(__xludf.DUMMYFUNCTION("""COMPUTED_VALUE"""),131.0)</f>
        <v>131</v>
      </c>
      <c r="C133" s="211">
        <f>IFERROR(__xludf.DUMMYFUNCTION("""COMPUTED_VALUE"""),148.0)</f>
        <v>148</v>
      </c>
      <c r="D133" s="211">
        <f>IFERROR(__xludf.DUMMYFUNCTION("""COMPUTED_VALUE"""),27881.0)</f>
        <v>27881</v>
      </c>
      <c r="E133" s="211">
        <f>IFERROR(__xludf.DUMMYFUNCTION("""COMPUTED_VALUE"""),5508.0)</f>
        <v>5508</v>
      </c>
      <c r="F133" s="151">
        <f>IFERROR(__xludf.DUMMYFUNCTION("""COMPUTED_VALUE"""),346228.0)</f>
        <v>346228</v>
      </c>
      <c r="G133" s="151">
        <f>IFERROR(__xludf.DUMMYFUNCTION("""COMPUTED_VALUE"""),5639.0)</f>
        <v>5639</v>
      </c>
      <c r="H133" s="151">
        <f>IFERROR(__xludf.DUMMYFUNCTION("""COMPUTED_VALUE"""),374109.0)</f>
        <v>374109</v>
      </c>
      <c r="I133" s="211">
        <f>IFERROR(__xludf.DUMMYFUNCTION("""COMPUTED_VALUE"""),89.0)</f>
        <v>89</v>
      </c>
      <c r="J133" s="211">
        <f>IFERROR(__xludf.DUMMYFUNCTION("""COMPUTED_VALUE"""),113.0)</f>
        <v>113</v>
      </c>
      <c r="K133" s="211">
        <f>IFERROR(__xludf.DUMMYFUNCTION("""COMPUTED_VALUE"""),19137.0)</f>
        <v>19137</v>
      </c>
      <c r="L133" s="211">
        <f>IFERROR(__xludf.DUMMYFUNCTION("""COMPUTED_VALUE"""),1854.0)</f>
        <v>1854</v>
      </c>
      <c r="M133" s="211">
        <f>IFERROR(__xludf.DUMMYFUNCTION("""COMPUTED_VALUE"""),189980.0)</f>
        <v>189980</v>
      </c>
      <c r="N133" s="211">
        <f>IFERROR(__xludf.DUMMYFUNCTION("""COMPUTED_VALUE"""),209117.0)</f>
        <v>209117</v>
      </c>
      <c r="O133" s="211">
        <f>IFERROR(__xludf.DUMMYFUNCTION("""COMPUTED_VALUE"""),8.0)</f>
        <v>8</v>
      </c>
      <c r="P133" s="211">
        <f>IFERROR(__xludf.DUMMYFUNCTION("""COMPUTED_VALUE"""),2262.0)</f>
        <v>2262</v>
      </c>
      <c r="Q133" s="211">
        <f>IFERROR(__xludf.DUMMYFUNCTION("""COMPUTED_VALUE"""),10.0)</f>
        <v>10</v>
      </c>
      <c r="R133" s="211">
        <f>IFERROR(__xludf.DUMMYFUNCTION("""COMPUTED_VALUE"""),1862.0)</f>
        <v>1862</v>
      </c>
      <c r="S133" s="211">
        <f>IFERROR(__xludf.DUMMYFUNCTION("""COMPUTED_VALUE"""),0.0)</f>
        <v>0</v>
      </c>
      <c r="T133" s="211">
        <f>IFERROR(__xludf.DUMMYFUNCTION("""COMPUTED_VALUE"""),316.0)</f>
        <v>316</v>
      </c>
      <c r="U133" s="211">
        <f>IFERROR(__xludf.DUMMYFUNCTION("""COMPUTED_VALUE"""),84.0)</f>
        <v>84</v>
      </c>
      <c r="V133" s="211">
        <f>IFERROR(__xludf.DUMMYFUNCTION("""COMPUTED_VALUE"""),84.0)</f>
        <v>84</v>
      </c>
      <c r="W133" s="211">
        <f>IFERROR(__xludf.DUMMYFUNCTION("""COMPUTED_VALUE"""),15.0)</f>
        <v>15</v>
      </c>
      <c r="X133" s="211">
        <f>IFERROR(__xludf.DUMMYFUNCTION("""COMPUTED_VALUE"""),7.0)</f>
        <v>7</v>
      </c>
      <c r="Y133" s="211">
        <f>IFERROR(__xludf.DUMMYFUNCTION("""COMPUTED_VALUE"""),1.0)</f>
        <v>1</v>
      </c>
      <c r="Z133" s="211">
        <f>IFERROR(__xludf.DUMMYFUNCTION("""COMPUTED_VALUE"""),1021.0)</f>
        <v>1021</v>
      </c>
    </row>
    <row r="134">
      <c r="A134" s="210">
        <f>IFERROR(__xludf.DUMMYFUNCTION("""COMPUTED_VALUE"""),44044.0)</f>
        <v>44044</v>
      </c>
      <c r="B134" s="211">
        <f>IFERROR(__xludf.DUMMYFUNCTION("""COMPUTED_VALUE"""),108.0)</f>
        <v>108</v>
      </c>
      <c r="C134" s="211">
        <f>IFERROR(__xludf.DUMMYFUNCTION("""COMPUTED_VALUE"""),120.0)</f>
        <v>120</v>
      </c>
      <c r="D134" s="211">
        <f>IFERROR(__xludf.DUMMYFUNCTION("""COMPUTED_VALUE"""),27989.0)</f>
        <v>27989</v>
      </c>
      <c r="E134" s="211">
        <f>IFERROR(__xludf.DUMMYFUNCTION("""COMPUTED_VALUE"""),4288.0)</f>
        <v>4288</v>
      </c>
      <c r="F134" s="151">
        <f>IFERROR(__xludf.DUMMYFUNCTION("""COMPUTED_VALUE"""),350516.0)</f>
        <v>350516</v>
      </c>
      <c r="G134" s="151">
        <f>IFERROR(__xludf.DUMMYFUNCTION("""COMPUTED_VALUE"""),4396.0)</f>
        <v>4396</v>
      </c>
      <c r="H134" s="151">
        <f>IFERROR(__xludf.DUMMYFUNCTION("""COMPUTED_VALUE"""),378505.0)</f>
        <v>378505</v>
      </c>
      <c r="I134" s="211">
        <f>IFERROR(__xludf.DUMMYFUNCTION("""COMPUTED_VALUE"""),88.0)</f>
        <v>88</v>
      </c>
      <c r="J134" s="211">
        <f>IFERROR(__xludf.DUMMYFUNCTION("""COMPUTED_VALUE"""),91.0)</f>
        <v>91</v>
      </c>
      <c r="K134" s="211">
        <f>IFERROR(__xludf.DUMMYFUNCTION("""COMPUTED_VALUE"""),19225.0)</f>
        <v>19225</v>
      </c>
      <c r="L134" s="211">
        <f>IFERROR(__xludf.DUMMYFUNCTION("""COMPUTED_VALUE"""),1559.0)</f>
        <v>1559</v>
      </c>
      <c r="M134" s="211">
        <f>IFERROR(__xludf.DUMMYFUNCTION("""COMPUTED_VALUE"""),191539.0)</f>
        <v>191539</v>
      </c>
      <c r="N134" s="211">
        <f>IFERROR(__xludf.DUMMYFUNCTION("""COMPUTED_VALUE"""),210764.0)</f>
        <v>210764</v>
      </c>
      <c r="O134" s="211">
        <f>IFERROR(__xludf.DUMMYFUNCTION("""COMPUTED_VALUE"""),7.0)</f>
        <v>7</v>
      </c>
      <c r="P134" s="211">
        <f>IFERROR(__xludf.DUMMYFUNCTION("""COMPUTED_VALUE"""),2269.0)</f>
        <v>2269</v>
      </c>
      <c r="Q134" s="211">
        <f>IFERROR(__xludf.DUMMYFUNCTION("""COMPUTED_VALUE"""),2.0)</f>
        <v>2</v>
      </c>
      <c r="R134" s="211">
        <f>IFERROR(__xludf.DUMMYFUNCTION("""COMPUTED_VALUE"""),1864.0)</f>
        <v>1864</v>
      </c>
      <c r="S134" s="211">
        <f>IFERROR(__xludf.DUMMYFUNCTION("""COMPUTED_VALUE"""),0.0)</f>
        <v>0</v>
      </c>
      <c r="T134" s="211">
        <f>IFERROR(__xludf.DUMMYFUNCTION("""COMPUTED_VALUE"""),316.0)</f>
        <v>316</v>
      </c>
      <c r="U134" s="211">
        <f>IFERROR(__xludf.DUMMYFUNCTION("""COMPUTED_VALUE"""),89.0)</f>
        <v>89</v>
      </c>
      <c r="V134" s="211">
        <f>IFERROR(__xludf.DUMMYFUNCTION("""COMPUTED_VALUE"""),86.0)</f>
        <v>86</v>
      </c>
      <c r="W134" s="211">
        <f>IFERROR(__xludf.DUMMYFUNCTION("""COMPUTED_VALUE"""),14.0)</f>
        <v>14</v>
      </c>
      <c r="X134" s="211">
        <f>IFERROR(__xludf.DUMMYFUNCTION("""COMPUTED_VALUE"""),7.0)</f>
        <v>7</v>
      </c>
      <c r="Y134" s="211">
        <f>IFERROR(__xludf.DUMMYFUNCTION("""COMPUTED_VALUE"""),1.0)</f>
        <v>1</v>
      </c>
      <c r="Z134" s="211">
        <f>IFERROR(__xludf.DUMMYFUNCTION("""COMPUTED_VALUE"""),1022.0)</f>
        <v>1022</v>
      </c>
    </row>
    <row r="135">
      <c r="A135" s="210">
        <f>IFERROR(__xludf.DUMMYFUNCTION("""COMPUTED_VALUE"""),44045.0)</f>
        <v>44045</v>
      </c>
      <c r="B135" s="211">
        <f>IFERROR(__xludf.DUMMYFUNCTION("""COMPUTED_VALUE"""),84.0)</f>
        <v>84</v>
      </c>
      <c r="C135" s="211">
        <f>IFERROR(__xludf.DUMMYFUNCTION("""COMPUTED_VALUE"""),108.0)</f>
        <v>108</v>
      </c>
      <c r="D135" s="211">
        <f>IFERROR(__xludf.DUMMYFUNCTION("""COMPUTED_VALUE"""),28073.0)</f>
        <v>28073</v>
      </c>
      <c r="E135" s="211">
        <f>IFERROR(__xludf.DUMMYFUNCTION("""COMPUTED_VALUE"""),2802.0)</f>
        <v>2802</v>
      </c>
      <c r="F135" s="151">
        <f>IFERROR(__xludf.DUMMYFUNCTION("""COMPUTED_VALUE"""),353318.0)</f>
        <v>353318</v>
      </c>
      <c r="G135" s="151">
        <f>IFERROR(__xludf.DUMMYFUNCTION("""COMPUTED_VALUE"""),2886.0)</f>
        <v>2886</v>
      </c>
      <c r="H135" s="151">
        <f>IFERROR(__xludf.DUMMYFUNCTION("""COMPUTED_VALUE"""),381391.0)</f>
        <v>381391</v>
      </c>
      <c r="I135" s="211">
        <f>IFERROR(__xludf.DUMMYFUNCTION("""COMPUTED_VALUE"""),62.0)</f>
        <v>62</v>
      </c>
      <c r="J135" s="211">
        <f>IFERROR(__xludf.DUMMYFUNCTION("""COMPUTED_VALUE"""),80.0)</f>
        <v>80</v>
      </c>
      <c r="K135" s="211">
        <f>IFERROR(__xludf.DUMMYFUNCTION("""COMPUTED_VALUE"""),19287.0)</f>
        <v>19287</v>
      </c>
      <c r="L135" s="211">
        <f>IFERROR(__xludf.DUMMYFUNCTION("""COMPUTED_VALUE"""),1274.0)</f>
        <v>1274</v>
      </c>
      <c r="M135" s="211">
        <f>IFERROR(__xludf.DUMMYFUNCTION("""COMPUTED_VALUE"""),192813.0)</f>
        <v>192813</v>
      </c>
      <c r="N135" s="211">
        <f>IFERROR(__xludf.DUMMYFUNCTION("""COMPUTED_VALUE"""),212100.0)</f>
        <v>212100</v>
      </c>
      <c r="O135" s="211">
        <f>IFERROR(__xludf.DUMMYFUNCTION("""COMPUTED_VALUE"""),12.0)</f>
        <v>12</v>
      </c>
      <c r="P135" s="211">
        <f>IFERROR(__xludf.DUMMYFUNCTION("""COMPUTED_VALUE"""),2281.0)</f>
        <v>2281</v>
      </c>
      <c r="Q135" s="211">
        <f>IFERROR(__xludf.DUMMYFUNCTION("""COMPUTED_VALUE"""),12.0)</f>
        <v>12</v>
      </c>
      <c r="R135" s="211">
        <f>IFERROR(__xludf.DUMMYFUNCTION("""COMPUTED_VALUE"""),1876.0)</f>
        <v>1876</v>
      </c>
      <c r="S135" s="211">
        <f>IFERROR(__xludf.DUMMYFUNCTION("""COMPUTED_VALUE"""),2.0)</f>
        <v>2</v>
      </c>
      <c r="T135" s="211">
        <f>IFERROR(__xludf.DUMMYFUNCTION("""COMPUTED_VALUE"""),318.0)</f>
        <v>318</v>
      </c>
      <c r="U135" s="211">
        <f>IFERROR(__xludf.DUMMYFUNCTION("""COMPUTED_VALUE"""),87.0)</f>
        <v>87</v>
      </c>
      <c r="V135" s="211">
        <f>IFERROR(__xludf.DUMMYFUNCTION("""COMPUTED_VALUE"""),87.0)</f>
        <v>87</v>
      </c>
      <c r="W135" s="211">
        <f>IFERROR(__xludf.DUMMYFUNCTION("""COMPUTED_VALUE"""),14.0)</f>
        <v>14</v>
      </c>
      <c r="X135" s="211">
        <f>IFERROR(__xludf.DUMMYFUNCTION("""COMPUTED_VALUE"""),8.0)</f>
        <v>8</v>
      </c>
      <c r="Y135" s="211">
        <f>IFERROR(__xludf.DUMMYFUNCTION("""COMPUTED_VALUE"""),2.0)</f>
        <v>2</v>
      </c>
      <c r="Z135" s="211">
        <f>IFERROR(__xludf.DUMMYFUNCTION("""COMPUTED_VALUE"""),1024.0)</f>
        <v>1024</v>
      </c>
    </row>
    <row r="136">
      <c r="A136" s="210">
        <f>IFERROR(__xludf.DUMMYFUNCTION("""COMPUTED_VALUE"""),44046.0)</f>
        <v>44046</v>
      </c>
      <c r="B136" s="211">
        <f>IFERROR(__xludf.DUMMYFUNCTION("""COMPUTED_VALUE"""),187.0)</f>
        <v>187</v>
      </c>
      <c r="C136" s="211">
        <f>IFERROR(__xludf.DUMMYFUNCTION("""COMPUTED_VALUE"""),126.0)</f>
        <v>126</v>
      </c>
      <c r="D136" s="211">
        <f>IFERROR(__xludf.DUMMYFUNCTION("""COMPUTED_VALUE"""),28260.0)</f>
        <v>28260</v>
      </c>
      <c r="E136" s="211">
        <f>IFERROR(__xludf.DUMMYFUNCTION("""COMPUTED_VALUE"""),5238.0)</f>
        <v>5238</v>
      </c>
      <c r="F136" s="151">
        <f>IFERROR(__xludf.DUMMYFUNCTION("""COMPUTED_VALUE"""),358556.0)</f>
        <v>358556</v>
      </c>
      <c r="G136" s="151">
        <f>IFERROR(__xludf.DUMMYFUNCTION("""COMPUTED_VALUE"""),5425.0)</f>
        <v>5425</v>
      </c>
      <c r="H136" s="151">
        <f>IFERROR(__xludf.DUMMYFUNCTION("""COMPUTED_VALUE"""),386816.0)</f>
        <v>386816</v>
      </c>
      <c r="I136" s="211">
        <f>IFERROR(__xludf.DUMMYFUNCTION("""COMPUTED_VALUE"""),150.0)</f>
        <v>150</v>
      </c>
      <c r="J136" s="211">
        <f>IFERROR(__xludf.DUMMYFUNCTION("""COMPUTED_VALUE"""),100.0)</f>
        <v>100</v>
      </c>
      <c r="K136" s="211">
        <f>IFERROR(__xludf.DUMMYFUNCTION("""COMPUTED_VALUE"""),19437.0)</f>
        <v>19437</v>
      </c>
      <c r="L136" s="211">
        <f>IFERROR(__xludf.DUMMYFUNCTION("""COMPUTED_VALUE"""),2202.0)</f>
        <v>2202</v>
      </c>
      <c r="M136" s="211">
        <f>IFERROR(__xludf.DUMMYFUNCTION("""COMPUTED_VALUE"""),195015.0)</f>
        <v>195015</v>
      </c>
      <c r="N136" s="211">
        <f>IFERROR(__xludf.DUMMYFUNCTION("""COMPUTED_VALUE"""),214452.0)</f>
        <v>214452</v>
      </c>
      <c r="O136" s="211">
        <f>IFERROR(__xludf.DUMMYFUNCTION("""COMPUTED_VALUE"""),13.0)</f>
        <v>13</v>
      </c>
      <c r="P136" s="211">
        <f>IFERROR(__xludf.DUMMYFUNCTION("""COMPUTED_VALUE"""),2294.0)</f>
        <v>2294</v>
      </c>
      <c r="Q136" s="211">
        <f>IFERROR(__xludf.DUMMYFUNCTION("""COMPUTED_VALUE"""),12.0)</f>
        <v>12</v>
      </c>
      <c r="R136" s="211">
        <f>IFERROR(__xludf.DUMMYFUNCTION("""COMPUTED_VALUE"""),1888.0)</f>
        <v>1888</v>
      </c>
      <c r="S136" s="211">
        <f>IFERROR(__xludf.DUMMYFUNCTION("""COMPUTED_VALUE"""),0.0)</f>
        <v>0</v>
      </c>
      <c r="T136" s="211">
        <f>IFERROR(__xludf.DUMMYFUNCTION("""COMPUTED_VALUE"""),318.0)</f>
        <v>318</v>
      </c>
      <c r="U136" s="211">
        <f>IFERROR(__xludf.DUMMYFUNCTION("""COMPUTED_VALUE"""),88.0)</f>
        <v>88</v>
      </c>
      <c r="V136" s="211">
        <f>IFERROR(__xludf.DUMMYFUNCTION("""COMPUTED_VALUE"""),88.0)</f>
        <v>88</v>
      </c>
      <c r="W136" s="211">
        <f>IFERROR(__xludf.DUMMYFUNCTION("""COMPUTED_VALUE"""),16.0)</f>
        <v>16</v>
      </c>
      <c r="X136" s="211">
        <f>IFERROR(__xludf.DUMMYFUNCTION("""COMPUTED_VALUE"""),7.0)</f>
        <v>7</v>
      </c>
      <c r="Y136" s="211">
        <f>IFERROR(__xludf.DUMMYFUNCTION("""COMPUTED_VALUE"""),1.0)</f>
        <v>1</v>
      </c>
      <c r="Z136" s="211">
        <f>IFERROR(__xludf.DUMMYFUNCTION("""COMPUTED_VALUE"""),1025.0)</f>
        <v>1025</v>
      </c>
    </row>
    <row r="137">
      <c r="A137" s="210">
        <f>IFERROR(__xludf.DUMMYFUNCTION("""COMPUTED_VALUE"""),44047.0)</f>
        <v>44047</v>
      </c>
      <c r="B137" s="211">
        <f>IFERROR(__xludf.DUMMYFUNCTION("""COMPUTED_VALUE"""),126.0)</f>
        <v>126</v>
      </c>
      <c r="C137" s="211">
        <f>IFERROR(__xludf.DUMMYFUNCTION("""COMPUTED_VALUE"""),132.0)</f>
        <v>132</v>
      </c>
      <c r="D137" s="211">
        <f>IFERROR(__xludf.DUMMYFUNCTION("""COMPUTED_VALUE"""),28386.0)</f>
        <v>28386</v>
      </c>
      <c r="E137" s="211">
        <f>IFERROR(__xludf.DUMMYFUNCTION("""COMPUTED_VALUE"""),3691.0)</f>
        <v>3691</v>
      </c>
      <c r="F137" s="151">
        <f>IFERROR(__xludf.DUMMYFUNCTION("""COMPUTED_VALUE"""),362247.0)</f>
        <v>362247</v>
      </c>
      <c r="G137" s="151">
        <f>IFERROR(__xludf.DUMMYFUNCTION("""COMPUTED_VALUE"""),3817.0)</f>
        <v>3817</v>
      </c>
      <c r="H137" s="151">
        <f>IFERROR(__xludf.DUMMYFUNCTION("""COMPUTED_VALUE"""),390633.0)</f>
        <v>390633</v>
      </c>
      <c r="I137" s="211">
        <f>IFERROR(__xludf.DUMMYFUNCTION("""COMPUTED_VALUE"""),99.0)</f>
        <v>99</v>
      </c>
      <c r="J137" s="211">
        <f>IFERROR(__xludf.DUMMYFUNCTION("""COMPUTED_VALUE"""),104.0)</f>
        <v>104</v>
      </c>
      <c r="K137" s="211">
        <f>IFERROR(__xludf.DUMMYFUNCTION("""COMPUTED_VALUE"""),19536.0)</f>
        <v>19536</v>
      </c>
      <c r="L137" s="211">
        <f>IFERROR(__xludf.DUMMYFUNCTION("""COMPUTED_VALUE"""),1772.0)</f>
        <v>1772</v>
      </c>
      <c r="M137" s="211">
        <f>IFERROR(__xludf.DUMMYFUNCTION("""COMPUTED_VALUE"""),196787.0)</f>
        <v>196787</v>
      </c>
      <c r="N137" s="211">
        <f>IFERROR(__xludf.DUMMYFUNCTION("""COMPUTED_VALUE"""),216323.0)</f>
        <v>216323</v>
      </c>
      <c r="O137" s="211">
        <f>IFERROR(__xludf.DUMMYFUNCTION("""COMPUTED_VALUE"""),8.0)</f>
        <v>8</v>
      </c>
      <c r="P137" s="211">
        <f>IFERROR(__xludf.DUMMYFUNCTION("""COMPUTED_VALUE"""),2302.0)</f>
        <v>2302</v>
      </c>
      <c r="Q137" s="211">
        <f>IFERROR(__xludf.DUMMYFUNCTION("""COMPUTED_VALUE"""),6.0)</f>
        <v>6</v>
      </c>
      <c r="R137" s="211">
        <f>IFERROR(__xludf.DUMMYFUNCTION("""COMPUTED_VALUE"""),1894.0)</f>
        <v>1894</v>
      </c>
      <c r="S137" s="211">
        <f>IFERROR(__xludf.DUMMYFUNCTION("""COMPUTED_VALUE"""),1.0)</f>
        <v>1</v>
      </c>
      <c r="T137" s="211">
        <f>IFERROR(__xludf.DUMMYFUNCTION("""COMPUTED_VALUE"""),319.0)</f>
        <v>319</v>
      </c>
      <c r="U137" s="211">
        <f>IFERROR(__xludf.DUMMYFUNCTION("""COMPUTED_VALUE"""),89.0)</f>
        <v>89</v>
      </c>
      <c r="V137" s="211">
        <f>IFERROR(__xludf.DUMMYFUNCTION("""COMPUTED_VALUE"""),88.0)</f>
        <v>88</v>
      </c>
      <c r="W137" s="211">
        <f>IFERROR(__xludf.DUMMYFUNCTION("""COMPUTED_VALUE"""),12.0)</f>
        <v>12</v>
      </c>
      <c r="X137" s="211">
        <f>IFERROR(__xludf.DUMMYFUNCTION("""COMPUTED_VALUE"""),5.0)</f>
        <v>5</v>
      </c>
      <c r="Y137" s="211">
        <f>IFERROR(__xludf.DUMMYFUNCTION("""COMPUTED_VALUE"""),2.0)</f>
        <v>2</v>
      </c>
      <c r="Z137" s="211">
        <f>IFERROR(__xludf.DUMMYFUNCTION("""COMPUTED_VALUE"""),1027.0)</f>
        <v>1027</v>
      </c>
    </row>
    <row r="138">
      <c r="A138" s="210">
        <f>IFERROR(__xludf.DUMMYFUNCTION("""COMPUTED_VALUE"""),44048.0)</f>
        <v>44048</v>
      </c>
      <c r="B138" s="211">
        <f>IFERROR(__xludf.DUMMYFUNCTION("""COMPUTED_VALUE"""),148.0)</f>
        <v>148</v>
      </c>
      <c r="C138" s="211">
        <f>IFERROR(__xludf.DUMMYFUNCTION("""COMPUTED_VALUE"""),154.0)</f>
        <v>154</v>
      </c>
      <c r="D138" s="211">
        <f>IFERROR(__xludf.DUMMYFUNCTION("""COMPUTED_VALUE"""),28534.0)</f>
        <v>28534</v>
      </c>
      <c r="E138" s="211">
        <f>IFERROR(__xludf.DUMMYFUNCTION("""COMPUTED_VALUE"""),5932.0)</f>
        <v>5932</v>
      </c>
      <c r="F138" s="151">
        <f>IFERROR(__xludf.DUMMYFUNCTION("""COMPUTED_VALUE"""),368179.0)</f>
        <v>368179</v>
      </c>
      <c r="G138" s="151">
        <f>IFERROR(__xludf.DUMMYFUNCTION("""COMPUTED_VALUE"""),6080.0)</f>
        <v>6080</v>
      </c>
      <c r="H138" s="151">
        <f>IFERROR(__xludf.DUMMYFUNCTION("""COMPUTED_VALUE"""),396713.0)</f>
        <v>396713</v>
      </c>
      <c r="I138" s="211">
        <f>IFERROR(__xludf.DUMMYFUNCTION("""COMPUTED_VALUE"""),118.0)</f>
        <v>118</v>
      </c>
      <c r="J138" s="211">
        <f>IFERROR(__xludf.DUMMYFUNCTION("""COMPUTED_VALUE"""),122.0)</f>
        <v>122</v>
      </c>
      <c r="K138" s="211">
        <f>IFERROR(__xludf.DUMMYFUNCTION("""COMPUTED_VALUE"""),19654.0)</f>
        <v>19654</v>
      </c>
      <c r="L138" s="211">
        <f>IFERROR(__xludf.DUMMYFUNCTION("""COMPUTED_VALUE"""),2472.0)</f>
        <v>2472</v>
      </c>
      <c r="M138" s="211">
        <f>IFERROR(__xludf.DUMMYFUNCTION("""COMPUTED_VALUE"""),199259.0)</f>
        <v>199259</v>
      </c>
      <c r="N138" s="211">
        <f>IFERROR(__xludf.DUMMYFUNCTION("""COMPUTED_VALUE"""),218913.0)</f>
        <v>218913</v>
      </c>
      <c r="O138" s="211">
        <f>IFERROR(__xludf.DUMMYFUNCTION("""COMPUTED_VALUE"""),12.0)</f>
        <v>12</v>
      </c>
      <c r="P138" s="211">
        <f>IFERROR(__xludf.DUMMYFUNCTION("""COMPUTED_VALUE"""),2314.0)</f>
        <v>2314</v>
      </c>
      <c r="Q138" s="211">
        <f>IFERROR(__xludf.DUMMYFUNCTION("""COMPUTED_VALUE"""),10.0)</f>
        <v>10</v>
      </c>
      <c r="R138" s="211">
        <f>IFERROR(__xludf.DUMMYFUNCTION("""COMPUTED_VALUE"""),1904.0)</f>
        <v>1904</v>
      </c>
      <c r="S138" s="211">
        <f>IFERROR(__xludf.DUMMYFUNCTION("""COMPUTED_VALUE"""),1.0)</f>
        <v>1</v>
      </c>
      <c r="T138" s="211">
        <f>IFERROR(__xludf.DUMMYFUNCTION("""COMPUTED_VALUE"""),320.0)</f>
        <v>320</v>
      </c>
      <c r="U138" s="211">
        <f>IFERROR(__xludf.DUMMYFUNCTION("""COMPUTED_VALUE"""),90.0)</f>
        <v>90</v>
      </c>
      <c r="V138" s="211">
        <f>IFERROR(__xludf.DUMMYFUNCTION("""COMPUTED_VALUE"""),89.0)</f>
        <v>89</v>
      </c>
      <c r="W138" s="211">
        <f>IFERROR(__xludf.DUMMYFUNCTION("""COMPUTED_VALUE"""),10.0)</f>
        <v>10</v>
      </c>
      <c r="X138" s="211">
        <f>IFERROR(__xludf.DUMMYFUNCTION("""COMPUTED_VALUE"""),5.0)</f>
        <v>5</v>
      </c>
      <c r="Y138" s="211">
        <f>IFERROR(__xludf.DUMMYFUNCTION("""COMPUTED_VALUE"""),2.0)</f>
        <v>2</v>
      </c>
      <c r="Z138" s="211">
        <f>IFERROR(__xludf.DUMMYFUNCTION("""COMPUTED_VALUE"""),1029.0)</f>
        <v>1029</v>
      </c>
    </row>
    <row r="139">
      <c r="A139" s="210">
        <f>IFERROR(__xludf.DUMMYFUNCTION("""COMPUTED_VALUE"""),44049.0)</f>
        <v>44049</v>
      </c>
      <c r="B139" s="211">
        <f>IFERROR(__xludf.DUMMYFUNCTION("""COMPUTED_VALUE"""),169.0)</f>
        <v>169</v>
      </c>
      <c r="C139" s="211">
        <f>IFERROR(__xludf.DUMMYFUNCTION("""COMPUTED_VALUE"""),148.0)</f>
        <v>148</v>
      </c>
      <c r="D139" s="211">
        <f>IFERROR(__xludf.DUMMYFUNCTION("""COMPUTED_VALUE"""),28703.0)</f>
        <v>28703</v>
      </c>
      <c r="E139" s="211">
        <f>IFERROR(__xludf.DUMMYFUNCTION("""COMPUTED_VALUE"""),5533.0)</f>
        <v>5533</v>
      </c>
      <c r="F139" s="151">
        <f>IFERROR(__xludf.DUMMYFUNCTION("""COMPUTED_VALUE"""),373712.0)</f>
        <v>373712</v>
      </c>
      <c r="G139" s="151">
        <f>IFERROR(__xludf.DUMMYFUNCTION("""COMPUTED_VALUE"""),5702.0)</f>
        <v>5702</v>
      </c>
      <c r="H139" s="151">
        <f>IFERROR(__xludf.DUMMYFUNCTION("""COMPUTED_VALUE"""),402415.0)</f>
        <v>402415</v>
      </c>
      <c r="I139" s="211">
        <f>IFERROR(__xludf.DUMMYFUNCTION("""COMPUTED_VALUE"""),121.0)</f>
        <v>121</v>
      </c>
      <c r="J139" s="211">
        <f>IFERROR(__xludf.DUMMYFUNCTION("""COMPUTED_VALUE"""),113.0)</f>
        <v>113</v>
      </c>
      <c r="K139" s="211">
        <f>IFERROR(__xludf.DUMMYFUNCTION("""COMPUTED_VALUE"""),19775.0)</f>
        <v>19775</v>
      </c>
      <c r="L139" s="211">
        <f>IFERROR(__xludf.DUMMYFUNCTION("""COMPUTED_VALUE"""),2408.0)</f>
        <v>2408</v>
      </c>
      <c r="M139" s="211">
        <f>IFERROR(__xludf.DUMMYFUNCTION("""COMPUTED_VALUE"""),201667.0)</f>
        <v>201667</v>
      </c>
      <c r="N139" s="211">
        <f>IFERROR(__xludf.DUMMYFUNCTION("""COMPUTED_VALUE"""),221442.0)</f>
        <v>221442</v>
      </c>
      <c r="O139" s="211">
        <f>IFERROR(__xludf.DUMMYFUNCTION("""COMPUTED_VALUE"""),7.0)</f>
        <v>7</v>
      </c>
      <c r="P139" s="211">
        <f>IFERROR(__xludf.DUMMYFUNCTION("""COMPUTED_VALUE"""),2321.0)</f>
        <v>2321</v>
      </c>
      <c r="Q139" s="211">
        <f>IFERROR(__xludf.DUMMYFUNCTION("""COMPUTED_VALUE"""),9.0)</f>
        <v>9</v>
      </c>
      <c r="R139" s="211">
        <f>IFERROR(__xludf.DUMMYFUNCTION("""COMPUTED_VALUE"""),1913.0)</f>
        <v>1913</v>
      </c>
      <c r="S139" s="211">
        <f>IFERROR(__xludf.DUMMYFUNCTION("""COMPUTED_VALUE"""),0.0)</f>
        <v>0</v>
      </c>
      <c r="T139" s="211">
        <f>IFERROR(__xludf.DUMMYFUNCTION("""COMPUTED_VALUE"""),320.0)</f>
        <v>320</v>
      </c>
      <c r="U139" s="211">
        <f>IFERROR(__xludf.DUMMYFUNCTION("""COMPUTED_VALUE"""),88.0)</f>
        <v>88</v>
      </c>
      <c r="V139" s="211">
        <f>IFERROR(__xludf.DUMMYFUNCTION("""COMPUTED_VALUE"""),89.0)</f>
        <v>89</v>
      </c>
      <c r="W139" s="211">
        <f>IFERROR(__xludf.DUMMYFUNCTION("""COMPUTED_VALUE"""),9.0)</f>
        <v>9</v>
      </c>
      <c r="X139" s="211">
        <f>IFERROR(__xludf.DUMMYFUNCTION("""COMPUTED_VALUE"""),4.0)</f>
        <v>4</v>
      </c>
      <c r="Y139" s="211">
        <f>IFERROR(__xludf.DUMMYFUNCTION("""COMPUTED_VALUE"""),0.0)</f>
        <v>0</v>
      </c>
      <c r="Z139" s="211">
        <f>IFERROR(__xludf.DUMMYFUNCTION("""COMPUTED_VALUE"""),1029.0)</f>
        <v>1029</v>
      </c>
    </row>
    <row r="140">
      <c r="A140" s="210">
        <f>IFERROR(__xludf.DUMMYFUNCTION("""COMPUTED_VALUE"""),44050.0)</f>
        <v>44050</v>
      </c>
      <c r="B140" s="211">
        <f>IFERROR(__xludf.DUMMYFUNCTION("""COMPUTED_VALUE"""),122.0)</f>
        <v>122</v>
      </c>
      <c r="C140" s="211">
        <f>IFERROR(__xludf.DUMMYFUNCTION("""COMPUTED_VALUE"""),146.0)</f>
        <v>146</v>
      </c>
      <c r="D140" s="211">
        <f>IFERROR(__xludf.DUMMYFUNCTION("""COMPUTED_VALUE"""),28825.0)</f>
        <v>28825</v>
      </c>
      <c r="E140" s="211">
        <f>IFERROR(__xludf.DUMMYFUNCTION("""COMPUTED_VALUE"""),4845.0)</f>
        <v>4845</v>
      </c>
      <c r="F140" s="151">
        <f>IFERROR(__xludf.DUMMYFUNCTION("""COMPUTED_VALUE"""),378557.0)</f>
        <v>378557</v>
      </c>
      <c r="G140" s="151">
        <f>IFERROR(__xludf.DUMMYFUNCTION("""COMPUTED_VALUE"""),4967.0)</f>
        <v>4967</v>
      </c>
      <c r="H140" s="151">
        <f>IFERROR(__xludf.DUMMYFUNCTION("""COMPUTED_VALUE"""),407382.0)</f>
        <v>407382</v>
      </c>
      <c r="I140" s="211">
        <f>IFERROR(__xludf.DUMMYFUNCTION("""COMPUTED_VALUE"""),87.0)</f>
        <v>87</v>
      </c>
      <c r="J140" s="211">
        <f>IFERROR(__xludf.DUMMYFUNCTION("""COMPUTED_VALUE"""),109.0)</f>
        <v>109</v>
      </c>
      <c r="K140" s="211">
        <f>IFERROR(__xludf.DUMMYFUNCTION("""COMPUTED_VALUE"""),19862.0)</f>
        <v>19862</v>
      </c>
      <c r="L140" s="211">
        <f>IFERROR(__xludf.DUMMYFUNCTION("""COMPUTED_VALUE"""),2146.0)</f>
        <v>2146</v>
      </c>
      <c r="M140" s="211">
        <f>IFERROR(__xludf.DUMMYFUNCTION("""COMPUTED_VALUE"""),203813.0)</f>
        <v>203813</v>
      </c>
      <c r="N140" s="211">
        <f>IFERROR(__xludf.DUMMYFUNCTION("""COMPUTED_VALUE"""),223675.0)</f>
        <v>223675</v>
      </c>
      <c r="O140" s="211">
        <f>IFERROR(__xludf.DUMMYFUNCTION("""COMPUTED_VALUE"""),13.0)</f>
        <v>13</v>
      </c>
      <c r="P140" s="211">
        <f>IFERROR(__xludf.DUMMYFUNCTION("""COMPUTED_VALUE"""),2334.0)</f>
        <v>2334</v>
      </c>
      <c r="Q140" s="211">
        <f>IFERROR(__xludf.DUMMYFUNCTION("""COMPUTED_VALUE"""),10.0)</f>
        <v>10</v>
      </c>
      <c r="R140" s="211">
        <f>IFERROR(__xludf.DUMMYFUNCTION("""COMPUTED_VALUE"""),1923.0)</f>
        <v>1923</v>
      </c>
      <c r="S140" s="211">
        <f>IFERROR(__xludf.DUMMYFUNCTION("""COMPUTED_VALUE"""),1.0)</f>
        <v>1</v>
      </c>
      <c r="T140" s="211">
        <f>IFERROR(__xludf.DUMMYFUNCTION("""COMPUTED_VALUE"""),321.0)</f>
        <v>321</v>
      </c>
      <c r="U140" s="211">
        <f>IFERROR(__xludf.DUMMYFUNCTION("""COMPUTED_VALUE"""),90.0)</f>
        <v>90</v>
      </c>
      <c r="V140" s="211">
        <f>IFERROR(__xludf.DUMMYFUNCTION("""COMPUTED_VALUE"""),89.0)</f>
        <v>89</v>
      </c>
      <c r="W140" s="211">
        <f>IFERROR(__xludf.DUMMYFUNCTION("""COMPUTED_VALUE"""),9.0)</f>
        <v>9</v>
      </c>
      <c r="X140" s="211">
        <f>IFERROR(__xludf.DUMMYFUNCTION("""COMPUTED_VALUE"""),3.0)</f>
        <v>3</v>
      </c>
      <c r="Y140" s="211">
        <f>IFERROR(__xludf.DUMMYFUNCTION("""COMPUTED_VALUE"""),2.0)</f>
        <v>2</v>
      </c>
      <c r="Z140" s="211">
        <f>IFERROR(__xludf.DUMMYFUNCTION("""COMPUTED_VALUE"""),1031.0)</f>
        <v>1031</v>
      </c>
    </row>
    <row r="141">
      <c r="A141" s="210">
        <f>IFERROR(__xludf.DUMMYFUNCTION("""COMPUTED_VALUE"""),44051.0)</f>
        <v>44051</v>
      </c>
      <c r="B141" s="211">
        <f>IFERROR(__xludf.DUMMYFUNCTION("""COMPUTED_VALUE"""),123.0)</f>
        <v>123</v>
      </c>
      <c r="C141" s="211">
        <f>IFERROR(__xludf.DUMMYFUNCTION("""COMPUTED_VALUE"""),138.0)</f>
        <v>138</v>
      </c>
      <c r="D141" s="211">
        <f>IFERROR(__xludf.DUMMYFUNCTION("""COMPUTED_VALUE"""),28948.0)</f>
        <v>28948</v>
      </c>
      <c r="E141" s="211">
        <f>IFERROR(__xludf.DUMMYFUNCTION("""COMPUTED_VALUE"""),4106.0)</f>
        <v>4106</v>
      </c>
      <c r="F141" s="151">
        <f>IFERROR(__xludf.DUMMYFUNCTION("""COMPUTED_VALUE"""),382663.0)</f>
        <v>382663</v>
      </c>
      <c r="G141" s="151">
        <f>IFERROR(__xludf.DUMMYFUNCTION("""COMPUTED_VALUE"""),4229.0)</f>
        <v>4229</v>
      </c>
      <c r="H141" s="151">
        <f>IFERROR(__xludf.DUMMYFUNCTION("""COMPUTED_VALUE"""),411611.0)</f>
        <v>411611</v>
      </c>
      <c r="I141" s="211">
        <f>IFERROR(__xludf.DUMMYFUNCTION("""COMPUTED_VALUE"""),92.0)</f>
        <v>92</v>
      </c>
      <c r="J141" s="211">
        <f>IFERROR(__xludf.DUMMYFUNCTION("""COMPUTED_VALUE"""),100.0)</f>
        <v>100</v>
      </c>
      <c r="K141" s="211">
        <f>IFERROR(__xludf.DUMMYFUNCTION("""COMPUTED_VALUE"""),19954.0)</f>
        <v>19954</v>
      </c>
      <c r="L141" s="211">
        <f>IFERROR(__xludf.DUMMYFUNCTION("""COMPUTED_VALUE"""),1780.0)</f>
        <v>1780</v>
      </c>
      <c r="M141" s="211">
        <f>IFERROR(__xludf.DUMMYFUNCTION("""COMPUTED_VALUE"""),205593.0)</f>
        <v>205593</v>
      </c>
      <c r="N141" s="211">
        <f>IFERROR(__xludf.DUMMYFUNCTION("""COMPUTED_VALUE"""),225547.0)</f>
        <v>225547</v>
      </c>
      <c r="O141" s="211">
        <f>IFERROR(__xludf.DUMMYFUNCTION("""COMPUTED_VALUE"""),19.0)</f>
        <v>19</v>
      </c>
      <c r="P141" s="211">
        <f>IFERROR(__xludf.DUMMYFUNCTION("""COMPUTED_VALUE"""),2353.0)</f>
        <v>2353</v>
      </c>
      <c r="Q141" s="211">
        <f>IFERROR(__xludf.DUMMYFUNCTION("""COMPUTED_VALUE"""),6.0)</f>
        <v>6</v>
      </c>
      <c r="R141" s="211">
        <f>IFERROR(__xludf.DUMMYFUNCTION("""COMPUTED_VALUE"""),1929.0)</f>
        <v>1929</v>
      </c>
      <c r="S141" s="211">
        <f>IFERROR(__xludf.DUMMYFUNCTION("""COMPUTED_VALUE"""),1.0)</f>
        <v>1</v>
      </c>
      <c r="T141" s="211">
        <f>IFERROR(__xludf.DUMMYFUNCTION("""COMPUTED_VALUE"""),322.0)</f>
        <v>322</v>
      </c>
      <c r="U141" s="211">
        <f>IFERROR(__xludf.DUMMYFUNCTION("""COMPUTED_VALUE"""),102.0)</f>
        <v>102</v>
      </c>
      <c r="V141" s="211">
        <f>IFERROR(__xludf.DUMMYFUNCTION("""COMPUTED_VALUE"""),93.0)</f>
        <v>93</v>
      </c>
      <c r="W141" s="211">
        <f>IFERROR(__xludf.DUMMYFUNCTION("""COMPUTED_VALUE"""),8.0)</f>
        <v>8</v>
      </c>
      <c r="X141" s="211">
        <f>IFERROR(__xludf.DUMMYFUNCTION("""COMPUTED_VALUE"""),3.0)</f>
        <v>3</v>
      </c>
      <c r="Y141" s="211">
        <f>IFERROR(__xludf.DUMMYFUNCTION("""COMPUTED_VALUE"""),1.0)</f>
        <v>1</v>
      </c>
      <c r="Z141" s="211">
        <f>IFERROR(__xludf.DUMMYFUNCTION("""COMPUTED_VALUE"""),1032.0)</f>
        <v>1032</v>
      </c>
    </row>
    <row r="142">
      <c r="A142" s="210">
        <f>IFERROR(__xludf.DUMMYFUNCTION("""COMPUTED_VALUE"""),44052.0)</f>
        <v>44052</v>
      </c>
      <c r="B142" s="211">
        <f>IFERROR(__xludf.DUMMYFUNCTION("""COMPUTED_VALUE"""),42.0)</f>
        <v>42</v>
      </c>
      <c r="C142" s="211">
        <f>IFERROR(__xludf.DUMMYFUNCTION("""COMPUTED_VALUE"""),96.0)</f>
        <v>96</v>
      </c>
      <c r="D142" s="211">
        <f>IFERROR(__xludf.DUMMYFUNCTION("""COMPUTED_VALUE"""),28990.0)</f>
        <v>28990</v>
      </c>
      <c r="E142" s="211">
        <f>IFERROR(__xludf.DUMMYFUNCTION("""COMPUTED_VALUE"""),1722.0)</f>
        <v>1722</v>
      </c>
      <c r="F142" s="151">
        <f>IFERROR(__xludf.DUMMYFUNCTION("""COMPUTED_VALUE"""),384385.0)</f>
        <v>384385</v>
      </c>
      <c r="G142" s="151">
        <f>IFERROR(__xludf.DUMMYFUNCTION("""COMPUTED_VALUE"""),1764.0)</f>
        <v>1764</v>
      </c>
      <c r="H142" s="151">
        <f>IFERROR(__xludf.DUMMYFUNCTION("""COMPUTED_VALUE"""),413375.0)</f>
        <v>413375</v>
      </c>
      <c r="I142" s="211">
        <f>IFERROR(__xludf.DUMMYFUNCTION("""COMPUTED_VALUE"""),35.0)</f>
        <v>35</v>
      </c>
      <c r="J142" s="211">
        <f>IFERROR(__xludf.DUMMYFUNCTION("""COMPUTED_VALUE"""),71.0)</f>
        <v>71</v>
      </c>
      <c r="K142" s="211">
        <f>IFERROR(__xludf.DUMMYFUNCTION("""COMPUTED_VALUE"""),19989.0)</f>
        <v>19989</v>
      </c>
      <c r="L142" s="211">
        <f>IFERROR(__xludf.DUMMYFUNCTION("""COMPUTED_VALUE"""),1075.0)</f>
        <v>1075</v>
      </c>
      <c r="M142" s="211">
        <f>IFERROR(__xludf.DUMMYFUNCTION("""COMPUTED_VALUE"""),206668.0)</f>
        <v>206668</v>
      </c>
      <c r="N142" s="211">
        <f>IFERROR(__xludf.DUMMYFUNCTION("""COMPUTED_VALUE"""),226657.0)</f>
        <v>226657</v>
      </c>
      <c r="O142" s="211">
        <f>IFERROR(__xludf.DUMMYFUNCTION("""COMPUTED_VALUE"""),8.0)</f>
        <v>8</v>
      </c>
      <c r="P142" s="211">
        <f>IFERROR(__xludf.DUMMYFUNCTION("""COMPUTED_VALUE"""),2361.0)</f>
        <v>2361</v>
      </c>
      <c r="Q142" s="211">
        <f>IFERROR(__xludf.DUMMYFUNCTION("""COMPUTED_VALUE"""),10.0)</f>
        <v>10</v>
      </c>
      <c r="R142" s="211">
        <f>IFERROR(__xludf.DUMMYFUNCTION("""COMPUTED_VALUE"""),1939.0)</f>
        <v>1939</v>
      </c>
      <c r="S142" s="211">
        <f>IFERROR(__xludf.DUMMYFUNCTION("""COMPUTED_VALUE"""),0.0)</f>
        <v>0</v>
      </c>
      <c r="T142" s="211">
        <f>IFERROR(__xludf.DUMMYFUNCTION("""COMPUTED_VALUE"""),322.0)</f>
        <v>322</v>
      </c>
      <c r="U142" s="211">
        <f>IFERROR(__xludf.DUMMYFUNCTION("""COMPUTED_VALUE"""),100.0)</f>
        <v>100</v>
      </c>
      <c r="V142" s="211">
        <f>IFERROR(__xludf.DUMMYFUNCTION("""COMPUTED_VALUE"""),97.0)</f>
        <v>97</v>
      </c>
      <c r="W142" s="211">
        <f>IFERROR(__xludf.DUMMYFUNCTION("""COMPUTED_VALUE"""),9.0)</f>
        <v>9</v>
      </c>
      <c r="X142" s="211">
        <f>IFERROR(__xludf.DUMMYFUNCTION("""COMPUTED_VALUE"""),4.0)</f>
        <v>4</v>
      </c>
      <c r="Y142" s="211">
        <f>IFERROR(__xludf.DUMMYFUNCTION("""COMPUTED_VALUE"""),0.0)</f>
        <v>0</v>
      </c>
      <c r="Z142" s="211">
        <f>IFERROR(__xludf.DUMMYFUNCTION("""COMPUTED_VALUE"""),1032.0)</f>
        <v>1032</v>
      </c>
    </row>
    <row r="143">
      <c r="A143" s="210">
        <f>IFERROR(__xludf.DUMMYFUNCTION("""COMPUTED_VALUE"""),44053.0)</f>
        <v>44053</v>
      </c>
      <c r="B143" s="211">
        <f>IFERROR(__xludf.DUMMYFUNCTION("""COMPUTED_VALUE"""),149.0)</f>
        <v>149</v>
      </c>
      <c r="C143" s="211">
        <f>IFERROR(__xludf.DUMMYFUNCTION("""COMPUTED_VALUE"""),105.0)</f>
        <v>105</v>
      </c>
      <c r="D143" s="211">
        <f>IFERROR(__xludf.DUMMYFUNCTION("""COMPUTED_VALUE"""),29139.0)</f>
        <v>29139</v>
      </c>
      <c r="E143" s="211">
        <f>IFERROR(__xludf.DUMMYFUNCTION("""COMPUTED_VALUE"""),4580.0)</f>
        <v>4580</v>
      </c>
      <c r="F143" s="151">
        <f>IFERROR(__xludf.DUMMYFUNCTION("""COMPUTED_VALUE"""),388965.0)</f>
        <v>388965</v>
      </c>
      <c r="G143" s="151">
        <f>IFERROR(__xludf.DUMMYFUNCTION("""COMPUTED_VALUE"""),4729.0)</f>
        <v>4729</v>
      </c>
      <c r="H143" s="151">
        <f>IFERROR(__xludf.DUMMYFUNCTION("""COMPUTED_VALUE"""),418104.0)</f>
        <v>418104</v>
      </c>
      <c r="I143" s="211">
        <f>IFERROR(__xludf.DUMMYFUNCTION("""COMPUTED_VALUE"""),113.0)</f>
        <v>113</v>
      </c>
      <c r="J143" s="211">
        <f>IFERROR(__xludf.DUMMYFUNCTION("""COMPUTED_VALUE"""),80.0)</f>
        <v>80</v>
      </c>
      <c r="K143" s="211">
        <f>IFERROR(__xludf.DUMMYFUNCTION("""COMPUTED_VALUE"""),20102.0)</f>
        <v>20102</v>
      </c>
      <c r="L143" s="211">
        <f>IFERROR(__xludf.DUMMYFUNCTION("""COMPUTED_VALUE"""),2029.0)</f>
        <v>2029</v>
      </c>
      <c r="M143" s="211">
        <f>IFERROR(__xludf.DUMMYFUNCTION("""COMPUTED_VALUE"""),208697.0)</f>
        <v>208697</v>
      </c>
      <c r="N143" s="211">
        <f>IFERROR(__xludf.DUMMYFUNCTION("""COMPUTED_VALUE"""),228799.0)</f>
        <v>228799</v>
      </c>
      <c r="O143" s="211">
        <f>IFERROR(__xludf.DUMMYFUNCTION("""COMPUTED_VALUE"""),11.0)</f>
        <v>11</v>
      </c>
      <c r="P143" s="211">
        <f>IFERROR(__xludf.DUMMYFUNCTION("""COMPUTED_VALUE"""),2372.0)</f>
        <v>2372</v>
      </c>
      <c r="Q143" s="211">
        <f>IFERROR(__xludf.DUMMYFUNCTION("""COMPUTED_VALUE"""),12.0)</f>
        <v>12</v>
      </c>
      <c r="R143" s="211">
        <f>IFERROR(__xludf.DUMMYFUNCTION("""COMPUTED_VALUE"""),1951.0)</f>
        <v>1951</v>
      </c>
      <c r="S143" s="211">
        <f>IFERROR(__xludf.DUMMYFUNCTION("""COMPUTED_VALUE"""),0.0)</f>
        <v>0</v>
      </c>
      <c r="T143" s="211">
        <f>IFERROR(__xludf.DUMMYFUNCTION("""COMPUTED_VALUE"""),322.0)</f>
        <v>322</v>
      </c>
      <c r="U143" s="211">
        <f>IFERROR(__xludf.DUMMYFUNCTION("""COMPUTED_VALUE"""),99.0)</f>
        <v>99</v>
      </c>
      <c r="V143" s="211">
        <f>IFERROR(__xludf.DUMMYFUNCTION("""COMPUTED_VALUE"""),100.0)</f>
        <v>100</v>
      </c>
      <c r="W143" s="211">
        <f>IFERROR(__xludf.DUMMYFUNCTION("""COMPUTED_VALUE"""),9.0)</f>
        <v>9</v>
      </c>
      <c r="X143" s="211">
        <f>IFERROR(__xludf.DUMMYFUNCTION("""COMPUTED_VALUE"""),4.0)</f>
        <v>4</v>
      </c>
      <c r="Y143" s="211">
        <f>IFERROR(__xludf.DUMMYFUNCTION("""COMPUTED_VALUE"""),1.0)</f>
        <v>1</v>
      </c>
      <c r="Z143" s="211">
        <f>IFERROR(__xludf.DUMMYFUNCTION("""COMPUTED_VALUE"""),1033.0)</f>
        <v>1033</v>
      </c>
    </row>
    <row r="144">
      <c r="A144" s="210">
        <f>IFERROR(__xludf.DUMMYFUNCTION("""COMPUTED_VALUE"""),44054.0)</f>
        <v>44054</v>
      </c>
      <c r="B144" s="211">
        <f>IFERROR(__xludf.DUMMYFUNCTION("""COMPUTED_VALUE"""),105.0)</f>
        <v>105</v>
      </c>
      <c r="C144" s="211">
        <f>IFERROR(__xludf.DUMMYFUNCTION("""COMPUTED_VALUE"""),99.0)</f>
        <v>99</v>
      </c>
      <c r="D144" s="211">
        <f>IFERROR(__xludf.DUMMYFUNCTION("""COMPUTED_VALUE"""),29244.0)</f>
        <v>29244</v>
      </c>
      <c r="E144" s="211">
        <f>IFERROR(__xludf.DUMMYFUNCTION("""COMPUTED_VALUE"""),4325.0)</f>
        <v>4325</v>
      </c>
      <c r="F144" s="151">
        <f>IFERROR(__xludf.DUMMYFUNCTION("""COMPUTED_VALUE"""),393290.0)</f>
        <v>393290</v>
      </c>
      <c r="G144" s="151">
        <f>IFERROR(__xludf.DUMMYFUNCTION("""COMPUTED_VALUE"""),4430.0)</f>
        <v>4430</v>
      </c>
      <c r="H144" s="151">
        <f>IFERROR(__xludf.DUMMYFUNCTION("""COMPUTED_VALUE"""),422534.0)</f>
        <v>422534</v>
      </c>
      <c r="I144" s="211">
        <f>IFERROR(__xludf.DUMMYFUNCTION("""COMPUTED_VALUE"""),92.0)</f>
        <v>92</v>
      </c>
      <c r="J144" s="211">
        <f>IFERROR(__xludf.DUMMYFUNCTION("""COMPUTED_VALUE"""),80.0)</f>
        <v>80</v>
      </c>
      <c r="K144" s="211">
        <f>IFERROR(__xludf.DUMMYFUNCTION("""COMPUTED_VALUE"""),20194.0)</f>
        <v>20194</v>
      </c>
      <c r="L144" s="211">
        <f>IFERROR(__xludf.DUMMYFUNCTION("""COMPUTED_VALUE"""),2266.0)</f>
        <v>2266</v>
      </c>
      <c r="M144" s="211">
        <f>IFERROR(__xludf.DUMMYFUNCTION("""COMPUTED_VALUE"""),210963.0)</f>
        <v>210963</v>
      </c>
      <c r="N144" s="211">
        <f>IFERROR(__xludf.DUMMYFUNCTION("""COMPUTED_VALUE"""),231157.0)</f>
        <v>231157</v>
      </c>
      <c r="O144" s="211">
        <f>IFERROR(__xludf.DUMMYFUNCTION("""COMPUTED_VALUE"""),6.0)</f>
        <v>6</v>
      </c>
      <c r="P144" s="211">
        <f>IFERROR(__xludf.DUMMYFUNCTION("""COMPUTED_VALUE"""),2378.0)</f>
        <v>2378</v>
      </c>
      <c r="Q144" s="211">
        <f>IFERROR(__xludf.DUMMYFUNCTION("""COMPUTED_VALUE"""),14.0)</f>
        <v>14</v>
      </c>
      <c r="R144" s="211">
        <f>IFERROR(__xludf.DUMMYFUNCTION("""COMPUTED_VALUE"""),1965.0)</f>
        <v>1965</v>
      </c>
      <c r="S144" s="211">
        <f>IFERROR(__xludf.DUMMYFUNCTION("""COMPUTED_VALUE"""),0.0)</f>
        <v>0</v>
      </c>
      <c r="T144" s="211">
        <f>IFERROR(__xludf.DUMMYFUNCTION("""COMPUTED_VALUE"""),322.0)</f>
        <v>322</v>
      </c>
      <c r="U144" s="211">
        <f>IFERROR(__xludf.DUMMYFUNCTION("""COMPUTED_VALUE"""),91.0)</f>
        <v>91</v>
      </c>
      <c r="V144" s="211">
        <f>IFERROR(__xludf.DUMMYFUNCTION("""COMPUTED_VALUE"""),97.0)</f>
        <v>97</v>
      </c>
      <c r="W144" s="211">
        <f>IFERROR(__xludf.DUMMYFUNCTION("""COMPUTED_VALUE"""),10.0)</f>
        <v>10</v>
      </c>
      <c r="X144" s="211">
        <f>IFERROR(__xludf.DUMMYFUNCTION("""COMPUTED_VALUE"""),4.0)</f>
        <v>4</v>
      </c>
      <c r="Y144" s="211">
        <f>IFERROR(__xludf.DUMMYFUNCTION("""COMPUTED_VALUE"""),3.0)</f>
        <v>3</v>
      </c>
      <c r="Z144" s="211">
        <f>IFERROR(__xludf.DUMMYFUNCTION("""COMPUTED_VALUE"""),1036.0)</f>
        <v>1036</v>
      </c>
    </row>
    <row r="145">
      <c r="A145" s="210">
        <f>IFERROR(__xludf.DUMMYFUNCTION("""COMPUTED_VALUE"""),44055.0)</f>
        <v>44055</v>
      </c>
      <c r="B145" s="211">
        <f>IFERROR(__xludf.DUMMYFUNCTION("""COMPUTED_VALUE"""),121.0)</f>
        <v>121</v>
      </c>
      <c r="C145" s="211">
        <f>IFERROR(__xludf.DUMMYFUNCTION("""COMPUTED_VALUE"""),125.0)</f>
        <v>125</v>
      </c>
      <c r="D145" s="211">
        <f>IFERROR(__xludf.DUMMYFUNCTION("""COMPUTED_VALUE"""),29365.0)</f>
        <v>29365</v>
      </c>
      <c r="E145" s="211">
        <f>IFERROR(__xludf.DUMMYFUNCTION("""COMPUTED_VALUE"""),5184.0)</f>
        <v>5184</v>
      </c>
      <c r="F145" s="151">
        <f>IFERROR(__xludf.DUMMYFUNCTION("""COMPUTED_VALUE"""),398474.0)</f>
        <v>398474</v>
      </c>
      <c r="G145" s="151">
        <f>IFERROR(__xludf.DUMMYFUNCTION("""COMPUTED_VALUE"""),5305.0)</f>
        <v>5305</v>
      </c>
      <c r="H145" s="151">
        <f>IFERROR(__xludf.DUMMYFUNCTION("""COMPUTED_VALUE"""),427839.0)</f>
        <v>427839</v>
      </c>
      <c r="I145" s="211">
        <f>IFERROR(__xludf.DUMMYFUNCTION("""COMPUTED_VALUE"""),101.0)</f>
        <v>101</v>
      </c>
      <c r="J145" s="211">
        <f>IFERROR(__xludf.DUMMYFUNCTION("""COMPUTED_VALUE"""),102.0)</f>
        <v>102</v>
      </c>
      <c r="K145" s="211">
        <f>IFERROR(__xludf.DUMMYFUNCTION("""COMPUTED_VALUE"""),20295.0)</f>
        <v>20295</v>
      </c>
      <c r="L145" s="211">
        <f>IFERROR(__xludf.DUMMYFUNCTION("""COMPUTED_VALUE"""),2630.0)</f>
        <v>2630</v>
      </c>
      <c r="M145" s="211">
        <f>IFERROR(__xludf.DUMMYFUNCTION("""COMPUTED_VALUE"""),213593.0)</f>
        <v>213593</v>
      </c>
      <c r="N145" s="211">
        <f>IFERROR(__xludf.DUMMYFUNCTION("""COMPUTED_VALUE"""),233888.0)</f>
        <v>233888</v>
      </c>
      <c r="O145" s="211">
        <f>IFERROR(__xludf.DUMMYFUNCTION("""COMPUTED_VALUE"""),8.0)</f>
        <v>8</v>
      </c>
      <c r="P145" s="211">
        <f>IFERROR(__xludf.DUMMYFUNCTION("""COMPUTED_VALUE"""),2386.0)</f>
        <v>2386</v>
      </c>
      <c r="Q145" s="211">
        <f>IFERROR(__xludf.DUMMYFUNCTION("""COMPUTED_VALUE"""),11.0)</f>
        <v>11</v>
      </c>
      <c r="R145" s="211">
        <f>IFERROR(__xludf.DUMMYFUNCTION("""COMPUTED_VALUE"""),1976.0)</f>
        <v>1976</v>
      </c>
      <c r="S145" s="211">
        <f>IFERROR(__xludf.DUMMYFUNCTION("""COMPUTED_VALUE"""),0.0)</f>
        <v>0</v>
      </c>
      <c r="T145" s="211">
        <f>IFERROR(__xludf.DUMMYFUNCTION("""COMPUTED_VALUE"""),322.0)</f>
        <v>322</v>
      </c>
      <c r="U145" s="211">
        <f>IFERROR(__xludf.DUMMYFUNCTION("""COMPUTED_VALUE"""),88.0)</f>
        <v>88</v>
      </c>
      <c r="V145" s="211">
        <f>IFERROR(__xludf.DUMMYFUNCTION("""COMPUTED_VALUE"""),93.0)</f>
        <v>93</v>
      </c>
      <c r="W145" s="211">
        <f>IFERROR(__xludf.DUMMYFUNCTION("""COMPUTED_VALUE"""),9.0)</f>
        <v>9</v>
      </c>
      <c r="X145" s="211">
        <f>IFERROR(__xludf.DUMMYFUNCTION("""COMPUTED_VALUE"""),3.0)</f>
        <v>3</v>
      </c>
      <c r="Y145" s="211">
        <f>IFERROR(__xludf.DUMMYFUNCTION("""COMPUTED_VALUE"""),1.0)</f>
        <v>1</v>
      </c>
      <c r="Z145" s="211">
        <f>IFERROR(__xludf.DUMMYFUNCTION("""COMPUTED_VALUE"""),1037.0)</f>
        <v>1037</v>
      </c>
    </row>
    <row r="146">
      <c r="A146" s="210">
        <f>IFERROR(__xludf.DUMMYFUNCTION("""COMPUTED_VALUE"""),44056.0)</f>
        <v>44056</v>
      </c>
      <c r="B146" s="211">
        <f>IFERROR(__xludf.DUMMYFUNCTION("""COMPUTED_VALUE"""),135.0)</f>
        <v>135</v>
      </c>
      <c r="C146" s="211">
        <f>IFERROR(__xludf.DUMMYFUNCTION("""COMPUTED_VALUE"""),120.0)</f>
        <v>120</v>
      </c>
      <c r="D146" s="211">
        <f>IFERROR(__xludf.DUMMYFUNCTION("""COMPUTED_VALUE"""),29500.0)</f>
        <v>29500</v>
      </c>
      <c r="E146" s="211">
        <f>IFERROR(__xludf.DUMMYFUNCTION("""COMPUTED_VALUE"""),4191.0)</f>
        <v>4191</v>
      </c>
      <c r="F146" s="151">
        <f>IFERROR(__xludf.DUMMYFUNCTION("""COMPUTED_VALUE"""),402665.0)</f>
        <v>402665</v>
      </c>
      <c r="G146" s="151">
        <f>IFERROR(__xludf.DUMMYFUNCTION("""COMPUTED_VALUE"""),4326.0)</f>
        <v>4326</v>
      </c>
      <c r="H146" s="151">
        <f>IFERROR(__xludf.DUMMYFUNCTION("""COMPUTED_VALUE"""),432165.0)</f>
        <v>432165</v>
      </c>
      <c r="I146" s="211">
        <f>IFERROR(__xludf.DUMMYFUNCTION("""COMPUTED_VALUE"""),95.0)</f>
        <v>95</v>
      </c>
      <c r="J146" s="211">
        <f>IFERROR(__xludf.DUMMYFUNCTION("""COMPUTED_VALUE"""),96.0)</f>
        <v>96</v>
      </c>
      <c r="K146" s="211">
        <f>IFERROR(__xludf.DUMMYFUNCTION("""COMPUTED_VALUE"""),20390.0)</f>
        <v>20390</v>
      </c>
      <c r="L146" s="211">
        <f>IFERROR(__xludf.DUMMYFUNCTION("""COMPUTED_VALUE"""),1907.0)</f>
        <v>1907</v>
      </c>
      <c r="M146" s="211">
        <f>IFERROR(__xludf.DUMMYFUNCTION("""COMPUTED_VALUE"""),215500.0)</f>
        <v>215500</v>
      </c>
      <c r="N146" s="211">
        <f>IFERROR(__xludf.DUMMYFUNCTION("""COMPUTED_VALUE"""),235890.0)</f>
        <v>235890</v>
      </c>
      <c r="O146" s="211">
        <f>IFERROR(__xludf.DUMMYFUNCTION("""COMPUTED_VALUE"""),13.0)</f>
        <v>13</v>
      </c>
      <c r="P146" s="211">
        <f>IFERROR(__xludf.DUMMYFUNCTION("""COMPUTED_VALUE"""),2399.0)</f>
        <v>2399</v>
      </c>
      <c r="Q146" s="211">
        <f>IFERROR(__xludf.DUMMYFUNCTION("""COMPUTED_VALUE"""),12.0)</f>
        <v>12</v>
      </c>
      <c r="R146" s="211">
        <f>IFERROR(__xludf.DUMMYFUNCTION("""COMPUTED_VALUE"""),1988.0)</f>
        <v>1988</v>
      </c>
      <c r="S146" s="211">
        <f>IFERROR(__xludf.DUMMYFUNCTION("""COMPUTED_VALUE"""),0.0)</f>
        <v>0</v>
      </c>
      <c r="T146" s="211">
        <f>IFERROR(__xludf.DUMMYFUNCTION("""COMPUTED_VALUE"""),322.0)</f>
        <v>322</v>
      </c>
      <c r="U146" s="211">
        <f>IFERROR(__xludf.DUMMYFUNCTION("""COMPUTED_VALUE"""),89.0)</f>
        <v>89</v>
      </c>
      <c r="V146" s="211">
        <f>IFERROR(__xludf.DUMMYFUNCTION("""COMPUTED_VALUE"""),89.0)</f>
        <v>89</v>
      </c>
      <c r="W146" s="211">
        <f>IFERROR(__xludf.DUMMYFUNCTION("""COMPUTED_VALUE"""),11.0)</f>
        <v>11</v>
      </c>
      <c r="X146" s="211">
        <f>IFERROR(__xludf.DUMMYFUNCTION("""COMPUTED_VALUE"""),3.0)</f>
        <v>3</v>
      </c>
      <c r="Y146" s="211">
        <f>IFERROR(__xludf.DUMMYFUNCTION("""COMPUTED_VALUE"""),0.0)</f>
        <v>0</v>
      </c>
      <c r="Z146" s="211">
        <f>IFERROR(__xludf.DUMMYFUNCTION("""COMPUTED_VALUE"""),1037.0)</f>
        <v>1037</v>
      </c>
    </row>
    <row r="147">
      <c r="A147" s="210">
        <f>IFERROR(__xludf.DUMMYFUNCTION("""COMPUTED_VALUE"""),44057.0)</f>
        <v>44057</v>
      </c>
      <c r="B147" s="211">
        <f>IFERROR(__xludf.DUMMYFUNCTION("""COMPUTED_VALUE"""),145.0)</f>
        <v>145</v>
      </c>
      <c r="C147" s="211">
        <f>IFERROR(__xludf.DUMMYFUNCTION("""COMPUTED_VALUE"""),134.0)</f>
        <v>134</v>
      </c>
      <c r="D147" s="211">
        <f>IFERROR(__xludf.DUMMYFUNCTION("""COMPUTED_VALUE"""),29645.0)</f>
        <v>29645</v>
      </c>
      <c r="E147" s="211">
        <f>IFERROR(__xludf.DUMMYFUNCTION("""COMPUTED_VALUE"""),5492.0)</f>
        <v>5492</v>
      </c>
      <c r="F147" s="151">
        <f>IFERROR(__xludf.DUMMYFUNCTION("""COMPUTED_VALUE"""),408157.0)</f>
        <v>408157</v>
      </c>
      <c r="G147" s="151">
        <f>IFERROR(__xludf.DUMMYFUNCTION("""COMPUTED_VALUE"""),5637.0)</f>
        <v>5637</v>
      </c>
      <c r="H147" s="151">
        <f>IFERROR(__xludf.DUMMYFUNCTION("""COMPUTED_VALUE"""),437802.0)</f>
        <v>437802</v>
      </c>
      <c r="I147" s="211">
        <f>IFERROR(__xludf.DUMMYFUNCTION("""COMPUTED_VALUE"""),99.0)</f>
        <v>99</v>
      </c>
      <c r="J147" s="211">
        <f>IFERROR(__xludf.DUMMYFUNCTION("""COMPUTED_VALUE"""),98.0)</f>
        <v>98</v>
      </c>
      <c r="K147" s="211">
        <f>IFERROR(__xludf.DUMMYFUNCTION("""COMPUTED_VALUE"""),20489.0)</f>
        <v>20489</v>
      </c>
      <c r="L147" s="211">
        <f>IFERROR(__xludf.DUMMYFUNCTION("""COMPUTED_VALUE"""),1976.0)</f>
        <v>1976</v>
      </c>
      <c r="M147" s="211">
        <f>IFERROR(__xludf.DUMMYFUNCTION("""COMPUTED_VALUE"""),217476.0)</f>
        <v>217476</v>
      </c>
      <c r="N147" s="211">
        <f>IFERROR(__xludf.DUMMYFUNCTION("""COMPUTED_VALUE"""),237965.0)</f>
        <v>237965</v>
      </c>
      <c r="O147" s="211">
        <f>IFERROR(__xludf.DUMMYFUNCTION("""COMPUTED_VALUE"""),13.0)</f>
        <v>13</v>
      </c>
      <c r="P147" s="211">
        <f>IFERROR(__xludf.DUMMYFUNCTION("""COMPUTED_VALUE"""),2412.0)</f>
        <v>2412</v>
      </c>
      <c r="Q147" s="211">
        <f>IFERROR(__xludf.DUMMYFUNCTION("""COMPUTED_VALUE"""),11.0)</f>
        <v>11</v>
      </c>
      <c r="R147" s="211">
        <f>IFERROR(__xludf.DUMMYFUNCTION("""COMPUTED_VALUE"""),1999.0)</f>
        <v>1999</v>
      </c>
      <c r="S147" s="211">
        <f>IFERROR(__xludf.DUMMYFUNCTION("""COMPUTED_VALUE"""),0.0)</f>
        <v>0</v>
      </c>
      <c r="T147" s="211">
        <f>IFERROR(__xludf.DUMMYFUNCTION("""COMPUTED_VALUE"""),322.0)</f>
        <v>322</v>
      </c>
      <c r="U147" s="211">
        <f>IFERROR(__xludf.DUMMYFUNCTION("""COMPUTED_VALUE"""),91.0)</f>
        <v>91</v>
      </c>
      <c r="V147" s="211">
        <f>IFERROR(__xludf.DUMMYFUNCTION("""COMPUTED_VALUE"""),89.0)</f>
        <v>89</v>
      </c>
      <c r="W147" s="211">
        <f>IFERROR(__xludf.DUMMYFUNCTION("""COMPUTED_VALUE"""),11.0)</f>
        <v>11</v>
      </c>
      <c r="X147" s="211">
        <f>IFERROR(__xludf.DUMMYFUNCTION("""COMPUTED_VALUE"""),4.0)</f>
        <v>4</v>
      </c>
      <c r="Y147" s="211">
        <f>IFERROR(__xludf.DUMMYFUNCTION("""COMPUTED_VALUE"""),3.0)</f>
        <v>3</v>
      </c>
      <c r="Z147" s="211">
        <f>IFERROR(__xludf.DUMMYFUNCTION("""COMPUTED_VALUE"""),1040.0)</f>
        <v>1040</v>
      </c>
    </row>
    <row r="148">
      <c r="A148" s="210">
        <f>IFERROR(__xludf.DUMMYFUNCTION("""COMPUTED_VALUE"""),44058.0)</f>
        <v>44058</v>
      </c>
      <c r="B148" s="211">
        <f>IFERROR(__xludf.DUMMYFUNCTION("""COMPUTED_VALUE"""),105.0)</f>
        <v>105</v>
      </c>
      <c r="C148" s="211">
        <f>IFERROR(__xludf.DUMMYFUNCTION("""COMPUTED_VALUE"""),128.0)</f>
        <v>128</v>
      </c>
      <c r="D148" s="211">
        <f>IFERROR(__xludf.DUMMYFUNCTION("""COMPUTED_VALUE"""),29750.0)</f>
        <v>29750</v>
      </c>
      <c r="E148" s="211">
        <f>IFERROR(__xludf.DUMMYFUNCTION("""COMPUTED_VALUE"""),4533.0)</f>
        <v>4533</v>
      </c>
      <c r="F148" s="151">
        <f>IFERROR(__xludf.DUMMYFUNCTION("""COMPUTED_VALUE"""),412690.0)</f>
        <v>412690</v>
      </c>
      <c r="G148" s="151">
        <f>IFERROR(__xludf.DUMMYFUNCTION("""COMPUTED_VALUE"""),4638.0)</f>
        <v>4638</v>
      </c>
      <c r="H148" s="151">
        <f>IFERROR(__xludf.DUMMYFUNCTION("""COMPUTED_VALUE"""),442440.0)</f>
        <v>442440</v>
      </c>
      <c r="I148" s="211">
        <f>IFERROR(__xludf.DUMMYFUNCTION("""COMPUTED_VALUE"""),89.0)</f>
        <v>89</v>
      </c>
      <c r="J148" s="211">
        <f>IFERROR(__xludf.DUMMYFUNCTION("""COMPUTED_VALUE"""),94.0)</f>
        <v>94</v>
      </c>
      <c r="K148" s="211">
        <f>IFERROR(__xludf.DUMMYFUNCTION("""COMPUTED_VALUE"""),20578.0)</f>
        <v>20578</v>
      </c>
      <c r="L148" s="211">
        <f>IFERROR(__xludf.DUMMYFUNCTION("""COMPUTED_VALUE"""),1694.0)</f>
        <v>1694</v>
      </c>
      <c r="M148" s="211">
        <f>IFERROR(__xludf.DUMMYFUNCTION("""COMPUTED_VALUE"""),219170.0)</f>
        <v>219170</v>
      </c>
      <c r="N148" s="211">
        <f>IFERROR(__xludf.DUMMYFUNCTION("""COMPUTED_VALUE"""),239748.0)</f>
        <v>239748</v>
      </c>
      <c r="O148" s="211">
        <f>IFERROR(__xludf.DUMMYFUNCTION("""COMPUTED_VALUE"""),8.0)</f>
        <v>8</v>
      </c>
      <c r="P148" s="211">
        <f>IFERROR(__xludf.DUMMYFUNCTION("""COMPUTED_VALUE"""),2420.0)</f>
        <v>2420</v>
      </c>
      <c r="Q148" s="211">
        <f>IFERROR(__xludf.DUMMYFUNCTION("""COMPUTED_VALUE"""),11.0)</f>
        <v>11</v>
      </c>
      <c r="R148" s="211">
        <f>IFERROR(__xludf.DUMMYFUNCTION("""COMPUTED_VALUE"""),2010.0)</f>
        <v>2010</v>
      </c>
      <c r="S148" s="211">
        <f>IFERROR(__xludf.DUMMYFUNCTION("""COMPUTED_VALUE"""),1.0)</f>
        <v>1</v>
      </c>
      <c r="T148" s="211">
        <f>IFERROR(__xludf.DUMMYFUNCTION("""COMPUTED_VALUE"""),323.0)</f>
        <v>323</v>
      </c>
      <c r="U148" s="211">
        <f>IFERROR(__xludf.DUMMYFUNCTION("""COMPUTED_VALUE"""),87.0)</f>
        <v>87</v>
      </c>
      <c r="V148" s="211">
        <f>IFERROR(__xludf.DUMMYFUNCTION("""COMPUTED_VALUE"""),89.0)</f>
        <v>89</v>
      </c>
      <c r="W148" s="211">
        <f>IFERROR(__xludf.DUMMYFUNCTION("""COMPUTED_VALUE"""),11.0)</f>
        <v>11</v>
      </c>
      <c r="X148" s="211">
        <f>IFERROR(__xludf.DUMMYFUNCTION("""COMPUTED_VALUE"""),5.0)</f>
        <v>5</v>
      </c>
      <c r="Y148" s="211">
        <f>IFERROR(__xludf.DUMMYFUNCTION("""COMPUTED_VALUE"""),0.0)</f>
        <v>0</v>
      </c>
      <c r="Z148" s="211">
        <f>IFERROR(__xludf.DUMMYFUNCTION("""COMPUTED_VALUE"""),1040.0)</f>
        <v>1040</v>
      </c>
    </row>
    <row r="149">
      <c r="A149" s="210">
        <f>IFERROR(__xludf.DUMMYFUNCTION("""COMPUTED_VALUE"""),44059.0)</f>
        <v>44059</v>
      </c>
      <c r="B149" s="211">
        <f>IFERROR(__xludf.DUMMYFUNCTION("""COMPUTED_VALUE"""),83.0)</f>
        <v>83</v>
      </c>
      <c r="C149" s="211">
        <f>IFERROR(__xludf.DUMMYFUNCTION("""COMPUTED_VALUE"""),111.0)</f>
        <v>111</v>
      </c>
      <c r="D149" s="211">
        <f>IFERROR(__xludf.DUMMYFUNCTION("""COMPUTED_VALUE"""),29833.0)</f>
        <v>29833</v>
      </c>
      <c r="E149" s="211">
        <f>IFERROR(__xludf.DUMMYFUNCTION("""COMPUTED_VALUE"""),2785.0)</f>
        <v>2785</v>
      </c>
      <c r="F149" s="151">
        <f>IFERROR(__xludf.DUMMYFUNCTION("""COMPUTED_VALUE"""),415475.0)</f>
        <v>415475</v>
      </c>
      <c r="G149" s="151">
        <f>IFERROR(__xludf.DUMMYFUNCTION("""COMPUTED_VALUE"""),2868.0)</f>
        <v>2868</v>
      </c>
      <c r="H149" s="151">
        <f>IFERROR(__xludf.DUMMYFUNCTION("""COMPUTED_VALUE"""),445308.0)</f>
        <v>445308</v>
      </c>
      <c r="I149" s="211">
        <f>IFERROR(__xludf.DUMMYFUNCTION("""COMPUTED_VALUE"""),70.0)</f>
        <v>70</v>
      </c>
      <c r="J149" s="211">
        <f>IFERROR(__xludf.DUMMYFUNCTION("""COMPUTED_VALUE"""),86.0)</f>
        <v>86</v>
      </c>
      <c r="K149" s="211">
        <f>IFERROR(__xludf.DUMMYFUNCTION("""COMPUTED_VALUE"""),20648.0)</f>
        <v>20648</v>
      </c>
      <c r="L149" s="211">
        <f>IFERROR(__xludf.DUMMYFUNCTION("""COMPUTED_VALUE"""),980.0)</f>
        <v>980</v>
      </c>
      <c r="M149" s="211">
        <f>IFERROR(__xludf.DUMMYFUNCTION("""COMPUTED_VALUE"""),220150.0)</f>
        <v>220150</v>
      </c>
      <c r="N149" s="211">
        <f>IFERROR(__xludf.DUMMYFUNCTION("""COMPUTED_VALUE"""),240798.0)</f>
        <v>240798</v>
      </c>
      <c r="O149" s="211">
        <f>IFERROR(__xludf.DUMMYFUNCTION("""COMPUTED_VALUE"""),7.0)</f>
        <v>7</v>
      </c>
      <c r="P149" s="211">
        <f>IFERROR(__xludf.DUMMYFUNCTION("""COMPUTED_VALUE"""),2427.0)</f>
        <v>2427</v>
      </c>
      <c r="Q149" s="211">
        <f>IFERROR(__xludf.DUMMYFUNCTION("""COMPUTED_VALUE"""),6.0)</f>
        <v>6</v>
      </c>
      <c r="R149" s="211">
        <f>IFERROR(__xludf.DUMMYFUNCTION("""COMPUTED_VALUE"""),2016.0)</f>
        <v>2016</v>
      </c>
      <c r="S149" s="211">
        <f>IFERROR(__xludf.DUMMYFUNCTION("""COMPUTED_VALUE"""),4.0)</f>
        <v>4</v>
      </c>
      <c r="T149" s="211">
        <f>IFERROR(__xludf.DUMMYFUNCTION("""COMPUTED_VALUE"""),327.0)</f>
        <v>327</v>
      </c>
      <c r="U149" s="211">
        <f>IFERROR(__xludf.DUMMYFUNCTION("""COMPUTED_VALUE"""),84.0)</f>
        <v>84</v>
      </c>
      <c r="V149" s="211">
        <f>IFERROR(__xludf.DUMMYFUNCTION("""COMPUTED_VALUE"""),87.0)</f>
        <v>87</v>
      </c>
      <c r="W149" s="211">
        <f>IFERROR(__xludf.DUMMYFUNCTION("""COMPUTED_VALUE"""),8.0)</f>
        <v>8</v>
      </c>
      <c r="X149" s="211">
        <f>IFERROR(__xludf.DUMMYFUNCTION("""COMPUTED_VALUE"""),4.0)</f>
        <v>4</v>
      </c>
      <c r="Y149" s="211">
        <f>IFERROR(__xludf.DUMMYFUNCTION("""COMPUTED_VALUE"""),6.0)</f>
        <v>6</v>
      </c>
      <c r="Z149" s="211">
        <f>IFERROR(__xludf.DUMMYFUNCTION("""COMPUTED_VALUE"""),1046.0)</f>
        <v>1046</v>
      </c>
    </row>
    <row r="150">
      <c r="A150" s="210">
        <f>IFERROR(__xludf.DUMMYFUNCTION("""COMPUTED_VALUE"""),44060.0)</f>
        <v>44060</v>
      </c>
      <c r="B150" s="211">
        <f>IFERROR(__xludf.DUMMYFUNCTION("""COMPUTED_VALUE"""),106.0)</f>
        <v>106</v>
      </c>
      <c r="C150" s="211">
        <f>IFERROR(__xludf.DUMMYFUNCTION("""COMPUTED_VALUE"""),98.0)</f>
        <v>98</v>
      </c>
      <c r="D150" s="211">
        <f>IFERROR(__xludf.DUMMYFUNCTION("""COMPUTED_VALUE"""),29939.0)</f>
        <v>29939</v>
      </c>
      <c r="E150" s="211">
        <f>IFERROR(__xludf.DUMMYFUNCTION("""COMPUTED_VALUE"""),4570.0)</f>
        <v>4570</v>
      </c>
      <c r="F150" s="151">
        <f>IFERROR(__xludf.DUMMYFUNCTION("""COMPUTED_VALUE"""),420045.0)</f>
        <v>420045</v>
      </c>
      <c r="G150" s="151">
        <f>IFERROR(__xludf.DUMMYFUNCTION("""COMPUTED_VALUE"""),4676.0)</f>
        <v>4676</v>
      </c>
      <c r="H150" s="151">
        <f>IFERROR(__xludf.DUMMYFUNCTION("""COMPUTED_VALUE"""),449984.0)</f>
        <v>449984</v>
      </c>
      <c r="I150" s="211">
        <f>IFERROR(__xludf.DUMMYFUNCTION("""COMPUTED_VALUE"""),88.0)</f>
        <v>88</v>
      </c>
      <c r="J150" s="211">
        <f>IFERROR(__xludf.DUMMYFUNCTION("""COMPUTED_VALUE"""),82.0)</f>
        <v>82</v>
      </c>
      <c r="K150" s="211">
        <f>IFERROR(__xludf.DUMMYFUNCTION("""COMPUTED_VALUE"""),20736.0)</f>
        <v>20736</v>
      </c>
      <c r="L150" s="211">
        <f>IFERROR(__xludf.DUMMYFUNCTION("""COMPUTED_VALUE"""),2399.0)</f>
        <v>2399</v>
      </c>
      <c r="M150" s="211">
        <f>IFERROR(__xludf.DUMMYFUNCTION("""COMPUTED_VALUE"""),222549.0)</f>
        <v>222549</v>
      </c>
      <c r="N150" s="211">
        <f>IFERROR(__xludf.DUMMYFUNCTION("""COMPUTED_VALUE"""),243285.0)</f>
        <v>243285</v>
      </c>
      <c r="O150" s="211">
        <f>IFERROR(__xludf.DUMMYFUNCTION("""COMPUTED_VALUE"""),10.0)</f>
        <v>10</v>
      </c>
      <c r="P150" s="211">
        <f>IFERROR(__xludf.DUMMYFUNCTION("""COMPUTED_VALUE"""),2437.0)</f>
        <v>2437</v>
      </c>
      <c r="Q150" s="211">
        <f>IFERROR(__xludf.DUMMYFUNCTION("""COMPUTED_VALUE"""),7.0)</f>
        <v>7</v>
      </c>
      <c r="R150" s="211">
        <f>IFERROR(__xludf.DUMMYFUNCTION("""COMPUTED_VALUE"""),2023.0)</f>
        <v>2023</v>
      </c>
      <c r="S150" s="211">
        <f>IFERROR(__xludf.DUMMYFUNCTION("""COMPUTED_VALUE"""),0.0)</f>
        <v>0</v>
      </c>
      <c r="T150" s="211">
        <f>IFERROR(__xludf.DUMMYFUNCTION("""COMPUTED_VALUE"""),327.0)</f>
        <v>327</v>
      </c>
      <c r="U150" s="211">
        <f>IFERROR(__xludf.DUMMYFUNCTION("""COMPUTED_VALUE"""),87.0)</f>
        <v>87</v>
      </c>
      <c r="V150" s="211">
        <f>IFERROR(__xludf.DUMMYFUNCTION("""COMPUTED_VALUE"""),86.0)</f>
        <v>86</v>
      </c>
      <c r="W150" s="211">
        <f>IFERROR(__xludf.DUMMYFUNCTION("""COMPUTED_VALUE"""),8.0)</f>
        <v>8</v>
      </c>
      <c r="X150" s="211">
        <f>IFERROR(__xludf.DUMMYFUNCTION("""COMPUTED_VALUE"""),5.0)</f>
        <v>5</v>
      </c>
      <c r="Y150" s="211">
        <f>IFERROR(__xludf.DUMMYFUNCTION("""COMPUTED_VALUE"""),2.0)</f>
        <v>2</v>
      </c>
      <c r="Z150" s="211">
        <f>IFERROR(__xludf.DUMMYFUNCTION("""COMPUTED_VALUE"""),1048.0)</f>
        <v>1048</v>
      </c>
    </row>
    <row r="151">
      <c r="A151" s="210">
        <f>IFERROR(__xludf.DUMMYFUNCTION("""COMPUTED_VALUE"""),44061.0)</f>
        <v>44061</v>
      </c>
      <c r="B151" s="211">
        <f>IFERROR(__xludf.DUMMYFUNCTION("""COMPUTED_VALUE"""),128.0)</f>
        <v>128</v>
      </c>
      <c r="C151" s="211">
        <f>IFERROR(__xludf.DUMMYFUNCTION("""COMPUTED_VALUE"""),106.0)</f>
        <v>106</v>
      </c>
      <c r="D151" s="211">
        <f>IFERROR(__xludf.DUMMYFUNCTION("""COMPUTED_VALUE"""),30067.0)</f>
        <v>30067</v>
      </c>
      <c r="E151" s="211">
        <f>IFERROR(__xludf.DUMMYFUNCTION("""COMPUTED_VALUE"""),5049.0)</f>
        <v>5049</v>
      </c>
      <c r="F151" s="151">
        <f>IFERROR(__xludf.DUMMYFUNCTION("""COMPUTED_VALUE"""),425094.0)</f>
        <v>425094</v>
      </c>
      <c r="G151" s="151">
        <f>IFERROR(__xludf.DUMMYFUNCTION("""COMPUTED_VALUE"""),5177.0)</f>
        <v>5177</v>
      </c>
      <c r="H151" s="151">
        <f>IFERROR(__xludf.DUMMYFUNCTION("""COMPUTED_VALUE"""),455161.0)</f>
        <v>455161</v>
      </c>
      <c r="I151" s="211">
        <f>IFERROR(__xludf.DUMMYFUNCTION("""COMPUTED_VALUE"""),95.0)</f>
        <v>95</v>
      </c>
      <c r="J151" s="211">
        <f>IFERROR(__xludf.DUMMYFUNCTION("""COMPUTED_VALUE"""),84.0)</f>
        <v>84</v>
      </c>
      <c r="K151" s="211">
        <f>IFERROR(__xludf.DUMMYFUNCTION("""COMPUTED_VALUE"""),20831.0)</f>
        <v>20831</v>
      </c>
      <c r="L151" s="211">
        <f>IFERROR(__xludf.DUMMYFUNCTION("""COMPUTED_VALUE"""),2770.0)</f>
        <v>2770</v>
      </c>
      <c r="M151" s="211">
        <f>IFERROR(__xludf.DUMMYFUNCTION("""COMPUTED_VALUE"""),225319.0)</f>
        <v>225319</v>
      </c>
      <c r="N151" s="211">
        <f>IFERROR(__xludf.DUMMYFUNCTION("""COMPUTED_VALUE"""),246150.0)</f>
        <v>246150</v>
      </c>
      <c r="O151" s="211">
        <f>IFERROR(__xludf.DUMMYFUNCTION("""COMPUTED_VALUE"""),11.0)</f>
        <v>11</v>
      </c>
      <c r="P151" s="211">
        <f>IFERROR(__xludf.DUMMYFUNCTION("""COMPUTED_VALUE"""),2448.0)</f>
        <v>2448</v>
      </c>
      <c r="Q151" s="211">
        <f>IFERROR(__xludf.DUMMYFUNCTION("""COMPUTED_VALUE"""),9.0)</f>
        <v>9</v>
      </c>
      <c r="R151" s="211">
        <f>IFERROR(__xludf.DUMMYFUNCTION("""COMPUTED_VALUE"""),2032.0)</f>
        <v>2032</v>
      </c>
      <c r="S151" s="211">
        <f>IFERROR(__xludf.DUMMYFUNCTION("""COMPUTED_VALUE"""),1.0)</f>
        <v>1</v>
      </c>
      <c r="T151" s="211">
        <f>IFERROR(__xludf.DUMMYFUNCTION("""COMPUTED_VALUE"""),328.0)</f>
        <v>328</v>
      </c>
      <c r="U151" s="211">
        <f>IFERROR(__xludf.DUMMYFUNCTION("""COMPUTED_VALUE"""),88.0)</f>
        <v>88</v>
      </c>
      <c r="V151" s="211">
        <f>IFERROR(__xludf.DUMMYFUNCTION("""COMPUTED_VALUE"""),86.0)</f>
        <v>86</v>
      </c>
      <c r="W151" s="211">
        <f>IFERROR(__xludf.DUMMYFUNCTION("""COMPUTED_VALUE"""),8.0)</f>
        <v>8</v>
      </c>
      <c r="X151" s="211">
        <f>IFERROR(__xludf.DUMMYFUNCTION("""COMPUTED_VALUE"""),4.0)</f>
        <v>4</v>
      </c>
      <c r="Y151" s="211">
        <f>IFERROR(__xludf.DUMMYFUNCTION("""COMPUTED_VALUE"""),5.0)</f>
        <v>5</v>
      </c>
      <c r="Z151" s="211">
        <f>IFERROR(__xludf.DUMMYFUNCTION("""COMPUTED_VALUE"""),1053.0)</f>
        <v>1053</v>
      </c>
    </row>
    <row r="152">
      <c r="A152" s="210">
        <f>IFERROR(__xludf.DUMMYFUNCTION("""COMPUTED_VALUE"""),44062.0)</f>
        <v>44062</v>
      </c>
      <c r="B152" s="211">
        <f>IFERROR(__xludf.DUMMYFUNCTION("""COMPUTED_VALUE"""),114.0)</f>
        <v>114</v>
      </c>
      <c r="C152" s="211">
        <f>IFERROR(__xludf.DUMMYFUNCTION("""COMPUTED_VALUE"""),116.0)</f>
        <v>116</v>
      </c>
      <c r="D152" s="211">
        <f>IFERROR(__xludf.DUMMYFUNCTION("""COMPUTED_VALUE"""),30181.0)</f>
        <v>30181</v>
      </c>
      <c r="E152" s="211">
        <f>IFERROR(__xludf.DUMMYFUNCTION("""COMPUTED_VALUE"""),5407.0)</f>
        <v>5407</v>
      </c>
      <c r="F152" s="151">
        <f>IFERROR(__xludf.DUMMYFUNCTION("""COMPUTED_VALUE"""),430501.0)</f>
        <v>430501</v>
      </c>
      <c r="G152" s="151">
        <f>IFERROR(__xludf.DUMMYFUNCTION("""COMPUTED_VALUE"""),5521.0)</f>
        <v>5521</v>
      </c>
      <c r="H152" s="151">
        <f>IFERROR(__xludf.DUMMYFUNCTION("""COMPUTED_VALUE"""),460682.0)</f>
        <v>460682</v>
      </c>
      <c r="I152" s="211">
        <f>IFERROR(__xludf.DUMMYFUNCTION("""COMPUTED_VALUE"""),89.0)</f>
        <v>89</v>
      </c>
      <c r="J152" s="211">
        <f>IFERROR(__xludf.DUMMYFUNCTION("""COMPUTED_VALUE"""),91.0)</f>
        <v>91</v>
      </c>
      <c r="K152" s="211">
        <f>IFERROR(__xludf.DUMMYFUNCTION("""COMPUTED_VALUE"""),20920.0)</f>
        <v>20920</v>
      </c>
      <c r="L152" s="211">
        <f>IFERROR(__xludf.DUMMYFUNCTION("""COMPUTED_VALUE"""),2662.0)</f>
        <v>2662</v>
      </c>
      <c r="M152" s="211">
        <f>IFERROR(__xludf.DUMMYFUNCTION("""COMPUTED_VALUE"""),227981.0)</f>
        <v>227981</v>
      </c>
      <c r="N152" s="211">
        <f>IFERROR(__xludf.DUMMYFUNCTION("""COMPUTED_VALUE"""),248901.0)</f>
        <v>248901</v>
      </c>
      <c r="O152" s="211">
        <f>IFERROR(__xludf.DUMMYFUNCTION("""COMPUTED_VALUE"""),8.0)</f>
        <v>8</v>
      </c>
      <c r="P152" s="211">
        <f>IFERROR(__xludf.DUMMYFUNCTION("""COMPUTED_VALUE"""),2456.0)</f>
        <v>2456</v>
      </c>
      <c r="Q152" s="211">
        <f>IFERROR(__xludf.DUMMYFUNCTION("""COMPUTED_VALUE"""),9.0)</f>
        <v>9</v>
      </c>
      <c r="R152" s="211">
        <f>IFERROR(__xludf.DUMMYFUNCTION("""COMPUTED_VALUE"""),2041.0)</f>
        <v>2041</v>
      </c>
      <c r="S152" s="211">
        <f>IFERROR(__xludf.DUMMYFUNCTION("""COMPUTED_VALUE"""),1.0)</f>
        <v>1</v>
      </c>
      <c r="T152" s="211">
        <f>IFERROR(__xludf.DUMMYFUNCTION("""COMPUTED_VALUE"""),329.0)</f>
        <v>329</v>
      </c>
      <c r="U152" s="211">
        <f>IFERROR(__xludf.DUMMYFUNCTION("""COMPUTED_VALUE"""),86.0)</f>
        <v>86</v>
      </c>
      <c r="V152" s="211">
        <f>IFERROR(__xludf.DUMMYFUNCTION("""COMPUTED_VALUE"""),87.0)</f>
        <v>87</v>
      </c>
      <c r="W152" s="211">
        <f>IFERROR(__xludf.DUMMYFUNCTION("""COMPUTED_VALUE"""),9.0)</f>
        <v>9</v>
      </c>
      <c r="X152" s="211">
        <f>IFERROR(__xludf.DUMMYFUNCTION("""COMPUTED_VALUE"""),5.0)</f>
        <v>5</v>
      </c>
      <c r="Y152" s="211">
        <f>IFERROR(__xludf.DUMMYFUNCTION("""COMPUTED_VALUE"""),0.0)</f>
        <v>0</v>
      </c>
      <c r="Z152" s="211">
        <f>IFERROR(__xludf.DUMMYFUNCTION("""COMPUTED_VALUE"""),1053.0)</f>
        <v>1053</v>
      </c>
    </row>
    <row r="153">
      <c r="A153" s="210">
        <f>IFERROR(__xludf.DUMMYFUNCTION("""COMPUTED_VALUE"""),44063.0)</f>
        <v>44063</v>
      </c>
      <c r="B153" s="211">
        <f>IFERROR(__xludf.DUMMYFUNCTION("""COMPUTED_VALUE"""),174.0)</f>
        <v>174</v>
      </c>
      <c r="C153" s="211">
        <f>IFERROR(__xludf.DUMMYFUNCTION("""COMPUTED_VALUE"""),139.0)</f>
        <v>139</v>
      </c>
      <c r="D153" s="211">
        <f>IFERROR(__xludf.DUMMYFUNCTION("""COMPUTED_VALUE"""),30355.0)</f>
        <v>30355</v>
      </c>
      <c r="E153" s="211">
        <f>IFERROR(__xludf.DUMMYFUNCTION("""COMPUTED_VALUE"""),8220.0)</f>
        <v>8220</v>
      </c>
      <c r="F153" s="151">
        <f>IFERROR(__xludf.DUMMYFUNCTION("""COMPUTED_VALUE"""),438721.0)</f>
        <v>438721</v>
      </c>
      <c r="G153" s="151">
        <f>IFERROR(__xludf.DUMMYFUNCTION("""COMPUTED_VALUE"""),8394.0)</f>
        <v>8394</v>
      </c>
      <c r="H153" s="151">
        <f>IFERROR(__xludf.DUMMYFUNCTION("""COMPUTED_VALUE"""),469076.0)</f>
        <v>469076</v>
      </c>
      <c r="I153" s="211">
        <f>IFERROR(__xludf.DUMMYFUNCTION("""COMPUTED_VALUE"""),139.0)</f>
        <v>139</v>
      </c>
      <c r="J153" s="211">
        <f>IFERROR(__xludf.DUMMYFUNCTION("""COMPUTED_VALUE"""),108.0)</f>
        <v>108</v>
      </c>
      <c r="K153" s="211">
        <f>IFERROR(__xludf.DUMMYFUNCTION("""COMPUTED_VALUE"""),21059.0)</f>
        <v>21059</v>
      </c>
      <c r="L153" s="211">
        <f>IFERROR(__xludf.DUMMYFUNCTION("""COMPUTED_VALUE"""),3558.0)</f>
        <v>3558</v>
      </c>
      <c r="M153" s="211">
        <f>IFERROR(__xludf.DUMMYFUNCTION("""COMPUTED_VALUE"""),231539.0)</f>
        <v>231539</v>
      </c>
      <c r="N153" s="211">
        <f>IFERROR(__xludf.DUMMYFUNCTION("""COMPUTED_VALUE"""),252598.0)</f>
        <v>252598</v>
      </c>
      <c r="O153" s="211">
        <f>IFERROR(__xludf.DUMMYFUNCTION("""COMPUTED_VALUE"""),12.0)</f>
        <v>12</v>
      </c>
      <c r="P153" s="211">
        <f>IFERROR(__xludf.DUMMYFUNCTION("""COMPUTED_VALUE"""),2468.0)</f>
        <v>2468</v>
      </c>
      <c r="Q153" s="211">
        <f>IFERROR(__xludf.DUMMYFUNCTION("""COMPUTED_VALUE"""),6.0)</f>
        <v>6</v>
      </c>
      <c r="R153" s="211">
        <f>IFERROR(__xludf.DUMMYFUNCTION("""COMPUTED_VALUE"""),2047.0)</f>
        <v>2047</v>
      </c>
      <c r="S153" s="211">
        <f>IFERROR(__xludf.DUMMYFUNCTION("""COMPUTED_VALUE"""),2.0)</f>
        <v>2</v>
      </c>
      <c r="T153" s="211">
        <f>IFERROR(__xludf.DUMMYFUNCTION("""COMPUTED_VALUE"""),331.0)</f>
        <v>331</v>
      </c>
      <c r="U153" s="211">
        <f>IFERROR(__xludf.DUMMYFUNCTION("""COMPUTED_VALUE"""),90.0)</f>
        <v>90</v>
      </c>
      <c r="V153" s="211">
        <f>IFERROR(__xludf.DUMMYFUNCTION("""COMPUTED_VALUE"""),88.0)</f>
        <v>88</v>
      </c>
      <c r="W153" s="211">
        <f>IFERROR(__xludf.DUMMYFUNCTION("""COMPUTED_VALUE"""),10.0)</f>
        <v>10</v>
      </c>
      <c r="X153" s="211">
        <f>IFERROR(__xludf.DUMMYFUNCTION("""COMPUTED_VALUE"""),5.0)</f>
        <v>5</v>
      </c>
      <c r="Y153" s="211">
        <f>IFERROR(__xludf.DUMMYFUNCTION("""COMPUTED_VALUE"""),3.0)</f>
        <v>3</v>
      </c>
      <c r="Z153" s="211">
        <f>IFERROR(__xludf.DUMMYFUNCTION("""COMPUTED_VALUE"""),1056.0)</f>
        <v>1056</v>
      </c>
    </row>
    <row r="154">
      <c r="A154" s="210">
        <f>IFERROR(__xludf.DUMMYFUNCTION("""COMPUTED_VALUE"""),44064.0)</f>
        <v>44064</v>
      </c>
      <c r="B154" s="211">
        <f>IFERROR(__xludf.DUMMYFUNCTION("""COMPUTED_VALUE"""),154.0)</f>
        <v>154</v>
      </c>
      <c r="C154" s="211">
        <f>IFERROR(__xludf.DUMMYFUNCTION("""COMPUTED_VALUE"""),147.0)</f>
        <v>147</v>
      </c>
      <c r="D154" s="211">
        <f>IFERROR(__xludf.DUMMYFUNCTION("""COMPUTED_VALUE"""),30509.0)</f>
        <v>30509</v>
      </c>
      <c r="E154" s="211">
        <f>IFERROR(__xludf.DUMMYFUNCTION("""COMPUTED_VALUE"""),6816.0)</f>
        <v>6816</v>
      </c>
      <c r="F154" s="151">
        <f>IFERROR(__xludf.DUMMYFUNCTION("""COMPUTED_VALUE"""),445537.0)</f>
        <v>445537</v>
      </c>
      <c r="G154" s="151">
        <f>IFERROR(__xludf.DUMMYFUNCTION("""COMPUTED_VALUE"""),6970.0)</f>
        <v>6970</v>
      </c>
      <c r="H154" s="151">
        <f>IFERROR(__xludf.DUMMYFUNCTION("""COMPUTED_VALUE"""),476046.0)</f>
        <v>476046</v>
      </c>
      <c r="I154" s="211">
        <f>IFERROR(__xludf.DUMMYFUNCTION("""COMPUTED_VALUE"""),126.0)</f>
        <v>126</v>
      </c>
      <c r="J154" s="211">
        <f>IFERROR(__xludf.DUMMYFUNCTION("""COMPUTED_VALUE"""),118.0)</f>
        <v>118</v>
      </c>
      <c r="K154" s="211">
        <f>IFERROR(__xludf.DUMMYFUNCTION("""COMPUTED_VALUE"""),21185.0)</f>
        <v>21185</v>
      </c>
      <c r="L154" s="211">
        <f>IFERROR(__xludf.DUMMYFUNCTION("""COMPUTED_VALUE"""),2965.0)</f>
        <v>2965</v>
      </c>
      <c r="M154" s="211">
        <f>IFERROR(__xludf.DUMMYFUNCTION("""COMPUTED_VALUE"""),234504.0)</f>
        <v>234504</v>
      </c>
      <c r="N154" s="211">
        <f>IFERROR(__xludf.DUMMYFUNCTION("""COMPUTED_VALUE"""),255689.0)</f>
        <v>255689</v>
      </c>
      <c r="O154" s="211">
        <f>IFERROR(__xludf.DUMMYFUNCTION("""COMPUTED_VALUE"""),8.0)</f>
        <v>8</v>
      </c>
      <c r="P154" s="211">
        <f>IFERROR(__xludf.DUMMYFUNCTION("""COMPUTED_VALUE"""),2476.0)</f>
        <v>2476</v>
      </c>
      <c r="Q154" s="211">
        <f>IFERROR(__xludf.DUMMYFUNCTION("""COMPUTED_VALUE"""),5.0)</f>
        <v>5</v>
      </c>
      <c r="R154" s="211">
        <f>IFERROR(__xludf.DUMMYFUNCTION("""COMPUTED_VALUE"""),2052.0)</f>
        <v>2052</v>
      </c>
      <c r="S154" s="211">
        <f>IFERROR(__xludf.DUMMYFUNCTION("""COMPUTED_VALUE"""),1.0)</f>
        <v>1</v>
      </c>
      <c r="T154" s="211">
        <f>IFERROR(__xludf.DUMMYFUNCTION("""COMPUTED_VALUE"""),332.0)</f>
        <v>332</v>
      </c>
      <c r="U154" s="211">
        <f>IFERROR(__xludf.DUMMYFUNCTION("""COMPUTED_VALUE"""),92.0)</f>
        <v>92</v>
      </c>
      <c r="V154" s="211">
        <f>IFERROR(__xludf.DUMMYFUNCTION("""COMPUTED_VALUE"""),89.0)</f>
        <v>89</v>
      </c>
      <c r="W154" s="211">
        <f>IFERROR(__xludf.DUMMYFUNCTION("""COMPUTED_VALUE"""),9.0)</f>
        <v>9</v>
      </c>
      <c r="X154" s="211">
        <f>IFERROR(__xludf.DUMMYFUNCTION("""COMPUTED_VALUE"""),4.0)</f>
        <v>4</v>
      </c>
      <c r="Y154" s="211">
        <f>IFERROR(__xludf.DUMMYFUNCTION("""COMPUTED_VALUE"""),2.0)</f>
        <v>2</v>
      </c>
      <c r="Z154" s="211">
        <f>IFERROR(__xludf.DUMMYFUNCTION("""COMPUTED_VALUE"""),1058.0)</f>
        <v>1058</v>
      </c>
    </row>
    <row r="155">
      <c r="A155" s="210">
        <f>IFERROR(__xludf.DUMMYFUNCTION("""COMPUTED_VALUE"""),44065.0)</f>
        <v>44065</v>
      </c>
      <c r="B155" s="211">
        <f>IFERROR(__xludf.DUMMYFUNCTION("""COMPUTED_VALUE"""),96.0)</f>
        <v>96</v>
      </c>
      <c r="C155" s="211">
        <f>IFERROR(__xludf.DUMMYFUNCTION("""COMPUTED_VALUE"""),141.0)</f>
        <v>141</v>
      </c>
      <c r="D155" s="211">
        <f>IFERROR(__xludf.DUMMYFUNCTION("""COMPUTED_VALUE"""),30605.0)</f>
        <v>30605</v>
      </c>
      <c r="E155" s="211">
        <f>IFERROR(__xludf.DUMMYFUNCTION("""COMPUTED_VALUE"""),5957.0)</f>
        <v>5957</v>
      </c>
      <c r="F155" s="151">
        <f>IFERROR(__xludf.DUMMYFUNCTION("""COMPUTED_VALUE"""),451494.0)</f>
        <v>451494</v>
      </c>
      <c r="G155" s="151">
        <f>IFERROR(__xludf.DUMMYFUNCTION("""COMPUTED_VALUE"""),6053.0)</f>
        <v>6053</v>
      </c>
      <c r="H155" s="151">
        <f>IFERROR(__xludf.DUMMYFUNCTION("""COMPUTED_VALUE"""),482099.0)</f>
        <v>482099</v>
      </c>
      <c r="I155" s="211">
        <f>IFERROR(__xludf.DUMMYFUNCTION("""COMPUTED_VALUE"""),84.0)</f>
        <v>84</v>
      </c>
      <c r="J155" s="211">
        <f>IFERROR(__xludf.DUMMYFUNCTION("""COMPUTED_VALUE"""),116.0)</f>
        <v>116</v>
      </c>
      <c r="K155" s="211">
        <f>IFERROR(__xludf.DUMMYFUNCTION("""COMPUTED_VALUE"""),21269.0)</f>
        <v>21269</v>
      </c>
      <c r="L155" s="211">
        <f>IFERROR(__xludf.DUMMYFUNCTION("""COMPUTED_VALUE"""),2627.0)</f>
        <v>2627</v>
      </c>
      <c r="M155" s="211">
        <f>IFERROR(__xludf.DUMMYFUNCTION("""COMPUTED_VALUE"""),237131.0)</f>
        <v>237131</v>
      </c>
      <c r="N155" s="211">
        <f>IFERROR(__xludf.DUMMYFUNCTION("""COMPUTED_VALUE"""),258400.0)</f>
        <v>258400</v>
      </c>
      <c r="O155" s="211">
        <f>IFERROR(__xludf.DUMMYFUNCTION("""COMPUTED_VALUE"""),10.0)</f>
        <v>10</v>
      </c>
      <c r="P155" s="211">
        <f>IFERROR(__xludf.DUMMYFUNCTION("""COMPUTED_VALUE"""),2486.0)</f>
        <v>2486</v>
      </c>
      <c r="Q155" s="211">
        <f>IFERROR(__xludf.DUMMYFUNCTION("""COMPUTED_VALUE"""),12.0)</f>
        <v>12</v>
      </c>
      <c r="R155" s="211">
        <f>IFERROR(__xludf.DUMMYFUNCTION("""COMPUTED_VALUE"""),2064.0)</f>
        <v>2064</v>
      </c>
      <c r="S155" s="211">
        <f>IFERROR(__xludf.DUMMYFUNCTION("""COMPUTED_VALUE"""),0.0)</f>
        <v>0</v>
      </c>
      <c r="T155" s="211">
        <f>IFERROR(__xludf.DUMMYFUNCTION("""COMPUTED_VALUE"""),332.0)</f>
        <v>332</v>
      </c>
      <c r="U155" s="211">
        <f>IFERROR(__xludf.DUMMYFUNCTION("""COMPUTED_VALUE"""),90.0)</f>
        <v>90</v>
      </c>
      <c r="V155" s="211">
        <f>IFERROR(__xludf.DUMMYFUNCTION("""COMPUTED_VALUE"""),91.0)</f>
        <v>91</v>
      </c>
      <c r="W155" s="211">
        <f>IFERROR(__xludf.DUMMYFUNCTION("""COMPUTED_VALUE"""),11.0)</f>
        <v>11</v>
      </c>
      <c r="X155" s="211">
        <f>IFERROR(__xludf.DUMMYFUNCTION("""COMPUTED_VALUE"""),4.0)</f>
        <v>4</v>
      </c>
      <c r="Y155" s="211">
        <f>IFERROR(__xludf.DUMMYFUNCTION("""COMPUTED_VALUE"""),1.0)</f>
        <v>1</v>
      </c>
      <c r="Z155" s="211">
        <f>IFERROR(__xludf.DUMMYFUNCTION("""COMPUTED_VALUE"""),1059.0)</f>
        <v>1059</v>
      </c>
    </row>
    <row r="156">
      <c r="A156" s="210">
        <f>IFERROR(__xludf.DUMMYFUNCTION("""COMPUTED_VALUE"""),44066.0)</f>
        <v>44066</v>
      </c>
      <c r="B156" s="211">
        <f>IFERROR(__xludf.DUMMYFUNCTION("""COMPUTED_VALUE"""),70.0)</f>
        <v>70</v>
      </c>
      <c r="C156" s="211">
        <f>IFERROR(__xludf.DUMMYFUNCTION("""COMPUTED_VALUE"""),107.0)</f>
        <v>107</v>
      </c>
      <c r="D156" s="211">
        <f>IFERROR(__xludf.DUMMYFUNCTION("""COMPUTED_VALUE"""),30675.0)</f>
        <v>30675</v>
      </c>
      <c r="E156" s="211">
        <f>IFERROR(__xludf.DUMMYFUNCTION("""COMPUTED_VALUE"""),4365.0)</f>
        <v>4365</v>
      </c>
      <c r="F156" s="151">
        <f>IFERROR(__xludf.DUMMYFUNCTION("""COMPUTED_VALUE"""),455859.0)</f>
        <v>455859</v>
      </c>
      <c r="G156" s="151">
        <f>IFERROR(__xludf.DUMMYFUNCTION("""COMPUTED_VALUE"""),4435.0)</f>
        <v>4435</v>
      </c>
      <c r="H156" s="151">
        <f>IFERROR(__xludf.DUMMYFUNCTION("""COMPUTED_VALUE"""),486534.0)</f>
        <v>486534</v>
      </c>
      <c r="I156" s="211">
        <f>IFERROR(__xludf.DUMMYFUNCTION("""COMPUTED_VALUE"""),56.0)</f>
        <v>56</v>
      </c>
      <c r="J156" s="211">
        <f>IFERROR(__xludf.DUMMYFUNCTION("""COMPUTED_VALUE"""),89.0)</f>
        <v>89</v>
      </c>
      <c r="K156" s="211">
        <f>IFERROR(__xludf.DUMMYFUNCTION("""COMPUTED_VALUE"""),21325.0)</f>
        <v>21325</v>
      </c>
      <c r="L156" s="211">
        <f>IFERROR(__xludf.DUMMYFUNCTION("""COMPUTED_VALUE"""),2476.0)</f>
        <v>2476</v>
      </c>
      <c r="M156" s="211">
        <f>IFERROR(__xludf.DUMMYFUNCTION("""COMPUTED_VALUE"""),239607.0)</f>
        <v>239607</v>
      </c>
      <c r="N156" s="211">
        <f>IFERROR(__xludf.DUMMYFUNCTION("""COMPUTED_VALUE"""),260932.0)</f>
        <v>260932</v>
      </c>
      <c r="O156" s="211">
        <f>IFERROR(__xludf.DUMMYFUNCTION("""COMPUTED_VALUE"""),11.0)</f>
        <v>11</v>
      </c>
      <c r="P156" s="211">
        <f>IFERROR(__xludf.DUMMYFUNCTION("""COMPUTED_VALUE"""),2497.0)</f>
        <v>2497</v>
      </c>
      <c r="Q156" s="211">
        <f>IFERROR(__xludf.DUMMYFUNCTION("""COMPUTED_VALUE"""),6.0)</f>
        <v>6</v>
      </c>
      <c r="R156" s="211">
        <f>IFERROR(__xludf.DUMMYFUNCTION("""COMPUTED_VALUE"""),2070.0)</f>
        <v>2070</v>
      </c>
      <c r="S156" s="211">
        <f>IFERROR(__xludf.DUMMYFUNCTION("""COMPUTED_VALUE"""),0.0)</f>
        <v>0</v>
      </c>
      <c r="T156" s="211">
        <f>IFERROR(__xludf.DUMMYFUNCTION("""COMPUTED_VALUE"""),332.0)</f>
        <v>332</v>
      </c>
      <c r="U156" s="211">
        <f>IFERROR(__xludf.DUMMYFUNCTION("""COMPUTED_VALUE"""),95.0)</f>
        <v>95</v>
      </c>
      <c r="V156" s="211">
        <f>IFERROR(__xludf.DUMMYFUNCTION("""COMPUTED_VALUE"""),92.0)</f>
        <v>92</v>
      </c>
      <c r="W156" s="211">
        <f>IFERROR(__xludf.DUMMYFUNCTION("""COMPUTED_VALUE"""),11.0)</f>
        <v>11</v>
      </c>
      <c r="X156" s="211">
        <f>IFERROR(__xludf.DUMMYFUNCTION("""COMPUTED_VALUE"""),2.0)</f>
        <v>2</v>
      </c>
      <c r="Y156" s="211">
        <f>IFERROR(__xludf.DUMMYFUNCTION("""COMPUTED_VALUE"""),1.0)</f>
        <v>1</v>
      </c>
      <c r="Z156" s="211">
        <f>IFERROR(__xludf.DUMMYFUNCTION("""COMPUTED_VALUE"""),1060.0)</f>
        <v>1060</v>
      </c>
    </row>
    <row r="157">
      <c r="A157" s="210">
        <f>IFERROR(__xludf.DUMMYFUNCTION("""COMPUTED_VALUE"""),44067.0)</f>
        <v>44067</v>
      </c>
      <c r="B157" s="211">
        <f>IFERROR(__xludf.DUMMYFUNCTION("""COMPUTED_VALUE"""),105.0)</f>
        <v>105</v>
      </c>
      <c r="C157" s="211">
        <f>IFERROR(__xludf.DUMMYFUNCTION("""COMPUTED_VALUE"""),90.0)</f>
        <v>90</v>
      </c>
      <c r="D157" s="211">
        <f>IFERROR(__xludf.DUMMYFUNCTION("""COMPUTED_VALUE"""),30780.0)</f>
        <v>30780</v>
      </c>
      <c r="E157" s="211">
        <f>IFERROR(__xludf.DUMMYFUNCTION("""COMPUTED_VALUE"""),5776.0)</f>
        <v>5776</v>
      </c>
      <c r="F157" s="151">
        <f>IFERROR(__xludf.DUMMYFUNCTION("""COMPUTED_VALUE"""),461635.0)</f>
        <v>461635</v>
      </c>
      <c r="G157" s="151">
        <f>IFERROR(__xludf.DUMMYFUNCTION("""COMPUTED_VALUE"""),5881.0)</f>
        <v>5881</v>
      </c>
      <c r="H157" s="151">
        <f>IFERROR(__xludf.DUMMYFUNCTION("""COMPUTED_VALUE"""),492415.0)</f>
        <v>492415</v>
      </c>
      <c r="I157" s="211">
        <f>IFERROR(__xludf.DUMMYFUNCTION("""COMPUTED_VALUE"""),77.0)</f>
        <v>77</v>
      </c>
      <c r="J157" s="211">
        <f>IFERROR(__xludf.DUMMYFUNCTION("""COMPUTED_VALUE"""),72.0)</f>
        <v>72</v>
      </c>
      <c r="K157" s="211">
        <f>IFERROR(__xludf.DUMMYFUNCTION("""COMPUTED_VALUE"""),21402.0)</f>
        <v>21402</v>
      </c>
      <c r="L157" s="211">
        <f>IFERROR(__xludf.DUMMYFUNCTION("""COMPUTED_VALUE"""),3161.0)</f>
        <v>3161</v>
      </c>
      <c r="M157" s="211">
        <f>IFERROR(__xludf.DUMMYFUNCTION("""COMPUTED_VALUE"""),242768.0)</f>
        <v>242768</v>
      </c>
      <c r="N157" s="211">
        <f>IFERROR(__xludf.DUMMYFUNCTION("""COMPUTED_VALUE"""),264170.0)</f>
        <v>264170</v>
      </c>
      <c r="O157" s="211">
        <f>IFERROR(__xludf.DUMMYFUNCTION("""COMPUTED_VALUE"""),7.0)</f>
        <v>7</v>
      </c>
      <c r="P157" s="211">
        <f>IFERROR(__xludf.DUMMYFUNCTION("""COMPUTED_VALUE"""),2504.0)</f>
        <v>2504</v>
      </c>
      <c r="Q157" s="211">
        <f>IFERROR(__xludf.DUMMYFUNCTION("""COMPUTED_VALUE"""),10.0)</f>
        <v>10</v>
      </c>
      <c r="R157" s="211">
        <f>IFERROR(__xludf.DUMMYFUNCTION("""COMPUTED_VALUE"""),2080.0)</f>
        <v>2080</v>
      </c>
      <c r="S157" s="211">
        <f>IFERROR(__xludf.DUMMYFUNCTION("""COMPUTED_VALUE"""),1.0)</f>
        <v>1</v>
      </c>
      <c r="T157" s="211">
        <f>IFERROR(__xludf.DUMMYFUNCTION("""COMPUTED_VALUE"""),333.0)</f>
        <v>333</v>
      </c>
      <c r="U157" s="211">
        <f>IFERROR(__xludf.DUMMYFUNCTION("""COMPUTED_VALUE"""),91.0)</f>
        <v>91</v>
      </c>
      <c r="V157" s="211">
        <f>IFERROR(__xludf.DUMMYFUNCTION("""COMPUTED_VALUE"""),92.0)</f>
        <v>92</v>
      </c>
      <c r="W157" s="211">
        <f>IFERROR(__xludf.DUMMYFUNCTION("""COMPUTED_VALUE"""),13.0)</f>
        <v>13</v>
      </c>
      <c r="X157" s="211">
        <f>IFERROR(__xludf.DUMMYFUNCTION("""COMPUTED_VALUE"""),4.0)</f>
        <v>4</v>
      </c>
      <c r="Y157" s="211">
        <f>IFERROR(__xludf.DUMMYFUNCTION("""COMPUTED_VALUE"""),1.0)</f>
        <v>1</v>
      </c>
      <c r="Z157" s="211">
        <f>IFERROR(__xludf.DUMMYFUNCTION("""COMPUTED_VALUE"""),1061.0)</f>
        <v>1061</v>
      </c>
    </row>
    <row r="158">
      <c r="A158" s="210">
        <f>IFERROR(__xludf.DUMMYFUNCTION("""COMPUTED_VALUE"""),44068.0)</f>
        <v>44068</v>
      </c>
      <c r="B158" s="211">
        <f>IFERROR(__xludf.DUMMYFUNCTION("""COMPUTED_VALUE"""),108.0)</f>
        <v>108</v>
      </c>
      <c r="C158" s="211">
        <f>IFERROR(__xludf.DUMMYFUNCTION("""COMPUTED_VALUE"""),94.0)</f>
        <v>94</v>
      </c>
      <c r="D158" s="211">
        <f>IFERROR(__xludf.DUMMYFUNCTION("""COMPUTED_VALUE"""),30888.0)</f>
        <v>30888</v>
      </c>
      <c r="E158" s="211">
        <f>IFERROR(__xludf.DUMMYFUNCTION("""COMPUTED_VALUE"""),4796.0)</f>
        <v>4796</v>
      </c>
      <c r="F158" s="151">
        <f>IFERROR(__xludf.DUMMYFUNCTION("""COMPUTED_VALUE"""),466431.0)</f>
        <v>466431</v>
      </c>
      <c r="G158" s="151">
        <f>IFERROR(__xludf.DUMMYFUNCTION("""COMPUTED_VALUE"""),4904.0)</f>
        <v>4904</v>
      </c>
      <c r="H158" s="151">
        <f>IFERROR(__xludf.DUMMYFUNCTION("""COMPUTED_VALUE"""),497319.0)</f>
        <v>497319</v>
      </c>
      <c r="I158" s="211">
        <f>IFERROR(__xludf.DUMMYFUNCTION("""COMPUTED_VALUE"""),92.0)</f>
        <v>92</v>
      </c>
      <c r="J158" s="211">
        <f>IFERROR(__xludf.DUMMYFUNCTION("""COMPUTED_VALUE"""),75.0)</f>
        <v>75</v>
      </c>
      <c r="K158" s="211">
        <f>IFERROR(__xludf.DUMMYFUNCTION("""COMPUTED_VALUE"""),21494.0)</f>
        <v>21494</v>
      </c>
      <c r="L158" s="211">
        <f>IFERROR(__xludf.DUMMYFUNCTION("""COMPUTED_VALUE"""),2302.0)</f>
        <v>2302</v>
      </c>
      <c r="M158" s="211">
        <f>IFERROR(__xludf.DUMMYFUNCTION("""COMPUTED_VALUE"""),245070.0)</f>
        <v>245070</v>
      </c>
      <c r="N158" s="211">
        <f>IFERROR(__xludf.DUMMYFUNCTION("""COMPUTED_VALUE"""),266564.0)</f>
        <v>266564</v>
      </c>
      <c r="O158" s="211">
        <f>IFERROR(__xludf.DUMMYFUNCTION("""COMPUTED_VALUE"""),10.0)</f>
        <v>10</v>
      </c>
      <c r="P158" s="211">
        <f>IFERROR(__xludf.DUMMYFUNCTION("""COMPUTED_VALUE"""),2514.0)</f>
        <v>2514</v>
      </c>
      <c r="Q158" s="211">
        <f>IFERROR(__xludf.DUMMYFUNCTION("""COMPUTED_VALUE"""),4.0)</f>
        <v>4</v>
      </c>
      <c r="R158" s="211">
        <f>IFERROR(__xludf.DUMMYFUNCTION("""COMPUTED_VALUE"""),2084.0)</f>
        <v>2084</v>
      </c>
      <c r="S158" s="211">
        <f>IFERROR(__xludf.DUMMYFUNCTION("""COMPUTED_VALUE"""),1.0)</f>
        <v>1</v>
      </c>
      <c r="T158" s="211">
        <f>IFERROR(__xludf.DUMMYFUNCTION("""COMPUTED_VALUE"""),334.0)</f>
        <v>334</v>
      </c>
      <c r="U158" s="211">
        <f>IFERROR(__xludf.DUMMYFUNCTION("""COMPUTED_VALUE"""),96.0)</f>
        <v>96</v>
      </c>
      <c r="V158" s="211">
        <f>IFERROR(__xludf.DUMMYFUNCTION("""COMPUTED_VALUE"""),94.0)</f>
        <v>94</v>
      </c>
      <c r="W158" s="211">
        <f>IFERROR(__xludf.DUMMYFUNCTION("""COMPUTED_VALUE"""),11.0)</f>
        <v>11</v>
      </c>
      <c r="X158" s="211">
        <f>IFERROR(__xludf.DUMMYFUNCTION("""COMPUTED_VALUE"""),4.0)</f>
        <v>4</v>
      </c>
      <c r="Y158" s="211">
        <f>IFERROR(__xludf.DUMMYFUNCTION("""COMPUTED_VALUE"""),1.0)</f>
        <v>1</v>
      </c>
      <c r="Z158" s="211">
        <f>IFERROR(__xludf.DUMMYFUNCTION("""COMPUTED_VALUE"""),1062.0)</f>
        <v>1062</v>
      </c>
    </row>
    <row r="159">
      <c r="A159" s="210">
        <f>IFERROR(__xludf.DUMMYFUNCTION("""COMPUTED_VALUE"""),44069.0)</f>
        <v>44069</v>
      </c>
      <c r="B159" s="211">
        <f>IFERROR(__xludf.DUMMYFUNCTION("""COMPUTED_VALUE"""),170.0)</f>
        <v>170</v>
      </c>
      <c r="C159" s="211">
        <f>IFERROR(__xludf.DUMMYFUNCTION("""COMPUTED_VALUE"""),128.0)</f>
        <v>128</v>
      </c>
      <c r="D159" s="211">
        <f>IFERROR(__xludf.DUMMYFUNCTION("""COMPUTED_VALUE"""),31058.0)</f>
        <v>31058</v>
      </c>
      <c r="E159" s="211">
        <f>IFERROR(__xludf.DUMMYFUNCTION("""COMPUTED_VALUE"""),9604.0)</f>
        <v>9604</v>
      </c>
      <c r="F159" s="151">
        <f>IFERROR(__xludf.DUMMYFUNCTION("""COMPUTED_VALUE"""),476035.0)</f>
        <v>476035</v>
      </c>
      <c r="G159" s="151">
        <f>IFERROR(__xludf.DUMMYFUNCTION("""COMPUTED_VALUE"""),9774.0)</f>
        <v>9774</v>
      </c>
      <c r="H159" s="151">
        <f>IFERROR(__xludf.DUMMYFUNCTION("""COMPUTED_VALUE"""),507093.0)</f>
        <v>507093</v>
      </c>
      <c r="I159" s="211">
        <f>IFERROR(__xludf.DUMMYFUNCTION("""COMPUTED_VALUE"""),127.0)</f>
        <v>127</v>
      </c>
      <c r="J159" s="211">
        <f>IFERROR(__xludf.DUMMYFUNCTION("""COMPUTED_VALUE"""),99.0)</f>
        <v>99</v>
      </c>
      <c r="K159" s="211">
        <f>IFERROR(__xludf.DUMMYFUNCTION("""COMPUTED_VALUE"""),21621.0)</f>
        <v>21621</v>
      </c>
      <c r="L159" s="211">
        <f>IFERROR(__xludf.DUMMYFUNCTION("""COMPUTED_VALUE"""),3086.0)</f>
        <v>3086</v>
      </c>
      <c r="M159" s="211">
        <f>IFERROR(__xludf.DUMMYFUNCTION("""COMPUTED_VALUE"""),248156.0)</f>
        <v>248156</v>
      </c>
      <c r="N159" s="211">
        <f>IFERROR(__xludf.DUMMYFUNCTION("""COMPUTED_VALUE"""),269777.0)</f>
        <v>269777</v>
      </c>
      <c r="O159" s="211">
        <f>IFERROR(__xludf.DUMMYFUNCTION("""COMPUTED_VALUE"""),4.0)</f>
        <v>4</v>
      </c>
      <c r="P159" s="211">
        <f>IFERROR(__xludf.DUMMYFUNCTION("""COMPUTED_VALUE"""),2518.0)</f>
        <v>2518</v>
      </c>
      <c r="Q159" s="211">
        <f>IFERROR(__xludf.DUMMYFUNCTION("""COMPUTED_VALUE"""),8.0)</f>
        <v>8</v>
      </c>
      <c r="R159" s="211">
        <f>IFERROR(__xludf.DUMMYFUNCTION("""COMPUTED_VALUE"""),2092.0)</f>
        <v>2092</v>
      </c>
      <c r="S159" s="211">
        <f>IFERROR(__xludf.DUMMYFUNCTION("""COMPUTED_VALUE"""),0.0)</f>
        <v>0</v>
      </c>
      <c r="T159" s="211">
        <f>IFERROR(__xludf.DUMMYFUNCTION("""COMPUTED_VALUE"""),334.0)</f>
        <v>334</v>
      </c>
      <c r="U159" s="211">
        <f>IFERROR(__xludf.DUMMYFUNCTION("""COMPUTED_VALUE"""),92.0)</f>
        <v>92</v>
      </c>
      <c r="V159" s="211">
        <f>IFERROR(__xludf.DUMMYFUNCTION("""COMPUTED_VALUE"""),93.0)</f>
        <v>93</v>
      </c>
      <c r="W159" s="211">
        <f>IFERROR(__xludf.DUMMYFUNCTION("""COMPUTED_VALUE"""),9.0)</f>
        <v>9</v>
      </c>
      <c r="X159" s="211">
        <f>IFERROR(__xludf.DUMMYFUNCTION("""COMPUTED_VALUE"""),5.0)</f>
        <v>5</v>
      </c>
      <c r="Y159" s="211">
        <f>IFERROR(__xludf.DUMMYFUNCTION("""COMPUTED_VALUE"""),1.0)</f>
        <v>1</v>
      </c>
      <c r="Z159" s="211">
        <f>IFERROR(__xludf.DUMMYFUNCTION("""COMPUTED_VALUE"""),1063.0)</f>
        <v>1063</v>
      </c>
    </row>
    <row r="160">
      <c r="A160" s="210">
        <f>IFERROR(__xludf.DUMMYFUNCTION("""COMPUTED_VALUE"""),44070.0)</f>
        <v>44070</v>
      </c>
      <c r="B160" s="211">
        <f>IFERROR(__xludf.DUMMYFUNCTION("""COMPUTED_VALUE"""),94.0)</f>
        <v>94</v>
      </c>
      <c r="C160" s="211">
        <f>IFERROR(__xludf.DUMMYFUNCTION("""COMPUTED_VALUE"""),124.0)</f>
        <v>124</v>
      </c>
      <c r="D160" s="211">
        <f>IFERROR(__xludf.DUMMYFUNCTION("""COMPUTED_VALUE"""),31152.0)</f>
        <v>31152</v>
      </c>
      <c r="E160" s="211">
        <f>IFERROR(__xludf.DUMMYFUNCTION("""COMPUTED_VALUE"""),8848.0)</f>
        <v>8848</v>
      </c>
      <c r="F160" s="151">
        <f>IFERROR(__xludf.DUMMYFUNCTION("""COMPUTED_VALUE"""),484883.0)</f>
        <v>484883</v>
      </c>
      <c r="G160" s="151">
        <f>IFERROR(__xludf.DUMMYFUNCTION("""COMPUTED_VALUE"""),8942.0)</f>
        <v>8942</v>
      </c>
      <c r="H160" s="151">
        <f>IFERROR(__xludf.DUMMYFUNCTION("""COMPUTED_VALUE"""),516035.0)</f>
        <v>516035</v>
      </c>
      <c r="I160" s="211">
        <f>IFERROR(__xludf.DUMMYFUNCTION("""COMPUTED_VALUE"""),71.0)</f>
        <v>71</v>
      </c>
      <c r="J160" s="211">
        <f>IFERROR(__xludf.DUMMYFUNCTION("""COMPUTED_VALUE"""),97.0)</f>
        <v>97</v>
      </c>
      <c r="K160" s="211">
        <f>IFERROR(__xludf.DUMMYFUNCTION("""COMPUTED_VALUE"""),21692.0)</f>
        <v>21692</v>
      </c>
      <c r="L160" s="211">
        <f>IFERROR(__xludf.DUMMYFUNCTION("""COMPUTED_VALUE"""),3218.0)</f>
        <v>3218</v>
      </c>
      <c r="M160" s="211">
        <f>IFERROR(__xludf.DUMMYFUNCTION("""COMPUTED_VALUE"""),251374.0)</f>
        <v>251374</v>
      </c>
      <c r="N160" s="211">
        <f>IFERROR(__xludf.DUMMYFUNCTION("""COMPUTED_VALUE"""),273066.0)</f>
        <v>273066</v>
      </c>
      <c r="O160" s="211">
        <f>IFERROR(__xludf.DUMMYFUNCTION("""COMPUTED_VALUE"""),6.0)</f>
        <v>6</v>
      </c>
      <c r="P160" s="211">
        <f>IFERROR(__xludf.DUMMYFUNCTION("""COMPUTED_VALUE"""),2524.0)</f>
        <v>2524</v>
      </c>
      <c r="Q160" s="211">
        <f>IFERROR(__xludf.DUMMYFUNCTION("""COMPUTED_VALUE"""),13.0)</f>
        <v>13</v>
      </c>
      <c r="R160" s="211">
        <f>IFERROR(__xludf.DUMMYFUNCTION("""COMPUTED_VALUE"""),2105.0)</f>
        <v>2105</v>
      </c>
      <c r="S160" s="211">
        <f>IFERROR(__xludf.DUMMYFUNCTION("""COMPUTED_VALUE"""),1.0)</f>
        <v>1</v>
      </c>
      <c r="T160" s="211">
        <f>IFERROR(__xludf.DUMMYFUNCTION("""COMPUTED_VALUE"""),335.0)</f>
        <v>335</v>
      </c>
      <c r="U160" s="211">
        <f>IFERROR(__xludf.DUMMYFUNCTION("""COMPUTED_VALUE"""),84.0)</f>
        <v>84</v>
      </c>
      <c r="V160" s="211">
        <f>IFERROR(__xludf.DUMMYFUNCTION("""COMPUTED_VALUE"""),91.0)</f>
        <v>91</v>
      </c>
      <c r="W160" s="211">
        <f>IFERROR(__xludf.DUMMYFUNCTION("""COMPUTED_VALUE"""),6.0)</f>
        <v>6</v>
      </c>
      <c r="X160" s="211">
        <f>IFERROR(__xludf.DUMMYFUNCTION("""COMPUTED_VALUE"""),5.0)</f>
        <v>5</v>
      </c>
      <c r="Y160" s="211">
        <f>IFERROR(__xludf.DUMMYFUNCTION("""COMPUTED_VALUE"""),2.0)</f>
        <v>2</v>
      </c>
      <c r="Z160" s="211">
        <f>IFERROR(__xludf.DUMMYFUNCTION("""COMPUTED_VALUE"""),1065.0)</f>
        <v>1065</v>
      </c>
    </row>
    <row r="161">
      <c r="A161" s="210">
        <f>IFERROR(__xludf.DUMMYFUNCTION("""COMPUTED_VALUE"""),44071.0)</f>
        <v>44071</v>
      </c>
      <c r="B161" s="211">
        <f>IFERROR(__xludf.DUMMYFUNCTION("""COMPUTED_VALUE"""),112.0)</f>
        <v>112</v>
      </c>
      <c r="C161" s="211">
        <f>IFERROR(__xludf.DUMMYFUNCTION("""COMPUTED_VALUE"""),125.0)</f>
        <v>125</v>
      </c>
      <c r="D161" s="211">
        <f>IFERROR(__xludf.DUMMYFUNCTION("""COMPUTED_VALUE"""),31264.0)</f>
        <v>31264</v>
      </c>
      <c r="E161" s="211">
        <f>IFERROR(__xludf.DUMMYFUNCTION("""COMPUTED_VALUE"""),8106.0)</f>
        <v>8106</v>
      </c>
      <c r="F161" s="151">
        <f>IFERROR(__xludf.DUMMYFUNCTION("""COMPUTED_VALUE"""),492989.0)</f>
        <v>492989</v>
      </c>
      <c r="G161" s="151">
        <f>IFERROR(__xludf.DUMMYFUNCTION("""COMPUTED_VALUE"""),8218.0)</f>
        <v>8218</v>
      </c>
      <c r="H161" s="151">
        <f>IFERROR(__xludf.DUMMYFUNCTION("""COMPUTED_VALUE"""),524253.0)</f>
        <v>524253</v>
      </c>
      <c r="I161" s="211">
        <f>IFERROR(__xludf.DUMMYFUNCTION("""COMPUTED_VALUE"""),88.0)</f>
        <v>88</v>
      </c>
      <c r="J161" s="211">
        <f>IFERROR(__xludf.DUMMYFUNCTION("""COMPUTED_VALUE"""),95.0)</f>
        <v>95</v>
      </c>
      <c r="K161" s="211">
        <f>IFERROR(__xludf.DUMMYFUNCTION("""COMPUTED_VALUE"""),21780.0)</f>
        <v>21780</v>
      </c>
      <c r="L161" s="211">
        <f>IFERROR(__xludf.DUMMYFUNCTION("""COMPUTED_VALUE"""),2440.0)</f>
        <v>2440</v>
      </c>
      <c r="M161" s="211">
        <f>IFERROR(__xludf.DUMMYFUNCTION("""COMPUTED_VALUE"""),253814.0)</f>
        <v>253814</v>
      </c>
      <c r="N161" s="211">
        <f>IFERROR(__xludf.DUMMYFUNCTION("""COMPUTED_VALUE"""),275594.0)</f>
        <v>275594</v>
      </c>
      <c r="O161" s="211">
        <f>IFERROR(__xludf.DUMMYFUNCTION("""COMPUTED_VALUE"""),14.0)</f>
        <v>14</v>
      </c>
      <c r="P161" s="211">
        <f>IFERROR(__xludf.DUMMYFUNCTION("""COMPUTED_VALUE"""),2538.0)</f>
        <v>2538</v>
      </c>
      <c r="Q161" s="211">
        <f>IFERROR(__xludf.DUMMYFUNCTION("""COMPUTED_VALUE"""),4.0)</f>
        <v>4</v>
      </c>
      <c r="R161" s="211">
        <f>IFERROR(__xludf.DUMMYFUNCTION("""COMPUTED_VALUE"""),2109.0)</f>
        <v>2109</v>
      </c>
      <c r="S161" s="211">
        <f>IFERROR(__xludf.DUMMYFUNCTION("""COMPUTED_VALUE"""),0.0)</f>
        <v>0</v>
      </c>
      <c r="T161" s="211">
        <f>IFERROR(__xludf.DUMMYFUNCTION("""COMPUTED_VALUE"""),335.0)</f>
        <v>335</v>
      </c>
      <c r="U161" s="211">
        <f>IFERROR(__xludf.DUMMYFUNCTION("""COMPUTED_VALUE"""),94.0)</f>
        <v>94</v>
      </c>
      <c r="V161" s="211">
        <f>IFERROR(__xludf.DUMMYFUNCTION("""COMPUTED_VALUE"""),90.0)</f>
        <v>90</v>
      </c>
      <c r="W161" s="211">
        <f>IFERROR(__xludf.DUMMYFUNCTION("""COMPUTED_VALUE"""),9.0)</f>
        <v>9</v>
      </c>
      <c r="X161" s="211">
        <f>IFERROR(__xludf.DUMMYFUNCTION("""COMPUTED_VALUE"""),7.0)</f>
        <v>7</v>
      </c>
      <c r="Y161" s="211">
        <f>IFERROR(__xludf.DUMMYFUNCTION("""COMPUTED_VALUE"""),2.0)</f>
        <v>2</v>
      </c>
      <c r="Z161" s="211">
        <f>IFERROR(__xludf.DUMMYFUNCTION("""COMPUTED_VALUE"""),1067.0)</f>
        <v>1067</v>
      </c>
    </row>
    <row r="162">
      <c r="A162" s="210">
        <f>IFERROR(__xludf.DUMMYFUNCTION("""COMPUTED_VALUE"""),44072.0)</f>
        <v>44072</v>
      </c>
      <c r="B162" s="211">
        <f>IFERROR(__xludf.DUMMYFUNCTION("""COMPUTED_VALUE"""),65.0)</f>
        <v>65</v>
      </c>
      <c r="C162" s="211">
        <f>IFERROR(__xludf.DUMMYFUNCTION("""COMPUTED_VALUE"""),90.0)</f>
        <v>90</v>
      </c>
      <c r="D162" s="211">
        <f>IFERROR(__xludf.DUMMYFUNCTION("""COMPUTED_VALUE"""),31329.0)</f>
        <v>31329</v>
      </c>
      <c r="E162" s="211">
        <f>IFERROR(__xludf.DUMMYFUNCTION("""COMPUTED_VALUE"""),5516.0)</f>
        <v>5516</v>
      </c>
      <c r="F162" s="151">
        <f>IFERROR(__xludf.DUMMYFUNCTION("""COMPUTED_VALUE"""),498505.0)</f>
        <v>498505</v>
      </c>
      <c r="G162" s="151">
        <f>IFERROR(__xludf.DUMMYFUNCTION("""COMPUTED_VALUE"""),5581.0)</f>
        <v>5581</v>
      </c>
      <c r="H162" s="151">
        <f>IFERROR(__xludf.DUMMYFUNCTION("""COMPUTED_VALUE"""),529834.0)</f>
        <v>529834</v>
      </c>
      <c r="I162" s="211">
        <f>IFERROR(__xludf.DUMMYFUNCTION("""COMPUTED_VALUE"""),51.0)</f>
        <v>51</v>
      </c>
      <c r="J162" s="211">
        <f>IFERROR(__xludf.DUMMYFUNCTION("""COMPUTED_VALUE"""),70.0)</f>
        <v>70</v>
      </c>
      <c r="K162" s="211">
        <f>IFERROR(__xludf.DUMMYFUNCTION("""COMPUTED_VALUE"""),21831.0)</f>
        <v>21831</v>
      </c>
      <c r="L162" s="211">
        <f>IFERROR(__xludf.DUMMYFUNCTION("""COMPUTED_VALUE"""),1910.0)</f>
        <v>1910</v>
      </c>
      <c r="M162" s="211">
        <f>IFERROR(__xludf.DUMMYFUNCTION("""COMPUTED_VALUE"""),255724.0)</f>
        <v>255724</v>
      </c>
      <c r="N162" s="211">
        <f>IFERROR(__xludf.DUMMYFUNCTION("""COMPUTED_VALUE"""),277555.0)</f>
        <v>277555</v>
      </c>
      <c r="O162" s="211">
        <f>IFERROR(__xludf.DUMMYFUNCTION("""COMPUTED_VALUE"""),6.0)</f>
        <v>6</v>
      </c>
      <c r="P162" s="211">
        <f>IFERROR(__xludf.DUMMYFUNCTION("""COMPUTED_VALUE"""),2544.0)</f>
        <v>2544</v>
      </c>
      <c r="Q162" s="211">
        <f>IFERROR(__xludf.DUMMYFUNCTION("""COMPUTED_VALUE"""),8.0)</f>
        <v>8</v>
      </c>
      <c r="R162" s="211">
        <f>IFERROR(__xludf.DUMMYFUNCTION("""COMPUTED_VALUE"""),2117.0)</f>
        <v>2117</v>
      </c>
      <c r="S162" s="211">
        <f>IFERROR(__xludf.DUMMYFUNCTION("""COMPUTED_VALUE"""),1.0)</f>
        <v>1</v>
      </c>
      <c r="T162" s="211">
        <f>IFERROR(__xludf.DUMMYFUNCTION("""COMPUTED_VALUE"""),336.0)</f>
        <v>336</v>
      </c>
      <c r="U162" s="211">
        <f>IFERROR(__xludf.DUMMYFUNCTION("""COMPUTED_VALUE"""),91.0)</f>
        <v>91</v>
      </c>
      <c r="V162" s="211">
        <f>IFERROR(__xludf.DUMMYFUNCTION("""COMPUTED_VALUE"""),90.0)</f>
        <v>90</v>
      </c>
      <c r="W162" s="211">
        <f>IFERROR(__xludf.DUMMYFUNCTION("""COMPUTED_VALUE"""),10.0)</f>
        <v>10</v>
      </c>
      <c r="X162" s="211">
        <f>IFERROR(__xludf.DUMMYFUNCTION("""COMPUTED_VALUE"""),6.0)</f>
        <v>6</v>
      </c>
      <c r="Y162" s="211">
        <f>IFERROR(__xludf.DUMMYFUNCTION("""COMPUTED_VALUE"""),2.0)</f>
        <v>2</v>
      </c>
      <c r="Z162" s="211">
        <f>IFERROR(__xludf.DUMMYFUNCTION("""COMPUTED_VALUE"""),1069.0)</f>
        <v>1069</v>
      </c>
    </row>
    <row r="163">
      <c r="A163" s="210">
        <f>IFERROR(__xludf.DUMMYFUNCTION("""COMPUTED_VALUE"""),44073.0)</f>
        <v>44073</v>
      </c>
      <c r="B163" s="211">
        <f>IFERROR(__xludf.DUMMYFUNCTION("""COMPUTED_VALUE"""),66.0)</f>
        <v>66</v>
      </c>
      <c r="C163" s="211">
        <f>IFERROR(__xludf.DUMMYFUNCTION("""COMPUTED_VALUE"""),81.0)</f>
        <v>81</v>
      </c>
      <c r="D163" s="211">
        <f>IFERROR(__xludf.DUMMYFUNCTION("""COMPUTED_VALUE"""),31395.0)</f>
        <v>31395</v>
      </c>
      <c r="E163" s="211">
        <f>IFERROR(__xludf.DUMMYFUNCTION("""COMPUTED_VALUE"""),4319.0)</f>
        <v>4319</v>
      </c>
      <c r="F163" s="151">
        <f>IFERROR(__xludf.DUMMYFUNCTION("""COMPUTED_VALUE"""),502824.0)</f>
        <v>502824</v>
      </c>
      <c r="G163" s="151">
        <f>IFERROR(__xludf.DUMMYFUNCTION("""COMPUTED_VALUE"""),4385.0)</f>
        <v>4385</v>
      </c>
      <c r="H163" s="151">
        <f>IFERROR(__xludf.DUMMYFUNCTION("""COMPUTED_VALUE"""),534219.0)</f>
        <v>534219</v>
      </c>
      <c r="I163" s="211">
        <f>IFERROR(__xludf.DUMMYFUNCTION("""COMPUTED_VALUE"""),48.0)</f>
        <v>48</v>
      </c>
      <c r="J163" s="211">
        <f>IFERROR(__xludf.DUMMYFUNCTION("""COMPUTED_VALUE"""),62.0)</f>
        <v>62</v>
      </c>
      <c r="K163" s="211">
        <f>IFERROR(__xludf.DUMMYFUNCTION("""COMPUTED_VALUE"""),21879.0)</f>
        <v>21879</v>
      </c>
      <c r="L163" s="211">
        <f>IFERROR(__xludf.DUMMYFUNCTION("""COMPUTED_VALUE"""),1997.0)</f>
        <v>1997</v>
      </c>
      <c r="M163" s="211">
        <f>IFERROR(__xludf.DUMMYFUNCTION("""COMPUTED_VALUE"""),257721.0)</f>
        <v>257721</v>
      </c>
      <c r="N163" s="211">
        <f>IFERROR(__xludf.DUMMYFUNCTION("""COMPUTED_VALUE"""),279600.0)</f>
        <v>279600</v>
      </c>
      <c r="O163" s="211">
        <f>IFERROR(__xludf.DUMMYFUNCTION("""COMPUTED_VALUE"""),7.0)</f>
        <v>7</v>
      </c>
      <c r="P163" s="211">
        <f>IFERROR(__xludf.DUMMYFUNCTION("""COMPUTED_VALUE"""),2551.0)</f>
        <v>2551</v>
      </c>
      <c r="Q163" s="211">
        <f>IFERROR(__xludf.DUMMYFUNCTION("""COMPUTED_VALUE"""),4.0)</f>
        <v>4</v>
      </c>
      <c r="R163" s="211">
        <f>IFERROR(__xludf.DUMMYFUNCTION("""COMPUTED_VALUE"""),2121.0)</f>
        <v>2121</v>
      </c>
      <c r="S163" s="211">
        <f>IFERROR(__xludf.DUMMYFUNCTION("""COMPUTED_VALUE"""),0.0)</f>
        <v>0</v>
      </c>
      <c r="T163" s="211">
        <f>IFERROR(__xludf.DUMMYFUNCTION("""COMPUTED_VALUE"""),336.0)</f>
        <v>336</v>
      </c>
      <c r="U163" s="211">
        <f>IFERROR(__xludf.DUMMYFUNCTION("""COMPUTED_VALUE"""),94.0)</f>
        <v>94</v>
      </c>
      <c r="V163" s="211">
        <f>IFERROR(__xludf.DUMMYFUNCTION("""COMPUTED_VALUE"""),93.0)</f>
        <v>93</v>
      </c>
      <c r="W163" s="211">
        <f>IFERROR(__xludf.DUMMYFUNCTION("""COMPUTED_VALUE"""),8.0)</f>
        <v>8</v>
      </c>
      <c r="X163" s="211">
        <f>IFERROR(__xludf.DUMMYFUNCTION("""COMPUTED_VALUE"""),5.0)</f>
        <v>5</v>
      </c>
      <c r="Y163" s="211">
        <f>IFERROR(__xludf.DUMMYFUNCTION("""COMPUTED_VALUE"""),2.0)</f>
        <v>2</v>
      </c>
      <c r="Z163" s="211">
        <f>IFERROR(__xludf.DUMMYFUNCTION("""COMPUTED_VALUE"""),1071.0)</f>
        <v>1071</v>
      </c>
    </row>
    <row r="164">
      <c r="A164" s="210">
        <f>IFERROR(__xludf.DUMMYFUNCTION("""COMPUTED_VALUE"""),44074.0)</f>
        <v>44074</v>
      </c>
      <c r="B164" s="211">
        <f>IFERROR(__xludf.DUMMYFUNCTION("""COMPUTED_VALUE"""),105.0)</f>
        <v>105</v>
      </c>
      <c r="C164" s="211">
        <f>IFERROR(__xludf.DUMMYFUNCTION("""COMPUTED_VALUE"""),79.0)</f>
        <v>79</v>
      </c>
      <c r="D164" s="211">
        <f>IFERROR(__xludf.DUMMYFUNCTION("""COMPUTED_VALUE"""),31500.0)</f>
        <v>31500</v>
      </c>
      <c r="E164" s="211">
        <f>IFERROR(__xludf.DUMMYFUNCTION("""COMPUTED_VALUE"""),4864.0)</f>
        <v>4864</v>
      </c>
      <c r="F164" s="151">
        <f>IFERROR(__xludf.DUMMYFUNCTION("""COMPUTED_VALUE"""),507688.0)</f>
        <v>507688</v>
      </c>
      <c r="G164" s="151">
        <f>IFERROR(__xludf.DUMMYFUNCTION("""COMPUTED_VALUE"""),4969.0)</f>
        <v>4969</v>
      </c>
      <c r="H164" s="151">
        <f>IFERROR(__xludf.DUMMYFUNCTION("""COMPUTED_VALUE"""),539188.0)</f>
        <v>539188</v>
      </c>
      <c r="I164" s="211">
        <f>IFERROR(__xludf.DUMMYFUNCTION("""COMPUTED_VALUE"""),80.0)</f>
        <v>80</v>
      </c>
      <c r="J164" s="211">
        <f>IFERROR(__xludf.DUMMYFUNCTION("""COMPUTED_VALUE"""),60.0)</f>
        <v>60</v>
      </c>
      <c r="K164" s="211">
        <f>IFERROR(__xludf.DUMMYFUNCTION("""COMPUTED_VALUE"""),21959.0)</f>
        <v>21959</v>
      </c>
      <c r="L164" s="211">
        <f>IFERROR(__xludf.DUMMYFUNCTION("""COMPUTED_VALUE"""),2189.0)</f>
        <v>2189</v>
      </c>
      <c r="M164" s="211">
        <f>IFERROR(__xludf.DUMMYFUNCTION("""COMPUTED_VALUE"""),259910.0)</f>
        <v>259910</v>
      </c>
      <c r="N164" s="211">
        <f>IFERROR(__xludf.DUMMYFUNCTION("""COMPUTED_VALUE"""),281869.0)</f>
        <v>281869</v>
      </c>
      <c r="O164" s="211">
        <f>IFERROR(__xludf.DUMMYFUNCTION("""COMPUTED_VALUE"""),12.0)</f>
        <v>12</v>
      </c>
      <c r="P164" s="211">
        <f>IFERROR(__xludf.DUMMYFUNCTION("""COMPUTED_VALUE"""),2563.0)</f>
        <v>2563</v>
      </c>
      <c r="Q164" s="211">
        <f>IFERROR(__xludf.DUMMYFUNCTION("""COMPUTED_VALUE"""),15.0)</f>
        <v>15</v>
      </c>
      <c r="R164" s="211">
        <f>IFERROR(__xludf.DUMMYFUNCTION("""COMPUTED_VALUE"""),2136.0)</f>
        <v>2136</v>
      </c>
      <c r="S164" s="211">
        <f>IFERROR(__xludf.DUMMYFUNCTION("""COMPUTED_VALUE"""),0.0)</f>
        <v>0</v>
      </c>
      <c r="T164" s="211">
        <f>IFERROR(__xludf.DUMMYFUNCTION("""COMPUTED_VALUE"""),336.0)</f>
        <v>336</v>
      </c>
      <c r="U164" s="211">
        <f>IFERROR(__xludf.DUMMYFUNCTION("""COMPUTED_VALUE"""),91.0)</f>
        <v>91</v>
      </c>
      <c r="V164" s="211">
        <f>IFERROR(__xludf.DUMMYFUNCTION("""COMPUTED_VALUE"""),92.0)</f>
        <v>92</v>
      </c>
      <c r="W164" s="211">
        <f>IFERROR(__xludf.DUMMYFUNCTION("""COMPUTED_VALUE"""),8.0)</f>
        <v>8</v>
      </c>
      <c r="X164" s="211">
        <f>IFERROR(__xludf.DUMMYFUNCTION("""COMPUTED_VALUE"""),4.0)</f>
        <v>4</v>
      </c>
      <c r="Y164" s="211">
        <f>IFERROR(__xludf.DUMMYFUNCTION("""COMPUTED_VALUE"""),1.0)</f>
        <v>1</v>
      </c>
      <c r="Z164" s="211">
        <f>IFERROR(__xludf.DUMMYFUNCTION("""COMPUTED_VALUE"""),1072.0)</f>
        <v>1072</v>
      </c>
    </row>
    <row r="165">
      <c r="A165" s="210">
        <f>IFERROR(__xludf.DUMMYFUNCTION("""COMPUTED_VALUE"""),44075.0)</f>
        <v>44075</v>
      </c>
      <c r="B165" s="211">
        <f>IFERROR(__xludf.DUMMYFUNCTION("""COMPUTED_VALUE"""),98.0)</f>
        <v>98</v>
      </c>
      <c r="C165" s="211">
        <f>IFERROR(__xludf.DUMMYFUNCTION("""COMPUTED_VALUE"""),90.0)</f>
        <v>90</v>
      </c>
      <c r="D165" s="211">
        <f>IFERROR(__xludf.DUMMYFUNCTION("""COMPUTED_VALUE"""),31598.0)</f>
        <v>31598</v>
      </c>
      <c r="E165" s="211">
        <f>IFERROR(__xludf.DUMMYFUNCTION("""COMPUTED_VALUE"""),7199.0)</f>
        <v>7199</v>
      </c>
      <c r="F165" s="151">
        <f>IFERROR(__xludf.DUMMYFUNCTION("""COMPUTED_VALUE"""),514887.0)</f>
        <v>514887</v>
      </c>
      <c r="G165" s="151">
        <f>IFERROR(__xludf.DUMMYFUNCTION("""COMPUTED_VALUE"""),7297.0)</f>
        <v>7297</v>
      </c>
      <c r="H165" s="151">
        <f>IFERROR(__xludf.DUMMYFUNCTION("""COMPUTED_VALUE"""),546485.0)</f>
        <v>546485</v>
      </c>
      <c r="I165" s="211">
        <f>IFERROR(__xludf.DUMMYFUNCTION("""COMPUTED_VALUE"""),65.0)</f>
        <v>65</v>
      </c>
      <c r="J165" s="211">
        <f>IFERROR(__xludf.DUMMYFUNCTION("""COMPUTED_VALUE"""),64.0)</f>
        <v>64</v>
      </c>
      <c r="K165" s="211">
        <f>IFERROR(__xludf.DUMMYFUNCTION("""COMPUTED_VALUE"""),22024.0)</f>
        <v>22024</v>
      </c>
      <c r="L165" s="211">
        <f>IFERROR(__xludf.DUMMYFUNCTION("""COMPUTED_VALUE"""),2381.0)</f>
        <v>2381</v>
      </c>
      <c r="M165" s="211">
        <f>IFERROR(__xludf.DUMMYFUNCTION("""COMPUTED_VALUE"""),262291.0)</f>
        <v>262291</v>
      </c>
      <c r="N165" s="211">
        <f>IFERROR(__xludf.DUMMYFUNCTION("""COMPUTED_VALUE"""),284315.0)</f>
        <v>284315</v>
      </c>
      <c r="O165" s="211">
        <f>IFERROR(__xludf.DUMMYFUNCTION("""COMPUTED_VALUE"""),6.0)</f>
        <v>6</v>
      </c>
      <c r="P165" s="211">
        <f>IFERROR(__xludf.DUMMYFUNCTION("""COMPUTED_VALUE"""),2569.0)</f>
        <v>2569</v>
      </c>
      <c r="Q165" s="211">
        <f>IFERROR(__xludf.DUMMYFUNCTION("""COMPUTED_VALUE"""),9.0)</f>
        <v>9</v>
      </c>
      <c r="R165" s="211">
        <f>IFERROR(__xludf.DUMMYFUNCTION("""COMPUTED_VALUE"""),2145.0)</f>
        <v>2145</v>
      </c>
      <c r="S165" s="211">
        <f>IFERROR(__xludf.DUMMYFUNCTION("""COMPUTED_VALUE"""),1.0)</f>
        <v>1</v>
      </c>
      <c r="T165" s="211">
        <f>IFERROR(__xludf.DUMMYFUNCTION("""COMPUTED_VALUE"""),337.0)</f>
        <v>337</v>
      </c>
      <c r="U165" s="211">
        <f>IFERROR(__xludf.DUMMYFUNCTION("""COMPUTED_VALUE"""),87.0)</f>
        <v>87</v>
      </c>
      <c r="V165" s="211">
        <f>IFERROR(__xludf.DUMMYFUNCTION("""COMPUTED_VALUE"""),91.0)</f>
        <v>91</v>
      </c>
      <c r="W165" s="211">
        <f>IFERROR(__xludf.DUMMYFUNCTION("""COMPUTED_VALUE"""),7.0)</f>
        <v>7</v>
      </c>
      <c r="X165" s="211">
        <f>IFERROR(__xludf.DUMMYFUNCTION("""COMPUTED_VALUE"""),4.0)</f>
        <v>4</v>
      </c>
      <c r="Y165" s="211">
        <f>IFERROR(__xludf.DUMMYFUNCTION("""COMPUTED_VALUE"""),2.0)</f>
        <v>2</v>
      </c>
      <c r="Z165" s="211">
        <f>IFERROR(__xludf.DUMMYFUNCTION("""COMPUTED_VALUE"""),1074.0)</f>
        <v>1074</v>
      </c>
    </row>
    <row r="166">
      <c r="A166" s="210">
        <f>IFERROR(__xludf.DUMMYFUNCTION("""COMPUTED_VALUE"""),44076.0)</f>
        <v>44076</v>
      </c>
      <c r="B166" s="211">
        <f>IFERROR(__xludf.DUMMYFUNCTION("""COMPUTED_VALUE"""),125.0)</f>
        <v>125</v>
      </c>
      <c r="C166" s="211">
        <f>IFERROR(__xludf.DUMMYFUNCTION("""COMPUTED_VALUE"""),109.0)</f>
        <v>109</v>
      </c>
      <c r="D166" s="211">
        <f>IFERROR(__xludf.DUMMYFUNCTION("""COMPUTED_VALUE"""),31723.0)</f>
        <v>31723</v>
      </c>
      <c r="E166" s="211">
        <f>IFERROR(__xludf.DUMMYFUNCTION("""COMPUTED_VALUE"""),10750.0)</f>
        <v>10750</v>
      </c>
      <c r="F166" s="151">
        <f>IFERROR(__xludf.DUMMYFUNCTION("""COMPUTED_VALUE"""),525637.0)</f>
        <v>525637</v>
      </c>
      <c r="G166" s="151">
        <f>IFERROR(__xludf.DUMMYFUNCTION("""COMPUTED_VALUE"""),10875.0)</f>
        <v>10875</v>
      </c>
      <c r="H166" s="151">
        <f>IFERROR(__xludf.DUMMYFUNCTION("""COMPUTED_VALUE"""),557360.0)</f>
        <v>557360</v>
      </c>
      <c r="I166" s="211">
        <f>IFERROR(__xludf.DUMMYFUNCTION("""COMPUTED_VALUE"""),104.0)</f>
        <v>104</v>
      </c>
      <c r="J166" s="211">
        <f>IFERROR(__xludf.DUMMYFUNCTION("""COMPUTED_VALUE"""),83.0)</f>
        <v>83</v>
      </c>
      <c r="K166" s="211">
        <f>IFERROR(__xludf.DUMMYFUNCTION("""COMPUTED_VALUE"""),22128.0)</f>
        <v>22128</v>
      </c>
      <c r="L166" s="211">
        <f>IFERROR(__xludf.DUMMYFUNCTION("""COMPUTED_VALUE"""),3068.0)</f>
        <v>3068</v>
      </c>
      <c r="M166" s="211">
        <f>IFERROR(__xludf.DUMMYFUNCTION("""COMPUTED_VALUE"""),265359.0)</f>
        <v>265359</v>
      </c>
      <c r="N166" s="211">
        <f>IFERROR(__xludf.DUMMYFUNCTION("""COMPUTED_VALUE"""),287487.0)</f>
        <v>287487</v>
      </c>
      <c r="O166" s="211">
        <f>IFERROR(__xludf.DUMMYFUNCTION("""COMPUTED_VALUE"""),9.0)</f>
        <v>9</v>
      </c>
      <c r="P166" s="211">
        <f>IFERROR(__xludf.DUMMYFUNCTION("""COMPUTED_VALUE"""),2578.0)</f>
        <v>2578</v>
      </c>
      <c r="Q166" s="211">
        <f>IFERROR(__xludf.DUMMYFUNCTION("""COMPUTED_VALUE"""),10.0)</f>
        <v>10</v>
      </c>
      <c r="R166" s="211">
        <f>IFERROR(__xludf.DUMMYFUNCTION("""COMPUTED_VALUE"""),2155.0)</f>
        <v>2155</v>
      </c>
      <c r="S166" s="211">
        <f>IFERROR(__xludf.DUMMYFUNCTION("""COMPUTED_VALUE"""),1.0)</f>
        <v>1</v>
      </c>
      <c r="T166" s="211">
        <f>IFERROR(__xludf.DUMMYFUNCTION("""COMPUTED_VALUE"""),338.0)</f>
        <v>338</v>
      </c>
      <c r="U166" s="211">
        <f>IFERROR(__xludf.DUMMYFUNCTION("""COMPUTED_VALUE"""),85.0)</f>
        <v>85</v>
      </c>
      <c r="V166" s="211">
        <f>IFERROR(__xludf.DUMMYFUNCTION("""COMPUTED_VALUE"""),88.0)</f>
        <v>88</v>
      </c>
      <c r="W166" s="211">
        <f>IFERROR(__xludf.DUMMYFUNCTION("""COMPUTED_VALUE"""),8.0)</f>
        <v>8</v>
      </c>
      <c r="X166" s="211">
        <f>IFERROR(__xludf.DUMMYFUNCTION("""COMPUTED_VALUE"""),4.0)</f>
        <v>4</v>
      </c>
      <c r="Y166" s="211">
        <f>IFERROR(__xludf.DUMMYFUNCTION("""COMPUTED_VALUE"""),2.0)</f>
        <v>2</v>
      </c>
      <c r="Z166" s="211">
        <f>IFERROR(__xludf.DUMMYFUNCTION("""COMPUTED_VALUE"""),1076.0)</f>
        <v>1076</v>
      </c>
    </row>
    <row r="167">
      <c r="A167" s="210">
        <f>IFERROR(__xludf.DUMMYFUNCTION("""COMPUTED_VALUE"""),44077.0)</f>
        <v>44077</v>
      </c>
      <c r="B167" s="211">
        <f>IFERROR(__xludf.DUMMYFUNCTION("""COMPUTED_VALUE"""),90.0)</f>
        <v>90</v>
      </c>
      <c r="C167" s="211">
        <f>IFERROR(__xludf.DUMMYFUNCTION("""COMPUTED_VALUE"""),104.0)</f>
        <v>104</v>
      </c>
      <c r="D167" s="211">
        <f>IFERROR(__xludf.DUMMYFUNCTION("""COMPUTED_VALUE"""),31813.0)</f>
        <v>31813</v>
      </c>
      <c r="E167" s="211">
        <f>IFERROR(__xludf.DUMMYFUNCTION("""COMPUTED_VALUE"""),11373.0)</f>
        <v>11373</v>
      </c>
      <c r="F167" s="151">
        <f>IFERROR(__xludf.DUMMYFUNCTION("""COMPUTED_VALUE"""),537010.0)</f>
        <v>537010</v>
      </c>
      <c r="G167" s="151">
        <f>IFERROR(__xludf.DUMMYFUNCTION("""COMPUTED_VALUE"""),11463.0)</f>
        <v>11463</v>
      </c>
      <c r="H167" s="151">
        <f>IFERROR(__xludf.DUMMYFUNCTION("""COMPUTED_VALUE"""),568823.0)</f>
        <v>568823</v>
      </c>
      <c r="I167" s="211">
        <f>IFERROR(__xludf.DUMMYFUNCTION("""COMPUTED_VALUE"""),73.0)</f>
        <v>73</v>
      </c>
      <c r="J167" s="211">
        <f>IFERROR(__xludf.DUMMYFUNCTION("""COMPUTED_VALUE"""),81.0)</f>
        <v>81</v>
      </c>
      <c r="K167" s="211">
        <f>IFERROR(__xludf.DUMMYFUNCTION("""COMPUTED_VALUE"""),22201.0)</f>
        <v>22201</v>
      </c>
      <c r="L167" s="211">
        <f>IFERROR(__xludf.DUMMYFUNCTION("""COMPUTED_VALUE"""),2598.0)</f>
        <v>2598</v>
      </c>
      <c r="M167" s="211">
        <f>IFERROR(__xludf.DUMMYFUNCTION("""COMPUTED_VALUE"""),267957.0)</f>
        <v>267957</v>
      </c>
      <c r="N167" s="211">
        <f>IFERROR(__xludf.DUMMYFUNCTION("""COMPUTED_VALUE"""),290158.0)</f>
        <v>290158</v>
      </c>
      <c r="O167" s="211">
        <f>IFERROR(__xludf.DUMMYFUNCTION("""COMPUTED_VALUE"""),8.0)</f>
        <v>8</v>
      </c>
      <c r="P167" s="211">
        <f>IFERROR(__xludf.DUMMYFUNCTION("""COMPUTED_VALUE"""),2586.0)</f>
        <v>2586</v>
      </c>
      <c r="Q167" s="211">
        <f>IFERROR(__xludf.DUMMYFUNCTION("""COMPUTED_VALUE"""),8.0)</f>
        <v>8</v>
      </c>
      <c r="R167" s="211">
        <f>IFERROR(__xludf.DUMMYFUNCTION("""COMPUTED_VALUE"""),2163.0)</f>
        <v>2163</v>
      </c>
      <c r="S167" s="211">
        <f>IFERROR(__xludf.DUMMYFUNCTION("""COMPUTED_VALUE"""),0.0)</f>
        <v>0</v>
      </c>
      <c r="T167" s="211">
        <f>IFERROR(__xludf.DUMMYFUNCTION("""COMPUTED_VALUE"""),338.0)</f>
        <v>338</v>
      </c>
      <c r="U167" s="211">
        <f>IFERROR(__xludf.DUMMYFUNCTION("""COMPUTED_VALUE"""),85.0)</f>
        <v>85</v>
      </c>
      <c r="V167" s="211">
        <f>IFERROR(__xludf.DUMMYFUNCTION("""COMPUTED_VALUE"""),86.0)</f>
        <v>86</v>
      </c>
      <c r="W167" s="211">
        <f>IFERROR(__xludf.DUMMYFUNCTION("""COMPUTED_VALUE"""),9.0)</f>
        <v>9</v>
      </c>
      <c r="X167" s="211">
        <f>IFERROR(__xludf.DUMMYFUNCTION("""COMPUTED_VALUE"""),4.0)</f>
        <v>4</v>
      </c>
      <c r="Y167" s="211">
        <f>IFERROR(__xludf.DUMMYFUNCTION("""COMPUTED_VALUE"""),3.0)</f>
        <v>3</v>
      </c>
      <c r="Z167" s="211">
        <f>IFERROR(__xludf.DUMMYFUNCTION("""COMPUTED_VALUE"""),1079.0)</f>
        <v>1079</v>
      </c>
    </row>
    <row r="168">
      <c r="A168" s="210">
        <f>IFERROR(__xludf.DUMMYFUNCTION("""COMPUTED_VALUE"""),44078.0)</f>
        <v>44078</v>
      </c>
      <c r="B168" s="211">
        <f>IFERROR(__xludf.DUMMYFUNCTION("""COMPUTED_VALUE"""),102.0)</f>
        <v>102</v>
      </c>
      <c r="C168" s="211">
        <f>IFERROR(__xludf.DUMMYFUNCTION("""COMPUTED_VALUE"""),106.0)</f>
        <v>106</v>
      </c>
      <c r="D168" s="211">
        <f>IFERROR(__xludf.DUMMYFUNCTION("""COMPUTED_VALUE"""),31915.0)</f>
        <v>31915</v>
      </c>
      <c r="E168" s="211">
        <f>IFERROR(__xludf.DUMMYFUNCTION("""COMPUTED_VALUE"""),9187.0)</f>
        <v>9187</v>
      </c>
      <c r="F168" s="151">
        <f>IFERROR(__xludf.DUMMYFUNCTION("""COMPUTED_VALUE"""),546197.0)</f>
        <v>546197</v>
      </c>
      <c r="G168" s="151">
        <f>IFERROR(__xludf.DUMMYFUNCTION("""COMPUTED_VALUE"""),9289.0)</f>
        <v>9289</v>
      </c>
      <c r="H168" s="151">
        <f>IFERROR(__xludf.DUMMYFUNCTION("""COMPUTED_VALUE"""),578112.0)</f>
        <v>578112</v>
      </c>
      <c r="I168" s="211">
        <f>IFERROR(__xludf.DUMMYFUNCTION("""COMPUTED_VALUE"""),82.0)</f>
        <v>82</v>
      </c>
      <c r="J168" s="211">
        <f>IFERROR(__xludf.DUMMYFUNCTION("""COMPUTED_VALUE"""),86.0)</f>
        <v>86</v>
      </c>
      <c r="K168" s="211">
        <f>IFERROR(__xludf.DUMMYFUNCTION("""COMPUTED_VALUE"""),22283.0)</f>
        <v>22283</v>
      </c>
      <c r="L168" s="211">
        <f>IFERROR(__xludf.DUMMYFUNCTION("""COMPUTED_VALUE"""),2399.0)</f>
        <v>2399</v>
      </c>
      <c r="M168" s="211">
        <f>IFERROR(__xludf.DUMMYFUNCTION("""COMPUTED_VALUE"""),270356.0)</f>
        <v>270356</v>
      </c>
      <c r="N168" s="211">
        <f>IFERROR(__xludf.DUMMYFUNCTION("""COMPUTED_VALUE"""),292639.0)</f>
        <v>292639</v>
      </c>
      <c r="O168" s="211">
        <f>IFERROR(__xludf.DUMMYFUNCTION("""COMPUTED_VALUE"""),11.0)</f>
        <v>11</v>
      </c>
      <c r="P168" s="211">
        <f>IFERROR(__xludf.DUMMYFUNCTION("""COMPUTED_VALUE"""),2597.0)</f>
        <v>2597</v>
      </c>
      <c r="Q168" s="211">
        <f>IFERROR(__xludf.DUMMYFUNCTION("""COMPUTED_VALUE"""),4.0)</f>
        <v>4</v>
      </c>
      <c r="R168" s="211">
        <f>IFERROR(__xludf.DUMMYFUNCTION("""COMPUTED_VALUE"""),2167.0)</f>
        <v>2167</v>
      </c>
      <c r="S168" s="211">
        <f>IFERROR(__xludf.DUMMYFUNCTION("""COMPUTED_VALUE"""),0.0)</f>
        <v>0</v>
      </c>
      <c r="T168" s="211">
        <f>IFERROR(__xludf.DUMMYFUNCTION("""COMPUTED_VALUE"""),338.0)</f>
        <v>338</v>
      </c>
      <c r="U168" s="211">
        <f>IFERROR(__xludf.DUMMYFUNCTION("""COMPUTED_VALUE"""),92.0)</f>
        <v>92</v>
      </c>
      <c r="V168" s="211">
        <f>IFERROR(__xludf.DUMMYFUNCTION("""COMPUTED_VALUE"""),87.0)</f>
        <v>87</v>
      </c>
      <c r="W168" s="211">
        <f>IFERROR(__xludf.DUMMYFUNCTION("""COMPUTED_VALUE"""),9.0)</f>
        <v>9</v>
      </c>
      <c r="X168" s="211">
        <f>IFERROR(__xludf.DUMMYFUNCTION("""COMPUTED_VALUE"""),4.0)</f>
        <v>4</v>
      </c>
      <c r="Y168" s="211">
        <f>IFERROR(__xludf.DUMMYFUNCTION("""COMPUTED_VALUE"""),1.0)</f>
        <v>1</v>
      </c>
      <c r="Z168" s="211">
        <f>IFERROR(__xludf.DUMMYFUNCTION("""COMPUTED_VALUE"""),1080.0)</f>
        <v>1080</v>
      </c>
    </row>
    <row r="169">
      <c r="A169" s="210">
        <f>IFERROR(__xludf.DUMMYFUNCTION("""COMPUTED_VALUE"""),44079.0)</f>
        <v>44079</v>
      </c>
      <c r="B169" s="211">
        <f>IFERROR(__xludf.DUMMYFUNCTION("""COMPUTED_VALUE"""),52.0)</f>
        <v>52</v>
      </c>
      <c r="C169" s="211">
        <f>IFERROR(__xludf.DUMMYFUNCTION("""COMPUTED_VALUE"""),81.0)</f>
        <v>81</v>
      </c>
      <c r="D169" s="211">
        <f>IFERROR(__xludf.DUMMYFUNCTION("""COMPUTED_VALUE"""),31967.0)</f>
        <v>31967</v>
      </c>
      <c r="E169" s="211">
        <f>IFERROR(__xludf.DUMMYFUNCTION("""COMPUTED_VALUE"""),6356.0)</f>
        <v>6356</v>
      </c>
      <c r="F169" s="151">
        <f>IFERROR(__xludf.DUMMYFUNCTION("""COMPUTED_VALUE"""),552553.0)</f>
        <v>552553</v>
      </c>
      <c r="G169" s="151">
        <f>IFERROR(__xludf.DUMMYFUNCTION("""COMPUTED_VALUE"""),6408.0)</f>
        <v>6408</v>
      </c>
      <c r="H169" s="151">
        <f>IFERROR(__xludf.DUMMYFUNCTION("""COMPUTED_VALUE"""),584520.0)</f>
        <v>584520</v>
      </c>
      <c r="I169" s="211">
        <f>IFERROR(__xludf.DUMMYFUNCTION("""COMPUTED_VALUE"""),42.0)</f>
        <v>42</v>
      </c>
      <c r="J169" s="211">
        <f>IFERROR(__xludf.DUMMYFUNCTION("""COMPUTED_VALUE"""),66.0)</f>
        <v>66</v>
      </c>
      <c r="K169" s="211">
        <f>IFERROR(__xludf.DUMMYFUNCTION("""COMPUTED_VALUE"""),22325.0)</f>
        <v>22325</v>
      </c>
      <c r="L169" s="211">
        <f>IFERROR(__xludf.DUMMYFUNCTION("""COMPUTED_VALUE"""),1603.0)</f>
        <v>1603</v>
      </c>
      <c r="M169" s="211">
        <f>IFERROR(__xludf.DUMMYFUNCTION("""COMPUTED_VALUE"""),271959.0)</f>
        <v>271959</v>
      </c>
      <c r="N169" s="211">
        <f>IFERROR(__xludf.DUMMYFUNCTION("""COMPUTED_VALUE"""),294284.0)</f>
        <v>294284</v>
      </c>
      <c r="O169" s="211">
        <f>IFERROR(__xludf.DUMMYFUNCTION("""COMPUTED_VALUE"""),6.0)</f>
        <v>6</v>
      </c>
      <c r="P169" s="211">
        <f>IFERROR(__xludf.DUMMYFUNCTION("""COMPUTED_VALUE"""),2603.0)</f>
        <v>2603</v>
      </c>
      <c r="Q169" s="211">
        <f>IFERROR(__xludf.DUMMYFUNCTION("""COMPUTED_VALUE"""),9.0)</f>
        <v>9</v>
      </c>
      <c r="R169" s="211">
        <f>IFERROR(__xludf.DUMMYFUNCTION("""COMPUTED_VALUE"""),2176.0)</f>
        <v>2176</v>
      </c>
      <c r="S169" s="211">
        <f>IFERROR(__xludf.DUMMYFUNCTION("""COMPUTED_VALUE"""),0.0)</f>
        <v>0</v>
      </c>
      <c r="T169" s="211">
        <f>IFERROR(__xludf.DUMMYFUNCTION("""COMPUTED_VALUE"""),338.0)</f>
        <v>338</v>
      </c>
      <c r="U169" s="211">
        <f>IFERROR(__xludf.DUMMYFUNCTION("""COMPUTED_VALUE"""),89.0)</f>
        <v>89</v>
      </c>
      <c r="V169" s="211">
        <f>IFERROR(__xludf.DUMMYFUNCTION("""COMPUTED_VALUE"""),89.0)</f>
        <v>89</v>
      </c>
      <c r="W169" s="211">
        <f>IFERROR(__xludf.DUMMYFUNCTION("""COMPUTED_VALUE"""),8.0)</f>
        <v>8</v>
      </c>
      <c r="X169" s="211">
        <f>IFERROR(__xludf.DUMMYFUNCTION("""COMPUTED_VALUE"""),3.0)</f>
        <v>3</v>
      </c>
      <c r="Y169" s="211">
        <f>IFERROR(__xludf.DUMMYFUNCTION("""COMPUTED_VALUE"""),1.0)</f>
        <v>1</v>
      </c>
      <c r="Z169" s="211">
        <f>IFERROR(__xludf.DUMMYFUNCTION("""COMPUTED_VALUE"""),1081.0)</f>
        <v>1081</v>
      </c>
    </row>
    <row r="170">
      <c r="A170" s="210">
        <f>IFERROR(__xludf.DUMMYFUNCTION("""COMPUTED_VALUE"""),44080.0)</f>
        <v>44080</v>
      </c>
      <c r="B170" s="211">
        <f>IFERROR(__xludf.DUMMYFUNCTION("""COMPUTED_VALUE"""),87.0)</f>
        <v>87</v>
      </c>
      <c r="C170" s="211">
        <f>IFERROR(__xludf.DUMMYFUNCTION("""COMPUTED_VALUE"""),80.0)</f>
        <v>80</v>
      </c>
      <c r="D170" s="211">
        <f>IFERROR(__xludf.DUMMYFUNCTION("""COMPUTED_VALUE"""),32054.0)</f>
        <v>32054</v>
      </c>
      <c r="E170" s="211">
        <f>IFERROR(__xludf.DUMMYFUNCTION("""COMPUTED_VALUE"""),4317.0)</f>
        <v>4317</v>
      </c>
      <c r="F170" s="151">
        <f>IFERROR(__xludf.DUMMYFUNCTION("""COMPUTED_VALUE"""),556870.0)</f>
        <v>556870</v>
      </c>
      <c r="G170" s="151">
        <f>IFERROR(__xludf.DUMMYFUNCTION("""COMPUTED_VALUE"""),4404.0)</f>
        <v>4404</v>
      </c>
      <c r="H170" s="151">
        <f>IFERROR(__xludf.DUMMYFUNCTION("""COMPUTED_VALUE"""),588924.0)</f>
        <v>588924</v>
      </c>
      <c r="I170" s="211">
        <f>IFERROR(__xludf.DUMMYFUNCTION("""COMPUTED_VALUE"""),64.0)</f>
        <v>64</v>
      </c>
      <c r="J170" s="211">
        <f>IFERROR(__xludf.DUMMYFUNCTION("""COMPUTED_VALUE"""),63.0)</f>
        <v>63</v>
      </c>
      <c r="K170" s="211">
        <f>IFERROR(__xludf.DUMMYFUNCTION("""COMPUTED_VALUE"""),22389.0)</f>
        <v>22389</v>
      </c>
      <c r="L170" s="211">
        <f>IFERROR(__xludf.DUMMYFUNCTION("""COMPUTED_VALUE"""),1959.0)</f>
        <v>1959</v>
      </c>
      <c r="M170" s="211">
        <f>IFERROR(__xludf.DUMMYFUNCTION("""COMPUTED_VALUE"""),273918.0)</f>
        <v>273918</v>
      </c>
      <c r="N170" s="211">
        <f>IFERROR(__xludf.DUMMYFUNCTION("""COMPUTED_VALUE"""),296307.0)</f>
        <v>296307</v>
      </c>
      <c r="O170" s="211">
        <f>IFERROR(__xludf.DUMMYFUNCTION("""COMPUTED_VALUE"""),4.0)</f>
        <v>4</v>
      </c>
      <c r="P170" s="211">
        <f>IFERROR(__xludf.DUMMYFUNCTION("""COMPUTED_VALUE"""),2607.0)</f>
        <v>2607</v>
      </c>
      <c r="Q170" s="211">
        <f>IFERROR(__xludf.DUMMYFUNCTION("""COMPUTED_VALUE"""),8.0)</f>
        <v>8</v>
      </c>
      <c r="R170" s="211">
        <f>IFERROR(__xludf.DUMMYFUNCTION("""COMPUTED_VALUE"""),2184.0)</f>
        <v>2184</v>
      </c>
      <c r="S170" s="211">
        <f>IFERROR(__xludf.DUMMYFUNCTION("""COMPUTED_VALUE"""),1.0)</f>
        <v>1</v>
      </c>
      <c r="T170" s="211">
        <f>IFERROR(__xludf.DUMMYFUNCTION("""COMPUTED_VALUE"""),339.0)</f>
        <v>339</v>
      </c>
      <c r="U170" s="211">
        <f>IFERROR(__xludf.DUMMYFUNCTION("""COMPUTED_VALUE"""),84.0)</f>
        <v>84</v>
      </c>
      <c r="V170" s="211">
        <f>IFERROR(__xludf.DUMMYFUNCTION("""COMPUTED_VALUE"""),88.0)</f>
        <v>88</v>
      </c>
      <c r="W170" s="211">
        <f>IFERROR(__xludf.DUMMYFUNCTION("""COMPUTED_VALUE"""),6.0)</f>
        <v>6</v>
      </c>
      <c r="X170" s="211">
        <f>IFERROR(__xludf.DUMMYFUNCTION("""COMPUTED_VALUE"""),3.0)</f>
        <v>3</v>
      </c>
      <c r="Y170" s="211">
        <f>IFERROR(__xludf.DUMMYFUNCTION("""COMPUTED_VALUE"""),1.0)</f>
        <v>1</v>
      </c>
      <c r="Z170" s="211">
        <f>IFERROR(__xludf.DUMMYFUNCTION("""COMPUTED_VALUE"""),1082.0)</f>
        <v>1082</v>
      </c>
    </row>
    <row r="171">
      <c r="A171" s="210">
        <f>IFERROR(__xludf.DUMMYFUNCTION("""COMPUTED_VALUE"""),44081.0)</f>
        <v>44081</v>
      </c>
      <c r="B171" s="211">
        <f>IFERROR(__xludf.DUMMYFUNCTION("""COMPUTED_VALUE"""),35.0)</f>
        <v>35</v>
      </c>
      <c r="C171" s="211">
        <f>IFERROR(__xludf.DUMMYFUNCTION("""COMPUTED_VALUE"""),58.0)</f>
        <v>58</v>
      </c>
      <c r="D171" s="211">
        <f>IFERROR(__xludf.DUMMYFUNCTION("""COMPUTED_VALUE"""),32089.0)</f>
        <v>32089</v>
      </c>
      <c r="E171" s="211">
        <f>IFERROR(__xludf.DUMMYFUNCTION("""COMPUTED_VALUE"""),3000.0)</f>
        <v>3000</v>
      </c>
      <c r="F171" s="151">
        <f>IFERROR(__xludf.DUMMYFUNCTION("""COMPUTED_VALUE"""),559870.0)</f>
        <v>559870</v>
      </c>
      <c r="G171" s="151">
        <f>IFERROR(__xludf.DUMMYFUNCTION("""COMPUTED_VALUE"""),3035.0)</f>
        <v>3035</v>
      </c>
      <c r="H171" s="151">
        <f>IFERROR(__xludf.DUMMYFUNCTION("""COMPUTED_VALUE"""),591959.0)</f>
        <v>591959</v>
      </c>
      <c r="I171" s="211">
        <f>IFERROR(__xludf.DUMMYFUNCTION("""COMPUTED_VALUE"""),26.0)</f>
        <v>26</v>
      </c>
      <c r="J171" s="211">
        <f>IFERROR(__xludf.DUMMYFUNCTION("""COMPUTED_VALUE"""),44.0)</f>
        <v>44</v>
      </c>
      <c r="K171" s="211">
        <f>IFERROR(__xludf.DUMMYFUNCTION("""COMPUTED_VALUE"""),22415.0)</f>
        <v>22415</v>
      </c>
      <c r="L171" s="211">
        <f>IFERROR(__xludf.DUMMYFUNCTION("""COMPUTED_VALUE"""),647.0)</f>
        <v>647</v>
      </c>
      <c r="M171" s="211">
        <f>IFERROR(__xludf.DUMMYFUNCTION("""COMPUTED_VALUE"""),274565.0)</f>
        <v>274565</v>
      </c>
      <c r="N171" s="211">
        <f>IFERROR(__xludf.DUMMYFUNCTION("""COMPUTED_VALUE"""),296980.0)</f>
        <v>296980</v>
      </c>
      <c r="O171" s="211">
        <f>IFERROR(__xludf.DUMMYFUNCTION("""COMPUTED_VALUE"""),11.0)</f>
        <v>11</v>
      </c>
      <c r="P171" s="211">
        <f>IFERROR(__xludf.DUMMYFUNCTION("""COMPUTED_VALUE"""),2618.0)</f>
        <v>2618</v>
      </c>
      <c r="Q171" s="211">
        <f>IFERROR(__xludf.DUMMYFUNCTION("""COMPUTED_VALUE"""),3.0)</f>
        <v>3</v>
      </c>
      <c r="R171" s="211">
        <f>IFERROR(__xludf.DUMMYFUNCTION("""COMPUTED_VALUE"""),2187.0)</f>
        <v>2187</v>
      </c>
      <c r="S171" s="211">
        <f>IFERROR(__xludf.DUMMYFUNCTION("""COMPUTED_VALUE"""),0.0)</f>
        <v>0</v>
      </c>
      <c r="T171" s="211">
        <f>IFERROR(__xludf.DUMMYFUNCTION("""COMPUTED_VALUE"""),339.0)</f>
        <v>339</v>
      </c>
      <c r="U171" s="211">
        <f>IFERROR(__xludf.DUMMYFUNCTION("""COMPUTED_VALUE"""),92.0)</f>
        <v>92</v>
      </c>
      <c r="V171" s="211">
        <f>IFERROR(__xludf.DUMMYFUNCTION("""COMPUTED_VALUE"""),88.0)</f>
        <v>88</v>
      </c>
      <c r="W171" s="211">
        <f>IFERROR(__xludf.DUMMYFUNCTION("""COMPUTED_VALUE"""),5.0)</f>
        <v>5</v>
      </c>
      <c r="X171" s="211">
        <f>IFERROR(__xludf.DUMMYFUNCTION("""COMPUTED_VALUE"""),3.0)</f>
        <v>3</v>
      </c>
      <c r="Y171" s="211">
        <f>IFERROR(__xludf.DUMMYFUNCTION("""COMPUTED_VALUE"""),1.0)</f>
        <v>1</v>
      </c>
      <c r="Z171" s="211">
        <f>IFERROR(__xludf.DUMMYFUNCTION("""COMPUTED_VALUE"""),1083.0)</f>
        <v>1083</v>
      </c>
    </row>
    <row r="172">
      <c r="A172" s="210">
        <f>IFERROR(__xludf.DUMMYFUNCTION("""COMPUTED_VALUE"""),44082.0)</f>
        <v>44082</v>
      </c>
      <c r="B172" s="211">
        <f>IFERROR(__xludf.DUMMYFUNCTION("""COMPUTED_VALUE"""),74.0)</f>
        <v>74</v>
      </c>
      <c r="C172" s="211">
        <f>IFERROR(__xludf.DUMMYFUNCTION("""COMPUTED_VALUE"""),65.0)</f>
        <v>65</v>
      </c>
      <c r="D172" s="211">
        <f>IFERROR(__xludf.DUMMYFUNCTION("""COMPUTED_VALUE"""),32163.0)</f>
        <v>32163</v>
      </c>
      <c r="E172" s="211">
        <f>IFERROR(__xludf.DUMMYFUNCTION("""COMPUTED_VALUE"""),6407.0)</f>
        <v>6407</v>
      </c>
      <c r="F172" s="151">
        <f>IFERROR(__xludf.DUMMYFUNCTION("""COMPUTED_VALUE"""),566277.0)</f>
        <v>566277</v>
      </c>
      <c r="G172" s="151">
        <f>IFERROR(__xludf.DUMMYFUNCTION("""COMPUTED_VALUE"""),6481.0)</f>
        <v>6481</v>
      </c>
      <c r="H172" s="151">
        <f>IFERROR(__xludf.DUMMYFUNCTION("""COMPUTED_VALUE"""),598440.0)</f>
        <v>598440</v>
      </c>
      <c r="I172" s="211">
        <f>IFERROR(__xludf.DUMMYFUNCTION("""COMPUTED_VALUE"""),66.0)</f>
        <v>66</v>
      </c>
      <c r="J172" s="211">
        <f>IFERROR(__xludf.DUMMYFUNCTION("""COMPUTED_VALUE"""),52.0)</f>
        <v>52</v>
      </c>
      <c r="K172" s="211">
        <f>IFERROR(__xludf.DUMMYFUNCTION("""COMPUTED_VALUE"""),22481.0)</f>
        <v>22481</v>
      </c>
      <c r="L172" s="211">
        <f>IFERROR(__xludf.DUMMYFUNCTION("""COMPUTED_VALUE"""),1607.0)</f>
        <v>1607</v>
      </c>
      <c r="M172" s="211">
        <f>IFERROR(__xludf.DUMMYFUNCTION("""COMPUTED_VALUE"""),276172.0)</f>
        <v>276172</v>
      </c>
      <c r="N172" s="211">
        <f>IFERROR(__xludf.DUMMYFUNCTION("""COMPUTED_VALUE"""),298653.0)</f>
        <v>298653</v>
      </c>
      <c r="O172" s="211">
        <f>IFERROR(__xludf.DUMMYFUNCTION("""COMPUTED_VALUE"""),6.0)</f>
        <v>6</v>
      </c>
      <c r="P172" s="211">
        <f>IFERROR(__xludf.DUMMYFUNCTION("""COMPUTED_VALUE"""),2624.0)</f>
        <v>2624</v>
      </c>
      <c r="Q172" s="211">
        <f>IFERROR(__xludf.DUMMYFUNCTION("""COMPUTED_VALUE"""),12.0)</f>
        <v>12</v>
      </c>
      <c r="R172" s="211">
        <f>IFERROR(__xludf.DUMMYFUNCTION("""COMPUTED_VALUE"""),2199.0)</f>
        <v>2199</v>
      </c>
      <c r="S172" s="211">
        <f>IFERROR(__xludf.DUMMYFUNCTION("""COMPUTED_VALUE"""),1.0)</f>
        <v>1</v>
      </c>
      <c r="T172" s="211">
        <f>IFERROR(__xludf.DUMMYFUNCTION("""COMPUTED_VALUE"""),340.0)</f>
        <v>340</v>
      </c>
      <c r="U172" s="211">
        <f>IFERROR(__xludf.DUMMYFUNCTION("""COMPUTED_VALUE"""),85.0)</f>
        <v>85</v>
      </c>
      <c r="V172" s="211">
        <f>IFERROR(__xludf.DUMMYFUNCTION("""COMPUTED_VALUE"""),87.0)</f>
        <v>87</v>
      </c>
      <c r="W172" s="211">
        <f>IFERROR(__xludf.DUMMYFUNCTION("""COMPUTED_VALUE"""),6.0)</f>
        <v>6</v>
      </c>
      <c r="X172" s="211">
        <f>IFERROR(__xludf.DUMMYFUNCTION("""COMPUTED_VALUE"""),3.0)</f>
        <v>3</v>
      </c>
      <c r="Y172" s="211">
        <f>IFERROR(__xludf.DUMMYFUNCTION("""COMPUTED_VALUE"""),2.0)</f>
        <v>2</v>
      </c>
      <c r="Z172" s="211">
        <f>IFERROR(__xludf.DUMMYFUNCTION("""COMPUTED_VALUE"""),1085.0)</f>
        <v>1085</v>
      </c>
    </row>
    <row r="173">
      <c r="A173" s="210">
        <f>IFERROR(__xludf.DUMMYFUNCTION("""COMPUTED_VALUE"""),44083.0)</f>
        <v>44083</v>
      </c>
      <c r="B173" s="211">
        <f>IFERROR(__xludf.DUMMYFUNCTION("""COMPUTED_VALUE"""),118.0)</f>
        <v>118</v>
      </c>
      <c r="C173" s="211">
        <f>IFERROR(__xludf.DUMMYFUNCTION("""COMPUTED_VALUE"""),76.0)</f>
        <v>76</v>
      </c>
      <c r="D173" s="211">
        <f>IFERROR(__xludf.DUMMYFUNCTION("""COMPUTED_VALUE"""),32281.0)</f>
        <v>32281</v>
      </c>
      <c r="E173" s="211">
        <f>IFERROR(__xludf.DUMMYFUNCTION("""COMPUTED_VALUE"""),8866.0)</f>
        <v>8866</v>
      </c>
      <c r="F173" s="151">
        <f>IFERROR(__xludf.DUMMYFUNCTION("""COMPUTED_VALUE"""),575143.0)</f>
        <v>575143</v>
      </c>
      <c r="G173" s="151">
        <f>IFERROR(__xludf.DUMMYFUNCTION("""COMPUTED_VALUE"""),8984.0)</f>
        <v>8984</v>
      </c>
      <c r="H173" s="151">
        <f>IFERROR(__xludf.DUMMYFUNCTION("""COMPUTED_VALUE"""),607424.0)</f>
        <v>607424</v>
      </c>
      <c r="I173" s="211">
        <f>IFERROR(__xludf.DUMMYFUNCTION("""COMPUTED_VALUE"""),101.0)</f>
        <v>101</v>
      </c>
      <c r="J173" s="211">
        <f>IFERROR(__xludf.DUMMYFUNCTION("""COMPUTED_VALUE"""),64.0)</f>
        <v>64</v>
      </c>
      <c r="K173" s="211">
        <f>IFERROR(__xludf.DUMMYFUNCTION("""COMPUTED_VALUE"""),22582.0)</f>
        <v>22582</v>
      </c>
      <c r="L173" s="211">
        <f>IFERROR(__xludf.DUMMYFUNCTION("""COMPUTED_VALUE"""),2166.0)</f>
        <v>2166</v>
      </c>
      <c r="M173" s="211">
        <f>IFERROR(__xludf.DUMMYFUNCTION("""COMPUTED_VALUE"""),278338.0)</f>
        <v>278338</v>
      </c>
      <c r="N173" s="211">
        <f>IFERROR(__xludf.DUMMYFUNCTION("""COMPUTED_VALUE"""),300920.0)</f>
        <v>300920</v>
      </c>
      <c r="O173" s="211">
        <f>IFERROR(__xludf.DUMMYFUNCTION("""COMPUTED_VALUE"""),9.0)</f>
        <v>9</v>
      </c>
      <c r="P173" s="211">
        <f>IFERROR(__xludf.DUMMYFUNCTION("""COMPUTED_VALUE"""),2633.0)</f>
        <v>2633</v>
      </c>
      <c r="Q173" s="211">
        <f>IFERROR(__xludf.DUMMYFUNCTION("""COMPUTED_VALUE"""),5.0)</f>
        <v>5</v>
      </c>
      <c r="R173" s="211">
        <f>IFERROR(__xludf.DUMMYFUNCTION("""COMPUTED_VALUE"""),2204.0)</f>
        <v>2204</v>
      </c>
      <c r="S173" s="211">
        <f>IFERROR(__xludf.DUMMYFUNCTION("""COMPUTED_VALUE"""),1.0)</f>
        <v>1</v>
      </c>
      <c r="T173" s="211">
        <f>IFERROR(__xludf.DUMMYFUNCTION("""COMPUTED_VALUE"""),341.0)</f>
        <v>341</v>
      </c>
      <c r="U173" s="211">
        <f>IFERROR(__xludf.DUMMYFUNCTION("""COMPUTED_VALUE"""),88.0)</f>
        <v>88</v>
      </c>
      <c r="V173" s="211">
        <f>IFERROR(__xludf.DUMMYFUNCTION("""COMPUTED_VALUE"""),88.0)</f>
        <v>88</v>
      </c>
      <c r="W173" s="211">
        <f>IFERROR(__xludf.DUMMYFUNCTION("""COMPUTED_VALUE"""),9.0)</f>
        <v>9</v>
      </c>
      <c r="X173" s="211">
        <f>IFERROR(__xludf.DUMMYFUNCTION("""COMPUTED_VALUE"""),3.0)</f>
        <v>3</v>
      </c>
      <c r="Y173" s="211">
        <f>IFERROR(__xludf.DUMMYFUNCTION("""COMPUTED_VALUE"""),1.0)</f>
        <v>1</v>
      </c>
      <c r="Z173" s="211">
        <f>IFERROR(__xludf.DUMMYFUNCTION("""COMPUTED_VALUE"""),1086.0)</f>
        <v>1086</v>
      </c>
    </row>
    <row r="174">
      <c r="A174" s="210">
        <f>IFERROR(__xludf.DUMMYFUNCTION("""COMPUTED_VALUE"""),44084.0)</f>
        <v>44084</v>
      </c>
      <c r="B174" s="211">
        <f>IFERROR(__xludf.DUMMYFUNCTION("""COMPUTED_VALUE"""),167.0)</f>
        <v>167</v>
      </c>
      <c r="C174" s="211">
        <f>IFERROR(__xludf.DUMMYFUNCTION("""COMPUTED_VALUE"""),120.0)</f>
        <v>120</v>
      </c>
      <c r="D174" s="211">
        <f>IFERROR(__xludf.DUMMYFUNCTION("""COMPUTED_VALUE"""),32448.0)</f>
        <v>32448</v>
      </c>
      <c r="E174" s="211">
        <f>IFERROR(__xludf.DUMMYFUNCTION("""COMPUTED_VALUE"""),11791.0)</f>
        <v>11791</v>
      </c>
      <c r="F174" s="151">
        <f>IFERROR(__xludf.DUMMYFUNCTION("""COMPUTED_VALUE"""),586934.0)</f>
        <v>586934</v>
      </c>
      <c r="G174" s="151">
        <f>IFERROR(__xludf.DUMMYFUNCTION("""COMPUTED_VALUE"""),11958.0)</f>
        <v>11958</v>
      </c>
      <c r="H174" s="151">
        <f>IFERROR(__xludf.DUMMYFUNCTION("""COMPUTED_VALUE"""),619382.0)</f>
        <v>619382</v>
      </c>
      <c r="I174" s="211">
        <f>IFERROR(__xludf.DUMMYFUNCTION("""COMPUTED_VALUE"""),112.0)</f>
        <v>112</v>
      </c>
      <c r="J174" s="211">
        <f>IFERROR(__xludf.DUMMYFUNCTION("""COMPUTED_VALUE"""),93.0)</f>
        <v>93</v>
      </c>
      <c r="K174" s="211">
        <f>IFERROR(__xludf.DUMMYFUNCTION("""COMPUTED_VALUE"""),22694.0)</f>
        <v>22694</v>
      </c>
      <c r="L174" s="211">
        <f>IFERROR(__xludf.DUMMYFUNCTION("""COMPUTED_VALUE"""),2282.0)</f>
        <v>2282</v>
      </c>
      <c r="M174" s="211">
        <f>IFERROR(__xludf.DUMMYFUNCTION("""COMPUTED_VALUE"""),280620.0)</f>
        <v>280620</v>
      </c>
      <c r="N174" s="211">
        <f>IFERROR(__xludf.DUMMYFUNCTION("""COMPUTED_VALUE"""),303314.0)</f>
        <v>303314</v>
      </c>
      <c r="O174" s="211">
        <f>IFERROR(__xludf.DUMMYFUNCTION("""COMPUTED_VALUE"""),9.0)</f>
        <v>9</v>
      </c>
      <c r="P174" s="211">
        <f>IFERROR(__xludf.DUMMYFUNCTION("""COMPUTED_VALUE"""),2642.0)</f>
        <v>2642</v>
      </c>
      <c r="Q174" s="211">
        <f>IFERROR(__xludf.DUMMYFUNCTION("""COMPUTED_VALUE"""),8.0)</f>
        <v>8</v>
      </c>
      <c r="R174" s="211">
        <f>IFERROR(__xludf.DUMMYFUNCTION("""COMPUTED_VALUE"""),2212.0)</f>
        <v>2212</v>
      </c>
      <c r="S174" s="211">
        <f>IFERROR(__xludf.DUMMYFUNCTION("""COMPUTED_VALUE"""),0.0)</f>
        <v>0</v>
      </c>
      <c r="T174" s="211">
        <f>IFERROR(__xludf.DUMMYFUNCTION("""COMPUTED_VALUE"""),341.0)</f>
        <v>341</v>
      </c>
      <c r="U174" s="211">
        <f>IFERROR(__xludf.DUMMYFUNCTION("""COMPUTED_VALUE"""),89.0)</f>
        <v>89</v>
      </c>
      <c r="V174" s="211">
        <f>IFERROR(__xludf.DUMMYFUNCTION("""COMPUTED_VALUE"""),87.0)</f>
        <v>87</v>
      </c>
      <c r="W174" s="211">
        <f>IFERROR(__xludf.DUMMYFUNCTION("""COMPUTED_VALUE"""),10.0)</f>
        <v>10</v>
      </c>
      <c r="X174" s="211">
        <f>IFERROR(__xludf.DUMMYFUNCTION("""COMPUTED_VALUE"""),3.0)</f>
        <v>3</v>
      </c>
      <c r="Y174" s="211">
        <f>IFERROR(__xludf.DUMMYFUNCTION("""COMPUTED_VALUE"""),0.0)</f>
        <v>0</v>
      </c>
      <c r="Z174" s="211">
        <f>IFERROR(__xludf.DUMMYFUNCTION("""COMPUTED_VALUE"""),1086.0)</f>
        <v>1086</v>
      </c>
    </row>
    <row r="175">
      <c r="A175" s="210">
        <f>IFERROR(__xludf.DUMMYFUNCTION("""COMPUTED_VALUE"""),44085.0)</f>
        <v>44085</v>
      </c>
      <c r="B175" s="211">
        <f>IFERROR(__xludf.DUMMYFUNCTION("""COMPUTED_VALUE"""),124.0)</f>
        <v>124</v>
      </c>
      <c r="C175" s="211">
        <f>IFERROR(__xludf.DUMMYFUNCTION("""COMPUTED_VALUE"""),136.0)</f>
        <v>136</v>
      </c>
      <c r="D175" s="211">
        <f>IFERROR(__xludf.DUMMYFUNCTION("""COMPUTED_VALUE"""),32572.0)</f>
        <v>32572</v>
      </c>
      <c r="E175" s="211">
        <f>IFERROR(__xludf.DUMMYFUNCTION("""COMPUTED_VALUE"""),9501.0)</f>
        <v>9501</v>
      </c>
      <c r="F175" s="151">
        <f>IFERROR(__xludf.DUMMYFUNCTION("""COMPUTED_VALUE"""),596435.0)</f>
        <v>596435</v>
      </c>
      <c r="G175" s="151">
        <f>IFERROR(__xludf.DUMMYFUNCTION("""COMPUTED_VALUE"""),9625.0)</f>
        <v>9625</v>
      </c>
      <c r="H175" s="151">
        <f>IFERROR(__xludf.DUMMYFUNCTION("""COMPUTED_VALUE"""),629007.0)</f>
        <v>629007</v>
      </c>
      <c r="I175" s="211">
        <f>IFERROR(__xludf.DUMMYFUNCTION("""COMPUTED_VALUE"""),98.0)</f>
        <v>98</v>
      </c>
      <c r="J175" s="211">
        <f>IFERROR(__xludf.DUMMYFUNCTION("""COMPUTED_VALUE"""),104.0)</f>
        <v>104</v>
      </c>
      <c r="K175" s="211">
        <f>IFERROR(__xludf.DUMMYFUNCTION("""COMPUTED_VALUE"""),22792.0)</f>
        <v>22792</v>
      </c>
      <c r="L175" s="211">
        <f>IFERROR(__xludf.DUMMYFUNCTION("""COMPUTED_VALUE"""),1984.0)</f>
        <v>1984</v>
      </c>
      <c r="M175" s="211">
        <f>IFERROR(__xludf.DUMMYFUNCTION("""COMPUTED_VALUE"""),282604.0)</f>
        <v>282604</v>
      </c>
      <c r="N175" s="211">
        <f>IFERROR(__xludf.DUMMYFUNCTION("""COMPUTED_VALUE"""),305396.0)</f>
        <v>305396</v>
      </c>
      <c r="O175" s="211">
        <f>IFERROR(__xludf.DUMMYFUNCTION("""COMPUTED_VALUE"""),11.0)</f>
        <v>11</v>
      </c>
      <c r="P175" s="211">
        <f>IFERROR(__xludf.DUMMYFUNCTION("""COMPUTED_VALUE"""),2653.0)</f>
        <v>2653</v>
      </c>
      <c r="Q175" s="211">
        <f>IFERROR(__xludf.DUMMYFUNCTION("""COMPUTED_VALUE"""),11.0)</f>
        <v>11</v>
      </c>
      <c r="R175" s="211">
        <f>IFERROR(__xludf.DUMMYFUNCTION("""COMPUTED_VALUE"""),2223.0)</f>
        <v>2223</v>
      </c>
      <c r="S175" s="211">
        <f>IFERROR(__xludf.DUMMYFUNCTION("""COMPUTED_VALUE"""),0.0)</f>
        <v>0</v>
      </c>
      <c r="T175" s="211">
        <f>IFERROR(__xludf.DUMMYFUNCTION("""COMPUTED_VALUE"""),341.0)</f>
        <v>341</v>
      </c>
      <c r="U175" s="211">
        <f>IFERROR(__xludf.DUMMYFUNCTION("""COMPUTED_VALUE"""),89.0)</f>
        <v>89</v>
      </c>
      <c r="V175" s="211">
        <f>IFERROR(__xludf.DUMMYFUNCTION("""COMPUTED_VALUE"""),89.0)</f>
        <v>89</v>
      </c>
      <c r="W175" s="211">
        <f>IFERROR(__xludf.DUMMYFUNCTION("""COMPUTED_VALUE"""),10.0)</f>
        <v>10</v>
      </c>
      <c r="X175" s="211">
        <f>IFERROR(__xludf.DUMMYFUNCTION("""COMPUTED_VALUE"""),5.0)</f>
        <v>5</v>
      </c>
      <c r="Y175" s="211">
        <f>IFERROR(__xludf.DUMMYFUNCTION("""COMPUTED_VALUE"""),0.0)</f>
        <v>0</v>
      </c>
      <c r="Z175" s="211">
        <f>IFERROR(__xludf.DUMMYFUNCTION("""COMPUTED_VALUE"""),1086.0)</f>
        <v>1086</v>
      </c>
    </row>
    <row r="176">
      <c r="A176" s="210">
        <f>IFERROR(__xludf.DUMMYFUNCTION("""COMPUTED_VALUE"""),44086.0)</f>
        <v>44086</v>
      </c>
      <c r="B176" s="211">
        <f>IFERROR(__xludf.DUMMYFUNCTION("""COMPUTED_VALUE"""),109.0)</f>
        <v>109</v>
      </c>
      <c r="C176" s="211">
        <f>IFERROR(__xludf.DUMMYFUNCTION("""COMPUTED_VALUE"""),133.0)</f>
        <v>133</v>
      </c>
      <c r="D176" s="211">
        <f>IFERROR(__xludf.DUMMYFUNCTION("""COMPUTED_VALUE"""),32681.0)</f>
        <v>32681</v>
      </c>
      <c r="E176" s="211">
        <f>IFERROR(__xludf.DUMMYFUNCTION("""COMPUTED_VALUE"""),6188.0)</f>
        <v>6188</v>
      </c>
      <c r="F176" s="151">
        <f>IFERROR(__xludf.DUMMYFUNCTION("""COMPUTED_VALUE"""),602623.0)</f>
        <v>602623</v>
      </c>
      <c r="G176" s="151">
        <f>IFERROR(__xludf.DUMMYFUNCTION("""COMPUTED_VALUE"""),6297.0)</f>
        <v>6297</v>
      </c>
      <c r="H176" s="151">
        <f>IFERROR(__xludf.DUMMYFUNCTION("""COMPUTED_VALUE"""),635304.0)</f>
        <v>635304</v>
      </c>
      <c r="I176" s="211">
        <f>IFERROR(__xludf.DUMMYFUNCTION("""COMPUTED_VALUE"""),97.0)</f>
        <v>97</v>
      </c>
      <c r="J176" s="211">
        <f>IFERROR(__xludf.DUMMYFUNCTION("""COMPUTED_VALUE"""),102.0)</f>
        <v>102</v>
      </c>
      <c r="K176" s="211">
        <f>IFERROR(__xludf.DUMMYFUNCTION("""COMPUTED_VALUE"""),22889.0)</f>
        <v>22889</v>
      </c>
      <c r="L176" s="211">
        <f>IFERROR(__xludf.DUMMYFUNCTION("""COMPUTED_VALUE"""),1503.0)</f>
        <v>1503</v>
      </c>
      <c r="M176" s="211">
        <f>IFERROR(__xludf.DUMMYFUNCTION("""COMPUTED_VALUE"""),284107.0)</f>
        <v>284107</v>
      </c>
      <c r="N176" s="211">
        <f>IFERROR(__xludf.DUMMYFUNCTION("""COMPUTED_VALUE"""),306996.0)</f>
        <v>306996</v>
      </c>
      <c r="O176" s="211">
        <f>IFERROR(__xludf.DUMMYFUNCTION("""COMPUTED_VALUE"""),8.0)</f>
        <v>8</v>
      </c>
      <c r="P176" s="211">
        <f>IFERROR(__xludf.DUMMYFUNCTION("""COMPUTED_VALUE"""),2661.0)</f>
        <v>2661</v>
      </c>
      <c r="Q176" s="211">
        <f>IFERROR(__xludf.DUMMYFUNCTION("""COMPUTED_VALUE"""),5.0)</f>
        <v>5</v>
      </c>
      <c r="R176" s="211">
        <f>IFERROR(__xludf.DUMMYFUNCTION("""COMPUTED_VALUE"""),2228.0)</f>
        <v>2228</v>
      </c>
      <c r="S176" s="211">
        <f>IFERROR(__xludf.DUMMYFUNCTION("""COMPUTED_VALUE"""),2.0)</f>
        <v>2</v>
      </c>
      <c r="T176" s="211">
        <f>IFERROR(__xludf.DUMMYFUNCTION("""COMPUTED_VALUE"""),343.0)</f>
        <v>343</v>
      </c>
      <c r="U176" s="211">
        <f>IFERROR(__xludf.DUMMYFUNCTION("""COMPUTED_VALUE"""),90.0)</f>
        <v>90</v>
      </c>
      <c r="V176" s="211">
        <f>IFERROR(__xludf.DUMMYFUNCTION("""COMPUTED_VALUE"""),89.0)</f>
        <v>89</v>
      </c>
      <c r="W176" s="211">
        <f>IFERROR(__xludf.DUMMYFUNCTION("""COMPUTED_VALUE"""),9.0)</f>
        <v>9</v>
      </c>
      <c r="X176" s="211">
        <f>IFERROR(__xludf.DUMMYFUNCTION("""COMPUTED_VALUE"""),5.0)</f>
        <v>5</v>
      </c>
      <c r="Y176" s="211">
        <f>IFERROR(__xludf.DUMMYFUNCTION("""COMPUTED_VALUE"""),3.0)</f>
        <v>3</v>
      </c>
      <c r="Z176" s="211">
        <f>IFERROR(__xludf.DUMMYFUNCTION("""COMPUTED_VALUE"""),1089.0)</f>
        <v>1089</v>
      </c>
    </row>
    <row r="177">
      <c r="A177" s="210">
        <f>IFERROR(__xludf.DUMMYFUNCTION("""COMPUTED_VALUE"""),44087.0)</f>
        <v>44087</v>
      </c>
      <c r="B177" s="211">
        <f>IFERROR(__xludf.DUMMYFUNCTION("""COMPUTED_VALUE"""),58.0)</f>
        <v>58</v>
      </c>
      <c r="C177" s="211">
        <f>IFERROR(__xludf.DUMMYFUNCTION("""COMPUTED_VALUE"""),97.0)</f>
        <v>97</v>
      </c>
      <c r="D177" s="211">
        <f>IFERROR(__xludf.DUMMYFUNCTION("""COMPUTED_VALUE"""),32739.0)</f>
        <v>32739</v>
      </c>
      <c r="E177" s="211">
        <f>IFERROR(__xludf.DUMMYFUNCTION("""COMPUTED_VALUE"""),2707.0)</f>
        <v>2707</v>
      </c>
      <c r="F177" s="151">
        <f>IFERROR(__xludf.DUMMYFUNCTION("""COMPUTED_VALUE"""),605330.0)</f>
        <v>605330</v>
      </c>
      <c r="G177" s="151">
        <f>IFERROR(__xludf.DUMMYFUNCTION("""COMPUTED_VALUE"""),2765.0)</f>
        <v>2765</v>
      </c>
      <c r="H177" s="151">
        <f>IFERROR(__xludf.DUMMYFUNCTION("""COMPUTED_VALUE"""),638069.0)</f>
        <v>638069</v>
      </c>
      <c r="I177" s="211">
        <f>IFERROR(__xludf.DUMMYFUNCTION("""COMPUTED_VALUE"""),53.0)</f>
        <v>53</v>
      </c>
      <c r="J177" s="211">
        <f>IFERROR(__xludf.DUMMYFUNCTION("""COMPUTED_VALUE"""),83.0)</f>
        <v>83</v>
      </c>
      <c r="K177" s="211">
        <f>IFERROR(__xludf.DUMMYFUNCTION("""COMPUTED_VALUE"""),22942.0)</f>
        <v>22942</v>
      </c>
      <c r="L177" s="211">
        <f>IFERROR(__xludf.DUMMYFUNCTION("""COMPUTED_VALUE"""),859.0)</f>
        <v>859</v>
      </c>
      <c r="M177" s="211">
        <f>IFERROR(__xludf.DUMMYFUNCTION("""COMPUTED_VALUE"""),284966.0)</f>
        <v>284966</v>
      </c>
      <c r="N177" s="211">
        <f>IFERROR(__xludf.DUMMYFUNCTION("""COMPUTED_VALUE"""),307908.0)</f>
        <v>307908</v>
      </c>
      <c r="O177" s="211">
        <f>IFERROR(__xludf.DUMMYFUNCTION("""COMPUTED_VALUE"""),4.0)</f>
        <v>4</v>
      </c>
      <c r="P177" s="211">
        <f>IFERROR(__xludf.DUMMYFUNCTION("""COMPUTED_VALUE"""),2665.0)</f>
        <v>2665</v>
      </c>
      <c r="Q177" s="211">
        <f>IFERROR(__xludf.DUMMYFUNCTION("""COMPUTED_VALUE"""),3.0)</f>
        <v>3</v>
      </c>
      <c r="R177" s="211">
        <f>IFERROR(__xludf.DUMMYFUNCTION("""COMPUTED_VALUE"""),2231.0)</f>
        <v>2231</v>
      </c>
      <c r="S177" s="211">
        <f>IFERROR(__xludf.DUMMYFUNCTION("""COMPUTED_VALUE"""),0.0)</f>
        <v>0</v>
      </c>
      <c r="T177" s="211">
        <f>IFERROR(__xludf.DUMMYFUNCTION("""COMPUTED_VALUE"""),343.0)</f>
        <v>343</v>
      </c>
      <c r="U177" s="211">
        <f>IFERROR(__xludf.DUMMYFUNCTION("""COMPUTED_VALUE"""),91.0)</f>
        <v>91</v>
      </c>
      <c r="V177" s="211">
        <f>IFERROR(__xludf.DUMMYFUNCTION("""COMPUTED_VALUE"""),90.0)</f>
        <v>90</v>
      </c>
      <c r="W177" s="211">
        <f>IFERROR(__xludf.DUMMYFUNCTION("""COMPUTED_VALUE"""),10.0)</f>
        <v>10</v>
      </c>
      <c r="X177" s="211">
        <f>IFERROR(__xludf.DUMMYFUNCTION("""COMPUTED_VALUE"""),5.0)</f>
        <v>5</v>
      </c>
      <c r="Y177" s="211">
        <f>IFERROR(__xludf.DUMMYFUNCTION("""COMPUTED_VALUE"""),0.0)</f>
        <v>0</v>
      </c>
      <c r="Z177" s="211">
        <f>IFERROR(__xludf.DUMMYFUNCTION("""COMPUTED_VALUE"""),1089.0)</f>
        <v>1089</v>
      </c>
    </row>
    <row r="178">
      <c r="A178" s="210">
        <f>IFERROR(__xludf.DUMMYFUNCTION("""COMPUTED_VALUE"""),44088.0)</f>
        <v>44088</v>
      </c>
      <c r="B178" s="211">
        <f>IFERROR(__xludf.DUMMYFUNCTION("""COMPUTED_VALUE"""),104.0)</f>
        <v>104</v>
      </c>
      <c r="C178" s="211">
        <f>IFERROR(__xludf.DUMMYFUNCTION("""COMPUTED_VALUE"""),90.0)</f>
        <v>90</v>
      </c>
      <c r="D178" s="211">
        <f>IFERROR(__xludf.DUMMYFUNCTION("""COMPUTED_VALUE"""),32843.0)</f>
        <v>32843</v>
      </c>
      <c r="E178" s="211">
        <f>IFERROR(__xludf.DUMMYFUNCTION("""COMPUTED_VALUE"""),6426.0)</f>
        <v>6426</v>
      </c>
      <c r="F178" s="151">
        <f>IFERROR(__xludf.DUMMYFUNCTION("""COMPUTED_VALUE"""),611756.0)</f>
        <v>611756</v>
      </c>
      <c r="G178" s="151">
        <f>IFERROR(__xludf.DUMMYFUNCTION("""COMPUTED_VALUE"""),6530.0)</f>
        <v>6530</v>
      </c>
      <c r="H178" s="151">
        <f>IFERROR(__xludf.DUMMYFUNCTION("""COMPUTED_VALUE"""),644599.0)</f>
        <v>644599</v>
      </c>
      <c r="I178" s="211">
        <f>IFERROR(__xludf.DUMMYFUNCTION("""COMPUTED_VALUE"""),95.0)</f>
        <v>95</v>
      </c>
      <c r="J178" s="211">
        <f>IFERROR(__xludf.DUMMYFUNCTION("""COMPUTED_VALUE"""),82.0)</f>
        <v>82</v>
      </c>
      <c r="K178" s="211">
        <f>IFERROR(__xludf.DUMMYFUNCTION("""COMPUTED_VALUE"""),23037.0)</f>
        <v>23037</v>
      </c>
      <c r="L178" s="211">
        <f>IFERROR(__xludf.DUMMYFUNCTION("""COMPUTED_VALUE"""),1710.0)</f>
        <v>1710</v>
      </c>
      <c r="M178" s="211">
        <f>IFERROR(__xludf.DUMMYFUNCTION("""COMPUTED_VALUE"""),286676.0)</f>
        <v>286676</v>
      </c>
      <c r="N178" s="211">
        <f>IFERROR(__xludf.DUMMYFUNCTION("""COMPUTED_VALUE"""),309713.0)</f>
        <v>309713</v>
      </c>
      <c r="O178" s="211">
        <f>IFERROR(__xludf.DUMMYFUNCTION("""COMPUTED_VALUE"""),5.0)</f>
        <v>5</v>
      </c>
      <c r="P178" s="211">
        <f>IFERROR(__xludf.DUMMYFUNCTION("""COMPUTED_VALUE"""),2670.0)</f>
        <v>2670</v>
      </c>
      <c r="Q178" s="211">
        <f>IFERROR(__xludf.DUMMYFUNCTION("""COMPUTED_VALUE"""),3.0)</f>
        <v>3</v>
      </c>
      <c r="R178" s="211">
        <f>IFERROR(__xludf.DUMMYFUNCTION("""COMPUTED_VALUE"""),2234.0)</f>
        <v>2234</v>
      </c>
      <c r="S178" s="211">
        <f>IFERROR(__xludf.DUMMYFUNCTION("""COMPUTED_VALUE"""),2.0)</f>
        <v>2</v>
      </c>
      <c r="T178" s="211">
        <f>IFERROR(__xludf.DUMMYFUNCTION("""COMPUTED_VALUE"""),345.0)</f>
        <v>345</v>
      </c>
      <c r="U178" s="211">
        <f>IFERROR(__xludf.DUMMYFUNCTION("""COMPUTED_VALUE"""),91.0)</f>
        <v>91</v>
      </c>
      <c r="V178" s="211">
        <f>IFERROR(__xludf.DUMMYFUNCTION("""COMPUTED_VALUE"""),91.0)</f>
        <v>91</v>
      </c>
      <c r="W178" s="211">
        <f>IFERROR(__xludf.DUMMYFUNCTION("""COMPUTED_VALUE"""),10.0)</f>
        <v>10</v>
      </c>
      <c r="X178" s="211">
        <f>IFERROR(__xludf.DUMMYFUNCTION("""COMPUTED_VALUE"""),5.0)</f>
        <v>5</v>
      </c>
      <c r="Y178" s="211">
        <f>IFERROR(__xludf.DUMMYFUNCTION("""COMPUTED_VALUE"""),1.0)</f>
        <v>1</v>
      </c>
      <c r="Z178" s="211">
        <f>IFERROR(__xludf.DUMMYFUNCTION("""COMPUTED_VALUE"""),1090.0)</f>
        <v>1090</v>
      </c>
    </row>
    <row r="179">
      <c r="A179" s="210">
        <f>IFERROR(__xludf.DUMMYFUNCTION("""COMPUTED_VALUE"""),44089.0)</f>
        <v>44089</v>
      </c>
      <c r="B179" s="211">
        <f>IFERROR(__xludf.DUMMYFUNCTION("""COMPUTED_VALUE"""),122.0)</f>
        <v>122</v>
      </c>
      <c r="C179" s="211">
        <f>IFERROR(__xludf.DUMMYFUNCTION("""COMPUTED_VALUE"""),95.0)</f>
        <v>95</v>
      </c>
      <c r="D179" s="211">
        <f>IFERROR(__xludf.DUMMYFUNCTION("""COMPUTED_VALUE"""),32965.0)</f>
        <v>32965</v>
      </c>
      <c r="E179" s="211">
        <f>IFERROR(__xludf.DUMMYFUNCTION("""COMPUTED_VALUE"""),8554.0)</f>
        <v>8554</v>
      </c>
      <c r="F179" s="151">
        <f>IFERROR(__xludf.DUMMYFUNCTION("""COMPUTED_VALUE"""),620310.0)</f>
        <v>620310</v>
      </c>
      <c r="G179" s="151">
        <f>IFERROR(__xludf.DUMMYFUNCTION("""COMPUTED_VALUE"""),8676.0)</f>
        <v>8676</v>
      </c>
      <c r="H179" s="151">
        <f>IFERROR(__xludf.DUMMYFUNCTION("""COMPUTED_VALUE"""),653275.0)</f>
        <v>653275</v>
      </c>
      <c r="I179" s="211">
        <f>IFERROR(__xludf.DUMMYFUNCTION("""COMPUTED_VALUE"""),124.0)</f>
        <v>124</v>
      </c>
      <c r="J179" s="211">
        <f>IFERROR(__xludf.DUMMYFUNCTION("""COMPUTED_VALUE"""),91.0)</f>
        <v>91</v>
      </c>
      <c r="K179" s="211">
        <f>IFERROR(__xludf.DUMMYFUNCTION("""COMPUTED_VALUE"""),23161.0)</f>
        <v>23161</v>
      </c>
      <c r="L179" s="211">
        <f>IFERROR(__xludf.DUMMYFUNCTION("""COMPUTED_VALUE"""),2198.0)</f>
        <v>2198</v>
      </c>
      <c r="M179" s="211">
        <f>IFERROR(__xludf.DUMMYFUNCTION("""COMPUTED_VALUE"""),288874.0)</f>
        <v>288874</v>
      </c>
      <c r="N179" s="211">
        <f>IFERROR(__xludf.DUMMYFUNCTION("""COMPUTED_VALUE"""),312035.0)</f>
        <v>312035</v>
      </c>
      <c r="O179" s="211">
        <f>IFERROR(__xludf.DUMMYFUNCTION("""COMPUTED_VALUE"""),6.0)</f>
        <v>6</v>
      </c>
      <c r="P179" s="211">
        <f>IFERROR(__xludf.DUMMYFUNCTION("""COMPUTED_VALUE"""),2676.0)</f>
        <v>2676</v>
      </c>
      <c r="Q179" s="211">
        <f>IFERROR(__xludf.DUMMYFUNCTION("""COMPUTED_VALUE"""),2.0)</f>
        <v>2</v>
      </c>
      <c r="R179" s="211">
        <f>IFERROR(__xludf.DUMMYFUNCTION("""COMPUTED_VALUE"""),2236.0)</f>
        <v>2236</v>
      </c>
      <c r="S179" s="211">
        <f>IFERROR(__xludf.DUMMYFUNCTION("""COMPUTED_VALUE"""),1.0)</f>
        <v>1</v>
      </c>
      <c r="T179" s="211">
        <f>IFERROR(__xludf.DUMMYFUNCTION("""COMPUTED_VALUE"""),346.0)</f>
        <v>346</v>
      </c>
      <c r="U179" s="211">
        <f>IFERROR(__xludf.DUMMYFUNCTION("""COMPUTED_VALUE"""),94.0)</f>
        <v>94</v>
      </c>
      <c r="V179" s="211">
        <f>IFERROR(__xludf.DUMMYFUNCTION("""COMPUTED_VALUE"""),92.0)</f>
        <v>92</v>
      </c>
      <c r="W179" s="211">
        <f>IFERROR(__xludf.DUMMYFUNCTION("""COMPUTED_VALUE"""),10.0)</f>
        <v>10</v>
      </c>
      <c r="X179" s="211">
        <f>IFERROR(__xludf.DUMMYFUNCTION("""COMPUTED_VALUE"""),5.0)</f>
        <v>5</v>
      </c>
      <c r="Y179" s="211">
        <f>IFERROR(__xludf.DUMMYFUNCTION("""COMPUTED_VALUE"""),2.0)</f>
        <v>2</v>
      </c>
      <c r="Z179" s="211">
        <f>IFERROR(__xludf.DUMMYFUNCTION("""COMPUTED_VALUE"""),1092.0)</f>
        <v>1092</v>
      </c>
    </row>
    <row r="180">
      <c r="A180" s="210">
        <f>IFERROR(__xludf.DUMMYFUNCTION("""COMPUTED_VALUE"""),44090.0)</f>
        <v>44090</v>
      </c>
      <c r="B180" s="211">
        <f>IFERROR(__xludf.DUMMYFUNCTION("""COMPUTED_VALUE"""),137.0)</f>
        <v>137</v>
      </c>
      <c r="C180" s="211">
        <f>IFERROR(__xludf.DUMMYFUNCTION("""COMPUTED_VALUE"""),121.0)</f>
        <v>121</v>
      </c>
      <c r="D180" s="211">
        <f>IFERROR(__xludf.DUMMYFUNCTION("""COMPUTED_VALUE"""),33102.0)</f>
        <v>33102</v>
      </c>
      <c r="E180" s="211">
        <f>IFERROR(__xludf.DUMMYFUNCTION("""COMPUTED_VALUE"""),9880.0)</f>
        <v>9880</v>
      </c>
      <c r="F180" s="151">
        <f>IFERROR(__xludf.DUMMYFUNCTION("""COMPUTED_VALUE"""),630190.0)</f>
        <v>630190</v>
      </c>
      <c r="G180" s="151">
        <f>IFERROR(__xludf.DUMMYFUNCTION("""COMPUTED_VALUE"""),10017.0)</f>
        <v>10017</v>
      </c>
      <c r="H180" s="151">
        <f>IFERROR(__xludf.DUMMYFUNCTION("""COMPUTED_VALUE"""),663292.0)</f>
        <v>663292</v>
      </c>
      <c r="I180" s="211">
        <f>IFERROR(__xludf.DUMMYFUNCTION("""COMPUTED_VALUE"""),118.0)</f>
        <v>118</v>
      </c>
      <c r="J180" s="211">
        <f>IFERROR(__xludf.DUMMYFUNCTION("""COMPUTED_VALUE"""),112.0)</f>
        <v>112</v>
      </c>
      <c r="K180" s="211">
        <f>IFERROR(__xludf.DUMMYFUNCTION("""COMPUTED_VALUE"""),23279.0)</f>
        <v>23279</v>
      </c>
      <c r="L180" s="211">
        <f>IFERROR(__xludf.DUMMYFUNCTION("""COMPUTED_VALUE"""),1975.0)</f>
        <v>1975</v>
      </c>
      <c r="M180" s="211">
        <f>IFERROR(__xludf.DUMMYFUNCTION("""COMPUTED_VALUE"""),290849.0)</f>
        <v>290849</v>
      </c>
      <c r="N180" s="211">
        <f>IFERROR(__xludf.DUMMYFUNCTION("""COMPUTED_VALUE"""),314128.0)</f>
        <v>314128</v>
      </c>
      <c r="O180" s="211">
        <f>IFERROR(__xludf.DUMMYFUNCTION("""COMPUTED_VALUE"""),7.0)</f>
        <v>7</v>
      </c>
      <c r="P180" s="211">
        <f>IFERROR(__xludf.DUMMYFUNCTION("""COMPUTED_VALUE"""),2683.0)</f>
        <v>2683</v>
      </c>
      <c r="Q180" s="211">
        <f>IFERROR(__xludf.DUMMYFUNCTION("""COMPUTED_VALUE"""),7.0)</f>
        <v>7</v>
      </c>
      <c r="R180" s="211">
        <f>IFERROR(__xludf.DUMMYFUNCTION("""COMPUTED_VALUE"""),2243.0)</f>
        <v>2243</v>
      </c>
      <c r="S180" s="211">
        <f>IFERROR(__xludf.DUMMYFUNCTION("""COMPUTED_VALUE"""),2.0)</f>
        <v>2</v>
      </c>
      <c r="T180" s="211">
        <f>IFERROR(__xludf.DUMMYFUNCTION("""COMPUTED_VALUE"""),348.0)</f>
        <v>348</v>
      </c>
      <c r="U180" s="211">
        <f>IFERROR(__xludf.DUMMYFUNCTION("""COMPUTED_VALUE"""),92.0)</f>
        <v>92</v>
      </c>
      <c r="V180" s="211">
        <f>IFERROR(__xludf.DUMMYFUNCTION("""COMPUTED_VALUE"""),92.0)</f>
        <v>92</v>
      </c>
      <c r="W180" s="211">
        <f>IFERROR(__xludf.DUMMYFUNCTION("""COMPUTED_VALUE"""),8.0)</f>
        <v>8</v>
      </c>
      <c r="X180" s="211">
        <f>IFERROR(__xludf.DUMMYFUNCTION("""COMPUTED_VALUE"""),6.0)</f>
        <v>6</v>
      </c>
      <c r="Y180" s="211">
        <f>IFERROR(__xludf.DUMMYFUNCTION("""COMPUTED_VALUE"""),5.0)</f>
        <v>5</v>
      </c>
      <c r="Z180" s="211">
        <f>IFERROR(__xludf.DUMMYFUNCTION("""COMPUTED_VALUE"""),1097.0)</f>
        <v>1097</v>
      </c>
    </row>
    <row r="181">
      <c r="A181" s="210">
        <f>IFERROR(__xludf.DUMMYFUNCTION("""COMPUTED_VALUE"""),44091.0)</f>
        <v>44091</v>
      </c>
      <c r="B181" s="211">
        <f>IFERROR(__xludf.DUMMYFUNCTION("""COMPUTED_VALUE"""),124.0)</f>
        <v>124</v>
      </c>
      <c r="C181" s="211">
        <f>IFERROR(__xludf.DUMMYFUNCTION("""COMPUTED_VALUE"""),128.0)</f>
        <v>128</v>
      </c>
      <c r="D181" s="211">
        <f>IFERROR(__xludf.DUMMYFUNCTION("""COMPUTED_VALUE"""),33226.0)</f>
        <v>33226</v>
      </c>
      <c r="E181" s="211">
        <f>IFERROR(__xludf.DUMMYFUNCTION("""COMPUTED_VALUE"""),9581.0)</f>
        <v>9581</v>
      </c>
      <c r="F181" s="151">
        <f>IFERROR(__xludf.DUMMYFUNCTION("""COMPUTED_VALUE"""),639771.0)</f>
        <v>639771</v>
      </c>
      <c r="G181" s="151">
        <f>IFERROR(__xludf.DUMMYFUNCTION("""COMPUTED_VALUE"""),9705.0)</f>
        <v>9705</v>
      </c>
      <c r="H181" s="151">
        <f>IFERROR(__xludf.DUMMYFUNCTION("""COMPUTED_VALUE"""),672997.0)</f>
        <v>672997</v>
      </c>
      <c r="I181" s="211">
        <f>IFERROR(__xludf.DUMMYFUNCTION("""COMPUTED_VALUE"""),154.0)</f>
        <v>154</v>
      </c>
      <c r="J181" s="211">
        <f>IFERROR(__xludf.DUMMYFUNCTION("""COMPUTED_VALUE"""),132.0)</f>
        <v>132</v>
      </c>
      <c r="K181" s="211">
        <f>IFERROR(__xludf.DUMMYFUNCTION("""COMPUTED_VALUE"""),23433.0)</f>
        <v>23433</v>
      </c>
      <c r="L181" s="211">
        <f>IFERROR(__xludf.DUMMYFUNCTION("""COMPUTED_VALUE"""),1962.0)</f>
        <v>1962</v>
      </c>
      <c r="M181" s="211">
        <f>IFERROR(__xludf.DUMMYFUNCTION("""COMPUTED_VALUE"""),292811.0)</f>
        <v>292811</v>
      </c>
      <c r="N181" s="211">
        <f>IFERROR(__xludf.DUMMYFUNCTION("""COMPUTED_VALUE"""),316244.0)</f>
        <v>316244</v>
      </c>
      <c r="O181" s="211">
        <f>IFERROR(__xludf.DUMMYFUNCTION("""COMPUTED_VALUE"""),7.0)</f>
        <v>7</v>
      </c>
      <c r="P181" s="211">
        <f>IFERROR(__xludf.DUMMYFUNCTION("""COMPUTED_VALUE"""),2690.0)</f>
        <v>2690</v>
      </c>
      <c r="Q181" s="211">
        <f>IFERROR(__xludf.DUMMYFUNCTION("""COMPUTED_VALUE"""),14.0)</f>
        <v>14</v>
      </c>
      <c r="R181" s="211">
        <f>IFERROR(__xludf.DUMMYFUNCTION("""COMPUTED_VALUE"""),2257.0)</f>
        <v>2257</v>
      </c>
      <c r="S181" s="211">
        <f>IFERROR(__xludf.DUMMYFUNCTION("""COMPUTED_VALUE"""),0.0)</f>
        <v>0</v>
      </c>
      <c r="T181" s="211">
        <f>IFERROR(__xludf.DUMMYFUNCTION("""COMPUTED_VALUE"""),348.0)</f>
        <v>348</v>
      </c>
      <c r="U181" s="211">
        <f>IFERROR(__xludf.DUMMYFUNCTION("""COMPUTED_VALUE"""),85.0)</f>
        <v>85</v>
      </c>
      <c r="V181" s="211">
        <f>IFERROR(__xludf.DUMMYFUNCTION("""COMPUTED_VALUE"""),90.0)</f>
        <v>90</v>
      </c>
      <c r="W181" s="211">
        <f>IFERROR(__xludf.DUMMYFUNCTION("""COMPUTED_VALUE"""),8.0)</f>
        <v>8</v>
      </c>
      <c r="X181" s="211">
        <f>IFERROR(__xludf.DUMMYFUNCTION("""COMPUTED_VALUE"""),4.0)</f>
        <v>4</v>
      </c>
      <c r="Y181" s="211">
        <f>IFERROR(__xludf.DUMMYFUNCTION("""COMPUTED_VALUE"""),0.0)</f>
        <v>0</v>
      </c>
      <c r="Z181" s="211">
        <f>IFERROR(__xludf.DUMMYFUNCTION("""COMPUTED_VALUE"""),1097.0)</f>
        <v>1097</v>
      </c>
    </row>
    <row r="182">
      <c r="A182" s="210">
        <f>IFERROR(__xludf.DUMMYFUNCTION("""COMPUTED_VALUE"""),44092.0)</f>
        <v>44092</v>
      </c>
      <c r="B182" s="211">
        <f>IFERROR(__xludf.DUMMYFUNCTION("""COMPUTED_VALUE"""),132.0)</f>
        <v>132</v>
      </c>
      <c r="C182" s="211">
        <f>IFERROR(__xludf.DUMMYFUNCTION("""COMPUTED_VALUE"""),131.0)</f>
        <v>131</v>
      </c>
      <c r="D182" s="211">
        <f>IFERROR(__xludf.DUMMYFUNCTION("""COMPUTED_VALUE"""),33358.0)</f>
        <v>33358</v>
      </c>
      <c r="E182" s="211">
        <f>IFERROR(__xludf.DUMMYFUNCTION("""COMPUTED_VALUE"""),10263.0)</f>
        <v>10263</v>
      </c>
      <c r="F182" s="151">
        <f>IFERROR(__xludf.DUMMYFUNCTION("""COMPUTED_VALUE"""),650034.0)</f>
        <v>650034</v>
      </c>
      <c r="G182" s="151">
        <f>IFERROR(__xludf.DUMMYFUNCTION("""COMPUTED_VALUE"""),10395.0)</f>
        <v>10395</v>
      </c>
      <c r="H182" s="151">
        <f>IFERROR(__xludf.DUMMYFUNCTION("""COMPUTED_VALUE"""),683392.0)</f>
        <v>683392</v>
      </c>
      <c r="I182" s="211">
        <f>IFERROR(__xludf.DUMMYFUNCTION("""COMPUTED_VALUE"""),132.0)</f>
        <v>132</v>
      </c>
      <c r="J182" s="211">
        <f>IFERROR(__xludf.DUMMYFUNCTION("""COMPUTED_VALUE"""),135.0)</f>
        <v>135</v>
      </c>
      <c r="K182" s="211">
        <f>IFERROR(__xludf.DUMMYFUNCTION("""COMPUTED_VALUE"""),23565.0)</f>
        <v>23565</v>
      </c>
      <c r="L182" s="211">
        <f>IFERROR(__xludf.DUMMYFUNCTION("""COMPUTED_VALUE"""),1954.0)</f>
        <v>1954</v>
      </c>
      <c r="M182" s="211">
        <f>IFERROR(__xludf.DUMMYFUNCTION("""COMPUTED_VALUE"""),294765.0)</f>
        <v>294765</v>
      </c>
      <c r="N182" s="211">
        <f>IFERROR(__xludf.DUMMYFUNCTION("""COMPUTED_VALUE"""),318330.0)</f>
        <v>318330</v>
      </c>
      <c r="O182" s="211">
        <f>IFERROR(__xludf.DUMMYFUNCTION("""COMPUTED_VALUE"""),7.0)</f>
        <v>7</v>
      </c>
      <c r="P182" s="211">
        <f>IFERROR(__xludf.DUMMYFUNCTION("""COMPUTED_VALUE"""),2697.0)</f>
        <v>2697</v>
      </c>
      <c r="Q182" s="211">
        <f>IFERROR(__xludf.DUMMYFUNCTION("""COMPUTED_VALUE"""),7.0)</f>
        <v>7</v>
      </c>
      <c r="R182" s="211">
        <f>IFERROR(__xludf.DUMMYFUNCTION("""COMPUTED_VALUE"""),2264.0)</f>
        <v>2264</v>
      </c>
      <c r="S182" s="211">
        <f>IFERROR(__xludf.DUMMYFUNCTION("""COMPUTED_VALUE"""),1.0)</f>
        <v>1</v>
      </c>
      <c r="T182" s="211">
        <f>IFERROR(__xludf.DUMMYFUNCTION("""COMPUTED_VALUE"""),349.0)</f>
        <v>349</v>
      </c>
      <c r="U182" s="211">
        <f>IFERROR(__xludf.DUMMYFUNCTION("""COMPUTED_VALUE"""),84.0)</f>
        <v>84</v>
      </c>
      <c r="V182" s="211">
        <f>IFERROR(__xludf.DUMMYFUNCTION("""COMPUTED_VALUE"""),87.0)</f>
        <v>87</v>
      </c>
      <c r="W182" s="211">
        <f>IFERROR(__xludf.DUMMYFUNCTION("""COMPUTED_VALUE"""),11.0)</f>
        <v>11</v>
      </c>
      <c r="X182" s="211">
        <f>IFERROR(__xludf.DUMMYFUNCTION("""COMPUTED_VALUE"""),6.0)</f>
        <v>6</v>
      </c>
      <c r="Y182" s="211">
        <f>IFERROR(__xludf.DUMMYFUNCTION("""COMPUTED_VALUE"""),2.0)</f>
        <v>2</v>
      </c>
      <c r="Z182" s="211">
        <f>IFERROR(__xludf.DUMMYFUNCTION("""COMPUTED_VALUE"""),1099.0)</f>
        <v>1099</v>
      </c>
    </row>
    <row r="183">
      <c r="A183" s="210">
        <f>IFERROR(__xludf.DUMMYFUNCTION("""COMPUTED_VALUE"""),44093.0)</f>
        <v>44093</v>
      </c>
      <c r="B183" s="211">
        <f>IFERROR(__xludf.DUMMYFUNCTION("""COMPUTED_VALUE"""),116.0)</f>
        <v>116</v>
      </c>
      <c r="C183" s="211">
        <f>IFERROR(__xludf.DUMMYFUNCTION("""COMPUTED_VALUE"""),124.0)</f>
        <v>124</v>
      </c>
      <c r="D183" s="211">
        <f>IFERROR(__xludf.DUMMYFUNCTION("""COMPUTED_VALUE"""),33474.0)</f>
        <v>33474</v>
      </c>
      <c r="E183" s="211">
        <f>IFERROR(__xludf.DUMMYFUNCTION("""COMPUTED_VALUE"""),8393.0)</f>
        <v>8393</v>
      </c>
      <c r="F183" s="151">
        <f>IFERROR(__xludf.DUMMYFUNCTION("""COMPUTED_VALUE"""),658427.0)</f>
        <v>658427</v>
      </c>
      <c r="G183" s="151">
        <f>IFERROR(__xludf.DUMMYFUNCTION("""COMPUTED_VALUE"""),8509.0)</f>
        <v>8509</v>
      </c>
      <c r="H183" s="151">
        <f>IFERROR(__xludf.DUMMYFUNCTION("""COMPUTED_VALUE"""),691901.0)</f>
        <v>691901</v>
      </c>
      <c r="I183" s="211">
        <f>IFERROR(__xludf.DUMMYFUNCTION("""COMPUTED_VALUE"""),113.0)</f>
        <v>113</v>
      </c>
      <c r="J183" s="211">
        <f>IFERROR(__xludf.DUMMYFUNCTION("""COMPUTED_VALUE"""),133.0)</f>
        <v>133</v>
      </c>
      <c r="K183" s="211">
        <f>IFERROR(__xludf.DUMMYFUNCTION("""COMPUTED_VALUE"""),23678.0)</f>
        <v>23678</v>
      </c>
      <c r="L183" s="211">
        <f>IFERROR(__xludf.DUMMYFUNCTION("""COMPUTED_VALUE"""),1710.0)</f>
        <v>1710</v>
      </c>
      <c r="M183" s="211">
        <f>IFERROR(__xludf.DUMMYFUNCTION("""COMPUTED_VALUE"""),296475.0)</f>
        <v>296475</v>
      </c>
      <c r="N183" s="211">
        <f>IFERROR(__xludf.DUMMYFUNCTION("""COMPUTED_VALUE"""),320153.0)</f>
        <v>320153</v>
      </c>
      <c r="O183" s="211">
        <f>IFERROR(__xludf.DUMMYFUNCTION("""COMPUTED_VALUE"""),7.0)</f>
        <v>7</v>
      </c>
      <c r="P183" s="211">
        <f>IFERROR(__xludf.DUMMYFUNCTION("""COMPUTED_VALUE"""),2704.0)</f>
        <v>2704</v>
      </c>
      <c r="Q183" s="211">
        <f>IFERROR(__xludf.DUMMYFUNCTION("""COMPUTED_VALUE"""),3.0)</f>
        <v>3</v>
      </c>
      <c r="R183" s="211">
        <f>IFERROR(__xludf.DUMMYFUNCTION("""COMPUTED_VALUE"""),2267.0)</f>
        <v>2267</v>
      </c>
      <c r="S183" s="211">
        <f>IFERROR(__xludf.DUMMYFUNCTION("""COMPUTED_VALUE"""),0.0)</f>
        <v>0</v>
      </c>
      <c r="T183" s="211">
        <f>IFERROR(__xludf.DUMMYFUNCTION("""COMPUTED_VALUE"""),349.0)</f>
        <v>349</v>
      </c>
      <c r="U183" s="211">
        <f>IFERROR(__xludf.DUMMYFUNCTION("""COMPUTED_VALUE"""),88.0)</f>
        <v>88</v>
      </c>
      <c r="V183" s="211">
        <f>IFERROR(__xludf.DUMMYFUNCTION("""COMPUTED_VALUE"""),86.0)</f>
        <v>86</v>
      </c>
      <c r="W183" s="211">
        <f>IFERROR(__xludf.DUMMYFUNCTION("""COMPUTED_VALUE"""),10.0)</f>
        <v>10</v>
      </c>
      <c r="X183" s="211">
        <f>IFERROR(__xludf.DUMMYFUNCTION("""COMPUTED_VALUE"""),6.0)</f>
        <v>6</v>
      </c>
      <c r="Y183" s="211">
        <f>IFERROR(__xludf.DUMMYFUNCTION("""COMPUTED_VALUE"""),4.0)</f>
        <v>4</v>
      </c>
      <c r="Z183" s="211">
        <f>IFERROR(__xludf.DUMMYFUNCTION("""COMPUTED_VALUE"""),1103.0)</f>
        <v>1103</v>
      </c>
    </row>
    <row r="184">
      <c r="A184" s="210">
        <f>IFERROR(__xludf.DUMMYFUNCTION("""COMPUTED_VALUE"""),44094.0)</f>
        <v>44094</v>
      </c>
      <c r="B184" s="211">
        <f>IFERROR(__xludf.DUMMYFUNCTION("""COMPUTED_VALUE"""),60.0)</f>
        <v>60</v>
      </c>
      <c r="C184" s="211">
        <f>IFERROR(__xludf.DUMMYFUNCTION("""COMPUTED_VALUE"""),103.0)</f>
        <v>103</v>
      </c>
      <c r="D184" s="211">
        <f>IFERROR(__xludf.DUMMYFUNCTION("""COMPUTED_VALUE"""),33534.0)</f>
        <v>33534</v>
      </c>
      <c r="E184" s="211">
        <f>IFERROR(__xludf.DUMMYFUNCTION("""COMPUTED_VALUE"""),3668.0)</f>
        <v>3668</v>
      </c>
      <c r="F184" s="151">
        <f>IFERROR(__xludf.DUMMYFUNCTION("""COMPUTED_VALUE"""),662095.0)</f>
        <v>662095</v>
      </c>
      <c r="G184" s="151">
        <f>IFERROR(__xludf.DUMMYFUNCTION("""COMPUTED_VALUE"""),3728.0)</f>
        <v>3728</v>
      </c>
      <c r="H184" s="151">
        <f>IFERROR(__xludf.DUMMYFUNCTION("""COMPUTED_VALUE"""),695629.0)</f>
        <v>695629</v>
      </c>
      <c r="I184" s="211">
        <f>IFERROR(__xludf.DUMMYFUNCTION("""COMPUTED_VALUE"""),48.0)</f>
        <v>48</v>
      </c>
      <c r="J184" s="211">
        <f>IFERROR(__xludf.DUMMYFUNCTION("""COMPUTED_VALUE"""),98.0)</f>
        <v>98</v>
      </c>
      <c r="K184" s="211">
        <f>IFERROR(__xludf.DUMMYFUNCTION("""COMPUTED_VALUE"""),23726.0)</f>
        <v>23726</v>
      </c>
      <c r="L184" s="211">
        <f>IFERROR(__xludf.DUMMYFUNCTION("""COMPUTED_VALUE"""),1343.0)</f>
        <v>1343</v>
      </c>
      <c r="M184" s="211">
        <f>IFERROR(__xludf.DUMMYFUNCTION("""COMPUTED_VALUE"""),297818.0)</f>
        <v>297818</v>
      </c>
      <c r="N184" s="211">
        <f>IFERROR(__xludf.DUMMYFUNCTION("""COMPUTED_VALUE"""),321544.0)</f>
        <v>321544</v>
      </c>
      <c r="O184" s="211">
        <f>IFERROR(__xludf.DUMMYFUNCTION("""COMPUTED_VALUE"""),7.0)</f>
        <v>7</v>
      </c>
      <c r="P184" s="211">
        <f>IFERROR(__xludf.DUMMYFUNCTION("""COMPUTED_VALUE"""),2711.0)</f>
        <v>2711</v>
      </c>
      <c r="Q184" s="211">
        <f>IFERROR(__xludf.DUMMYFUNCTION("""COMPUTED_VALUE"""),6.0)</f>
        <v>6</v>
      </c>
      <c r="R184" s="211">
        <f>IFERROR(__xludf.DUMMYFUNCTION("""COMPUTED_VALUE"""),2273.0)</f>
        <v>2273</v>
      </c>
      <c r="S184" s="211">
        <f>IFERROR(__xludf.DUMMYFUNCTION("""COMPUTED_VALUE"""),2.0)</f>
        <v>2</v>
      </c>
      <c r="T184" s="211">
        <f>IFERROR(__xludf.DUMMYFUNCTION("""COMPUTED_VALUE"""),351.0)</f>
        <v>351</v>
      </c>
      <c r="U184" s="211">
        <f>IFERROR(__xludf.DUMMYFUNCTION("""COMPUTED_VALUE"""),87.0)</f>
        <v>87</v>
      </c>
      <c r="V184" s="211">
        <f>IFERROR(__xludf.DUMMYFUNCTION("""COMPUTED_VALUE"""),86.0)</f>
        <v>86</v>
      </c>
      <c r="W184" s="211">
        <f>IFERROR(__xludf.DUMMYFUNCTION("""COMPUTED_VALUE"""),10.0)</f>
        <v>10</v>
      </c>
      <c r="X184" s="211">
        <f>IFERROR(__xludf.DUMMYFUNCTION("""COMPUTED_VALUE"""),8.0)</f>
        <v>8</v>
      </c>
      <c r="Y184" s="211">
        <f>IFERROR(__xludf.DUMMYFUNCTION("""COMPUTED_VALUE"""),4.0)</f>
        <v>4</v>
      </c>
      <c r="Z184" s="211">
        <f>IFERROR(__xludf.DUMMYFUNCTION("""COMPUTED_VALUE"""),1107.0)</f>
        <v>1107</v>
      </c>
    </row>
    <row r="185">
      <c r="A185" s="210">
        <f>IFERROR(__xludf.DUMMYFUNCTION("""COMPUTED_VALUE"""),44095.0)</f>
        <v>44095</v>
      </c>
      <c r="B185" s="211">
        <f>IFERROR(__xludf.DUMMYFUNCTION("""COMPUTED_VALUE"""),103.0)</f>
        <v>103</v>
      </c>
      <c r="C185" s="211">
        <f>IFERROR(__xludf.DUMMYFUNCTION("""COMPUTED_VALUE"""),93.0)</f>
        <v>93</v>
      </c>
      <c r="D185" s="211">
        <f>IFERROR(__xludf.DUMMYFUNCTION("""COMPUTED_VALUE"""),33637.0)</f>
        <v>33637</v>
      </c>
      <c r="E185" s="211">
        <f>IFERROR(__xludf.DUMMYFUNCTION("""COMPUTED_VALUE"""),7006.0)</f>
        <v>7006</v>
      </c>
      <c r="F185" s="151">
        <f>IFERROR(__xludf.DUMMYFUNCTION("""COMPUTED_VALUE"""),669101.0)</f>
        <v>669101</v>
      </c>
      <c r="G185" s="151">
        <f>IFERROR(__xludf.DUMMYFUNCTION("""COMPUTED_VALUE"""),7109.0)</f>
        <v>7109</v>
      </c>
      <c r="H185" s="151">
        <f>IFERROR(__xludf.DUMMYFUNCTION("""COMPUTED_VALUE"""),702738.0)</f>
        <v>702738</v>
      </c>
      <c r="I185" s="211">
        <f>IFERROR(__xludf.DUMMYFUNCTION("""COMPUTED_VALUE"""),93.0)</f>
        <v>93</v>
      </c>
      <c r="J185" s="211">
        <f>IFERROR(__xludf.DUMMYFUNCTION("""COMPUTED_VALUE"""),85.0)</f>
        <v>85</v>
      </c>
      <c r="K185" s="211">
        <f>IFERROR(__xludf.DUMMYFUNCTION("""COMPUTED_VALUE"""),23819.0)</f>
        <v>23819</v>
      </c>
      <c r="L185" s="211">
        <f>IFERROR(__xludf.DUMMYFUNCTION("""COMPUTED_VALUE"""),2416.0)</f>
        <v>2416</v>
      </c>
      <c r="M185" s="211">
        <f>IFERROR(__xludf.DUMMYFUNCTION("""COMPUTED_VALUE"""),300234.0)</f>
        <v>300234</v>
      </c>
      <c r="N185" s="211">
        <f>IFERROR(__xludf.DUMMYFUNCTION("""COMPUTED_VALUE"""),324053.0)</f>
        <v>324053</v>
      </c>
      <c r="O185" s="211">
        <f>IFERROR(__xludf.DUMMYFUNCTION("""COMPUTED_VALUE"""),12.0)</f>
        <v>12</v>
      </c>
      <c r="P185" s="211">
        <f>IFERROR(__xludf.DUMMYFUNCTION("""COMPUTED_VALUE"""),2723.0)</f>
        <v>2723</v>
      </c>
      <c r="Q185" s="211">
        <f>IFERROR(__xludf.DUMMYFUNCTION("""COMPUTED_VALUE"""),3.0)</f>
        <v>3</v>
      </c>
      <c r="R185" s="211">
        <f>IFERROR(__xludf.DUMMYFUNCTION("""COMPUTED_VALUE"""),2276.0)</f>
        <v>2276</v>
      </c>
      <c r="S185" s="211">
        <f>IFERROR(__xludf.DUMMYFUNCTION("""COMPUTED_VALUE"""),2.0)</f>
        <v>2</v>
      </c>
      <c r="T185" s="211">
        <f>IFERROR(__xludf.DUMMYFUNCTION("""COMPUTED_VALUE"""),353.0)</f>
        <v>353</v>
      </c>
      <c r="U185" s="211">
        <f>IFERROR(__xludf.DUMMYFUNCTION("""COMPUTED_VALUE"""),94.0)</f>
        <v>94</v>
      </c>
      <c r="V185" s="211">
        <f>IFERROR(__xludf.DUMMYFUNCTION("""COMPUTED_VALUE"""),90.0)</f>
        <v>90</v>
      </c>
      <c r="W185" s="211">
        <f>IFERROR(__xludf.DUMMYFUNCTION("""COMPUTED_VALUE"""),9.0)</f>
        <v>9</v>
      </c>
      <c r="X185" s="211">
        <f>IFERROR(__xludf.DUMMYFUNCTION("""COMPUTED_VALUE"""),6.0)</f>
        <v>6</v>
      </c>
      <c r="Y185" s="211">
        <f>IFERROR(__xludf.DUMMYFUNCTION("""COMPUTED_VALUE"""),2.0)</f>
        <v>2</v>
      </c>
      <c r="Z185" s="211">
        <f>IFERROR(__xludf.DUMMYFUNCTION("""COMPUTED_VALUE"""),1109.0)</f>
        <v>1109</v>
      </c>
    </row>
    <row r="186">
      <c r="A186" s="210">
        <f>IFERROR(__xludf.DUMMYFUNCTION("""COMPUTED_VALUE"""),44096.0)</f>
        <v>44096</v>
      </c>
      <c r="B186" s="211">
        <f>IFERROR(__xludf.DUMMYFUNCTION("""COMPUTED_VALUE"""),154.0)</f>
        <v>154</v>
      </c>
      <c r="C186" s="211">
        <f>IFERROR(__xludf.DUMMYFUNCTION("""COMPUTED_VALUE"""),106.0)</f>
        <v>106</v>
      </c>
      <c r="D186" s="211">
        <f>IFERROR(__xludf.DUMMYFUNCTION("""COMPUTED_VALUE"""),33791.0)</f>
        <v>33791</v>
      </c>
      <c r="E186" s="211">
        <f>IFERROR(__xludf.DUMMYFUNCTION("""COMPUTED_VALUE"""),9405.0)</f>
        <v>9405</v>
      </c>
      <c r="F186" s="151">
        <f>IFERROR(__xludf.DUMMYFUNCTION("""COMPUTED_VALUE"""),678506.0)</f>
        <v>678506</v>
      </c>
      <c r="G186" s="151">
        <f>IFERROR(__xludf.DUMMYFUNCTION("""COMPUTED_VALUE"""),9559.0)</f>
        <v>9559</v>
      </c>
      <c r="H186" s="151">
        <f>IFERROR(__xludf.DUMMYFUNCTION("""COMPUTED_VALUE"""),712297.0)</f>
        <v>712297</v>
      </c>
      <c r="I186" s="211">
        <f>IFERROR(__xludf.DUMMYFUNCTION("""COMPUTED_VALUE"""),125.0)</f>
        <v>125</v>
      </c>
      <c r="J186" s="211">
        <f>IFERROR(__xludf.DUMMYFUNCTION("""COMPUTED_VALUE"""),89.0)</f>
        <v>89</v>
      </c>
      <c r="K186" s="211">
        <f>IFERROR(__xludf.DUMMYFUNCTION("""COMPUTED_VALUE"""),23944.0)</f>
        <v>23944</v>
      </c>
      <c r="L186" s="211">
        <f>IFERROR(__xludf.DUMMYFUNCTION("""COMPUTED_VALUE"""),2229.0)</f>
        <v>2229</v>
      </c>
      <c r="M186" s="211">
        <f>IFERROR(__xludf.DUMMYFUNCTION("""COMPUTED_VALUE"""),302463.0)</f>
        <v>302463</v>
      </c>
      <c r="N186" s="211">
        <f>IFERROR(__xludf.DUMMYFUNCTION("""COMPUTED_VALUE"""),326407.0)</f>
        <v>326407</v>
      </c>
      <c r="O186" s="211">
        <f>IFERROR(__xludf.DUMMYFUNCTION("""COMPUTED_VALUE"""),12.0)</f>
        <v>12</v>
      </c>
      <c r="P186" s="211">
        <f>IFERROR(__xludf.DUMMYFUNCTION("""COMPUTED_VALUE"""),2735.0)</f>
        <v>2735</v>
      </c>
      <c r="Q186" s="211">
        <f>IFERROR(__xludf.DUMMYFUNCTION("""COMPUTED_VALUE"""),3.0)</f>
        <v>3</v>
      </c>
      <c r="R186" s="211">
        <f>IFERROR(__xludf.DUMMYFUNCTION("""COMPUTED_VALUE"""),2279.0)</f>
        <v>2279</v>
      </c>
      <c r="S186" s="211">
        <f>IFERROR(__xludf.DUMMYFUNCTION("""COMPUTED_VALUE"""),1.0)</f>
        <v>1</v>
      </c>
      <c r="T186" s="211">
        <f>IFERROR(__xludf.DUMMYFUNCTION("""COMPUTED_VALUE"""),354.0)</f>
        <v>354</v>
      </c>
      <c r="U186" s="211">
        <f>IFERROR(__xludf.DUMMYFUNCTION("""COMPUTED_VALUE"""),102.0)</f>
        <v>102</v>
      </c>
      <c r="V186" s="211">
        <f>IFERROR(__xludf.DUMMYFUNCTION("""COMPUTED_VALUE"""),94.0)</f>
        <v>94</v>
      </c>
      <c r="W186" s="211">
        <f>IFERROR(__xludf.DUMMYFUNCTION("""COMPUTED_VALUE"""),8.0)</f>
        <v>8</v>
      </c>
      <c r="X186" s="211">
        <f>IFERROR(__xludf.DUMMYFUNCTION("""COMPUTED_VALUE"""),5.0)</f>
        <v>5</v>
      </c>
      <c r="Y186" s="211">
        <f>IFERROR(__xludf.DUMMYFUNCTION("""COMPUTED_VALUE"""),1.0)</f>
        <v>1</v>
      </c>
      <c r="Z186" s="211">
        <f>IFERROR(__xludf.DUMMYFUNCTION("""COMPUTED_VALUE"""),1110.0)</f>
        <v>1110</v>
      </c>
    </row>
    <row r="187">
      <c r="A187" s="210">
        <f>IFERROR(__xludf.DUMMYFUNCTION("""COMPUTED_VALUE"""),44097.0)</f>
        <v>44097</v>
      </c>
      <c r="B187" s="211">
        <f>IFERROR(__xludf.DUMMYFUNCTION("""COMPUTED_VALUE"""),136.0)</f>
        <v>136</v>
      </c>
      <c r="C187" s="211">
        <f>IFERROR(__xludf.DUMMYFUNCTION("""COMPUTED_VALUE"""),131.0)</f>
        <v>131</v>
      </c>
      <c r="D187" s="211">
        <f>IFERROR(__xludf.DUMMYFUNCTION("""COMPUTED_VALUE"""),33927.0)</f>
        <v>33927</v>
      </c>
      <c r="E187" s="211">
        <f>IFERROR(__xludf.DUMMYFUNCTION("""COMPUTED_VALUE"""),10946.0)</f>
        <v>10946</v>
      </c>
      <c r="F187" s="151">
        <f>IFERROR(__xludf.DUMMYFUNCTION("""COMPUTED_VALUE"""),689452.0)</f>
        <v>689452</v>
      </c>
      <c r="G187" s="151">
        <f>IFERROR(__xludf.DUMMYFUNCTION("""COMPUTED_VALUE"""),11082.0)</f>
        <v>11082</v>
      </c>
      <c r="H187" s="151">
        <f>IFERROR(__xludf.DUMMYFUNCTION("""COMPUTED_VALUE"""),723379.0)</f>
        <v>723379</v>
      </c>
      <c r="I187" s="211">
        <f>IFERROR(__xludf.DUMMYFUNCTION("""COMPUTED_VALUE"""),127.0)</f>
        <v>127</v>
      </c>
      <c r="J187" s="211">
        <f>IFERROR(__xludf.DUMMYFUNCTION("""COMPUTED_VALUE"""),115.0)</f>
        <v>115</v>
      </c>
      <c r="K187" s="211">
        <f>IFERROR(__xludf.DUMMYFUNCTION("""COMPUTED_VALUE"""),24071.0)</f>
        <v>24071</v>
      </c>
      <c r="L187" s="211">
        <f>IFERROR(__xludf.DUMMYFUNCTION("""COMPUTED_VALUE"""),2229.0)</f>
        <v>2229</v>
      </c>
      <c r="M187" s="211">
        <f>IFERROR(__xludf.DUMMYFUNCTION("""COMPUTED_VALUE"""),304692.0)</f>
        <v>304692</v>
      </c>
      <c r="N187" s="211">
        <f>IFERROR(__xludf.DUMMYFUNCTION("""COMPUTED_VALUE"""),328763.0)</f>
        <v>328763</v>
      </c>
      <c r="O187" s="211">
        <f>IFERROR(__xludf.DUMMYFUNCTION("""COMPUTED_VALUE"""),11.0)</f>
        <v>11</v>
      </c>
      <c r="P187" s="211">
        <f>IFERROR(__xludf.DUMMYFUNCTION("""COMPUTED_VALUE"""),2746.0)</f>
        <v>2746</v>
      </c>
      <c r="Q187" s="211">
        <f>IFERROR(__xludf.DUMMYFUNCTION("""COMPUTED_VALUE"""),7.0)</f>
        <v>7</v>
      </c>
      <c r="R187" s="211">
        <f>IFERROR(__xludf.DUMMYFUNCTION("""COMPUTED_VALUE"""),2286.0)</f>
        <v>2286</v>
      </c>
      <c r="S187" s="211">
        <f>IFERROR(__xludf.DUMMYFUNCTION("""COMPUTED_VALUE"""),0.0)</f>
        <v>0</v>
      </c>
      <c r="T187" s="211">
        <f>IFERROR(__xludf.DUMMYFUNCTION("""COMPUTED_VALUE"""),354.0)</f>
        <v>354</v>
      </c>
      <c r="U187" s="211">
        <f>IFERROR(__xludf.DUMMYFUNCTION("""COMPUTED_VALUE"""),106.0)</f>
        <v>106</v>
      </c>
      <c r="V187" s="211">
        <f>IFERROR(__xludf.DUMMYFUNCTION("""COMPUTED_VALUE"""),101.0)</f>
        <v>101</v>
      </c>
      <c r="W187" s="211">
        <f>IFERROR(__xludf.DUMMYFUNCTION("""COMPUTED_VALUE"""),7.0)</f>
        <v>7</v>
      </c>
      <c r="X187" s="211">
        <f>IFERROR(__xludf.DUMMYFUNCTION("""COMPUTED_VALUE"""),5.0)</f>
        <v>5</v>
      </c>
      <c r="Y187" s="211">
        <f>IFERROR(__xludf.DUMMYFUNCTION("""COMPUTED_VALUE"""),0.0)</f>
        <v>0</v>
      </c>
      <c r="Z187" s="211">
        <f>IFERROR(__xludf.DUMMYFUNCTION("""COMPUTED_VALUE"""),1110.0)</f>
        <v>1110</v>
      </c>
    </row>
    <row r="188">
      <c r="A188" s="210">
        <f>IFERROR(__xludf.DUMMYFUNCTION("""COMPUTED_VALUE"""),44098.0)</f>
        <v>44098</v>
      </c>
      <c r="B188" s="211">
        <f>IFERROR(__xludf.DUMMYFUNCTION("""COMPUTED_VALUE"""),106.0)</f>
        <v>106</v>
      </c>
      <c r="C188" s="211">
        <f>IFERROR(__xludf.DUMMYFUNCTION("""COMPUTED_VALUE"""),132.0)</f>
        <v>132</v>
      </c>
      <c r="D188" s="211">
        <f>IFERROR(__xludf.DUMMYFUNCTION("""COMPUTED_VALUE"""),34033.0)</f>
        <v>34033</v>
      </c>
      <c r="E188" s="211">
        <f>IFERROR(__xludf.DUMMYFUNCTION("""COMPUTED_VALUE"""),11510.0)</f>
        <v>11510</v>
      </c>
      <c r="F188" s="151">
        <f>IFERROR(__xludf.DUMMYFUNCTION("""COMPUTED_VALUE"""),700962.0)</f>
        <v>700962</v>
      </c>
      <c r="G188" s="151">
        <f>IFERROR(__xludf.DUMMYFUNCTION("""COMPUTED_VALUE"""),11616.0)</f>
        <v>11616</v>
      </c>
      <c r="H188" s="151">
        <f>IFERROR(__xludf.DUMMYFUNCTION("""COMPUTED_VALUE"""),734995.0)</f>
        <v>734995</v>
      </c>
      <c r="I188" s="211">
        <f>IFERROR(__xludf.DUMMYFUNCTION("""COMPUTED_VALUE"""),108.0)</f>
        <v>108</v>
      </c>
      <c r="J188" s="211">
        <f>IFERROR(__xludf.DUMMYFUNCTION("""COMPUTED_VALUE"""),120.0)</f>
        <v>120</v>
      </c>
      <c r="K188" s="211">
        <f>IFERROR(__xludf.DUMMYFUNCTION("""COMPUTED_VALUE"""),24179.0)</f>
        <v>24179</v>
      </c>
      <c r="L188" s="211">
        <f>IFERROR(__xludf.DUMMYFUNCTION("""COMPUTED_VALUE"""),2086.0)</f>
        <v>2086</v>
      </c>
      <c r="M188" s="211">
        <f>IFERROR(__xludf.DUMMYFUNCTION("""COMPUTED_VALUE"""),306778.0)</f>
        <v>306778</v>
      </c>
      <c r="N188" s="211">
        <f>IFERROR(__xludf.DUMMYFUNCTION("""COMPUTED_VALUE"""),330957.0)</f>
        <v>330957</v>
      </c>
      <c r="O188" s="211">
        <f>IFERROR(__xludf.DUMMYFUNCTION("""COMPUTED_VALUE"""),7.0)</f>
        <v>7</v>
      </c>
      <c r="P188" s="211">
        <f>IFERROR(__xludf.DUMMYFUNCTION("""COMPUTED_VALUE"""),2753.0)</f>
        <v>2753</v>
      </c>
      <c r="Q188" s="211">
        <f>IFERROR(__xludf.DUMMYFUNCTION("""COMPUTED_VALUE"""),9.0)</f>
        <v>9</v>
      </c>
      <c r="R188" s="211">
        <f>IFERROR(__xludf.DUMMYFUNCTION("""COMPUTED_VALUE"""),2295.0)</f>
        <v>2295</v>
      </c>
      <c r="S188" s="211">
        <f>IFERROR(__xludf.DUMMYFUNCTION("""COMPUTED_VALUE"""),1.0)</f>
        <v>1</v>
      </c>
      <c r="T188" s="211">
        <f>IFERROR(__xludf.DUMMYFUNCTION("""COMPUTED_VALUE"""),355.0)</f>
        <v>355</v>
      </c>
      <c r="U188" s="211">
        <f>IFERROR(__xludf.DUMMYFUNCTION("""COMPUTED_VALUE"""),103.0)</f>
        <v>103</v>
      </c>
      <c r="V188" s="211">
        <f>IFERROR(__xludf.DUMMYFUNCTION("""COMPUTED_VALUE"""),104.0)</f>
        <v>104</v>
      </c>
      <c r="W188" s="211">
        <f>IFERROR(__xludf.DUMMYFUNCTION("""COMPUTED_VALUE"""),8.0)</f>
        <v>8</v>
      </c>
      <c r="X188" s="211">
        <f>IFERROR(__xludf.DUMMYFUNCTION("""COMPUTED_VALUE"""),6.0)</f>
        <v>6</v>
      </c>
      <c r="Y188" s="211">
        <f>IFERROR(__xludf.DUMMYFUNCTION("""COMPUTED_VALUE"""),1.0)</f>
        <v>1</v>
      </c>
      <c r="Z188" s="211">
        <f>IFERROR(__xludf.DUMMYFUNCTION("""COMPUTED_VALUE"""),1111.0)</f>
        <v>1111</v>
      </c>
    </row>
    <row r="189">
      <c r="A189" s="210">
        <f>IFERROR(__xludf.DUMMYFUNCTION("""COMPUTED_VALUE"""),44099.0)</f>
        <v>44099</v>
      </c>
      <c r="B189" s="211">
        <f>IFERROR(__xludf.DUMMYFUNCTION("""COMPUTED_VALUE"""),136.0)</f>
        <v>136</v>
      </c>
      <c r="C189" s="211">
        <f>IFERROR(__xludf.DUMMYFUNCTION("""COMPUTED_VALUE"""),126.0)</f>
        <v>126</v>
      </c>
      <c r="D189" s="211">
        <f>IFERROR(__xludf.DUMMYFUNCTION("""COMPUTED_VALUE"""),34169.0)</f>
        <v>34169</v>
      </c>
      <c r="E189" s="211">
        <f>IFERROR(__xludf.DUMMYFUNCTION("""COMPUTED_VALUE"""),10192.0)</f>
        <v>10192</v>
      </c>
      <c r="F189" s="151">
        <f>IFERROR(__xludf.DUMMYFUNCTION("""COMPUTED_VALUE"""),711154.0)</f>
        <v>711154</v>
      </c>
      <c r="G189" s="151">
        <f>IFERROR(__xludf.DUMMYFUNCTION("""COMPUTED_VALUE"""),10328.0)</f>
        <v>10328</v>
      </c>
      <c r="H189" s="151">
        <f>IFERROR(__xludf.DUMMYFUNCTION("""COMPUTED_VALUE"""),745323.0)</f>
        <v>745323</v>
      </c>
      <c r="I189" s="211">
        <f>IFERROR(__xludf.DUMMYFUNCTION("""COMPUTED_VALUE"""),129.0)</f>
        <v>129</v>
      </c>
      <c r="J189" s="211">
        <f>IFERROR(__xludf.DUMMYFUNCTION("""COMPUTED_VALUE"""),121.0)</f>
        <v>121</v>
      </c>
      <c r="K189" s="211">
        <f>IFERROR(__xludf.DUMMYFUNCTION("""COMPUTED_VALUE"""),24308.0)</f>
        <v>24308</v>
      </c>
      <c r="L189" s="211">
        <f>IFERROR(__xludf.DUMMYFUNCTION("""COMPUTED_VALUE"""),2398.0)</f>
        <v>2398</v>
      </c>
      <c r="M189" s="211">
        <f>IFERROR(__xludf.DUMMYFUNCTION("""COMPUTED_VALUE"""),309176.0)</f>
        <v>309176</v>
      </c>
      <c r="N189" s="211">
        <f>IFERROR(__xludf.DUMMYFUNCTION("""COMPUTED_VALUE"""),333484.0)</f>
        <v>333484</v>
      </c>
      <c r="O189" s="211">
        <f>IFERROR(__xludf.DUMMYFUNCTION("""COMPUTED_VALUE"""),9.0)</f>
        <v>9</v>
      </c>
      <c r="P189" s="211">
        <f>IFERROR(__xludf.DUMMYFUNCTION("""COMPUTED_VALUE"""),2762.0)</f>
        <v>2762</v>
      </c>
      <c r="Q189" s="211">
        <f>IFERROR(__xludf.DUMMYFUNCTION("""COMPUTED_VALUE"""),10.0)</f>
        <v>10</v>
      </c>
      <c r="R189" s="211">
        <f>IFERROR(__xludf.DUMMYFUNCTION("""COMPUTED_VALUE"""),2305.0)</f>
        <v>2305</v>
      </c>
      <c r="S189" s="211">
        <f>IFERROR(__xludf.DUMMYFUNCTION("""COMPUTED_VALUE"""),0.0)</f>
        <v>0</v>
      </c>
      <c r="T189" s="211">
        <f>IFERROR(__xludf.DUMMYFUNCTION("""COMPUTED_VALUE"""),355.0)</f>
        <v>355</v>
      </c>
      <c r="U189" s="211">
        <f>IFERROR(__xludf.DUMMYFUNCTION("""COMPUTED_VALUE"""),102.0)</f>
        <v>102</v>
      </c>
      <c r="V189" s="211">
        <f>IFERROR(__xludf.DUMMYFUNCTION("""COMPUTED_VALUE"""),104.0)</f>
        <v>104</v>
      </c>
      <c r="W189" s="211">
        <f>IFERROR(__xludf.DUMMYFUNCTION("""COMPUTED_VALUE"""),7.0)</f>
        <v>7</v>
      </c>
      <c r="X189" s="211">
        <f>IFERROR(__xludf.DUMMYFUNCTION("""COMPUTED_VALUE"""),6.0)</f>
        <v>6</v>
      </c>
      <c r="Y189" s="211">
        <f>IFERROR(__xludf.DUMMYFUNCTION("""COMPUTED_VALUE"""),1.0)</f>
        <v>1</v>
      </c>
      <c r="Z189" s="211">
        <f>IFERROR(__xludf.DUMMYFUNCTION("""COMPUTED_VALUE"""),1112.0)</f>
        <v>1112</v>
      </c>
    </row>
    <row r="190">
      <c r="A190" s="210">
        <f>IFERROR(__xludf.DUMMYFUNCTION("""COMPUTED_VALUE"""),44100.0)</f>
        <v>44100</v>
      </c>
      <c r="B190" s="211">
        <f>IFERROR(__xludf.DUMMYFUNCTION("""COMPUTED_VALUE"""),148.0)</f>
        <v>148</v>
      </c>
      <c r="C190" s="211">
        <f>IFERROR(__xludf.DUMMYFUNCTION("""COMPUTED_VALUE"""),130.0)</f>
        <v>130</v>
      </c>
      <c r="D190" s="211">
        <f>IFERROR(__xludf.DUMMYFUNCTION("""COMPUTED_VALUE"""),34317.0)</f>
        <v>34317</v>
      </c>
      <c r="E190" s="211">
        <f>IFERROR(__xludf.DUMMYFUNCTION("""COMPUTED_VALUE"""),10126.0)</f>
        <v>10126</v>
      </c>
      <c r="F190" s="151">
        <f>IFERROR(__xludf.DUMMYFUNCTION("""COMPUTED_VALUE"""),721280.0)</f>
        <v>721280</v>
      </c>
      <c r="G190" s="151">
        <f>IFERROR(__xludf.DUMMYFUNCTION("""COMPUTED_VALUE"""),10274.0)</f>
        <v>10274</v>
      </c>
      <c r="H190" s="151">
        <f>IFERROR(__xludf.DUMMYFUNCTION("""COMPUTED_VALUE"""),755597.0)</f>
        <v>755597</v>
      </c>
      <c r="I190" s="211">
        <f>IFERROR(__xludf.DUMMYFUNCTION("""COMPUTED_VALUE"""),115.0)</f>
        <v>115</v>
      </c>
      <c r="J190" s="211">
        <f>IFERROR(__xludf.DUMMYFUNCTION("""COMPUTED_VALUE"""),117.0)</f>
        <v>117</v>
      </c>
      <c r="K190" s="211">
        <f>IFERROR(__xludf.DUMMYFUNCTION("""COMPUTED_VALUE"""),24423.0)</f>
        <v>24423</v>
      </c>
      <c r="L190" s="211">
        <f>IFERROR(__xludf.DUMMYFUNCTION("""COMPUTED_VALUE"""),2004.0)</f>
        <v>2004</v>
      </c>
      <c r="M190" s="211">
        <f>IFERROR(__xludf.DUMMYFUNCTION("""COMPUTED_VALUE"""),311180.0)</f>
        <v>311180</v>
      </c>
      <c r="N190" s="211">
        <f>IFERROR(__xludf.DUMMYFUNCTION("""COMPUTED_VALUE"""),335603.0)</f>
        <v>335603</v>
      </c>
      <c r="O190" s="211">
        <f>IFERROR(__xludf.DUMMYFUNCTION("""COMPUTED_VALUE"""),12.0)</f>
        <v>12</v>
      </c>
      <c r="P190" s="211">
        <f>IFERROR(__xludf.DUMMYFUNCTION("""COMPUTED_VALUE"""),2774.0)</f>
        <v>2774</v>
      </c>
      <c r="Q190" s="211">
        <f>IFERROR(__xludf.DUMMYFUNCTION("""COMPUTED_VALUE"""),9.0)</f>
        <v>9</v>
      </c>
      <c r="R190" s="211">
        <f>IFERROR(__xludf.DUMMYFUNCTION("""COMPUTED_VALUE"""),2314.0)</f>
        <v>2314</v>
      </c>
      <c r="S190" s="211">
        <f>IFERROR(__xludf.DUMMYFUNCTION("""COMPUTED_VALUE"""),0.0)</f>
        <v>0</v>
      </c>
      <c r="T190" s="211">
        <f>IFERROR(__xludf.DUMMYFUNCTION("""COMPUTED_VALUE"""),355.0)</f>
        <v>355</v>
      </c>
      <c r="U190" s="211">
        <f>IFERROR(__xludf.DUMMYFUNCTION("""COMPUTED_VALUE"""),105.0)</f>
        <v>105</v>
      </c>
      <c r="V190" s="211">
        <f>IFERROR(__xludf.DUMMYFUNCTION("""COMPUTED_VALUE"""),103.0)</f>
        <v>103</v>
      </c>
      <c r="W190" s="211">
        <f>IFERROR(__xludf.DUMMYFUNCTION("""COMPUTED_VALUE"""),7.0)</f>
        <v>7</v>
      </c>
      <c r="X190" s="211">
        <f>IFERROR(__xludf.DUMMYFUNCTION("""COMPUTED_VALUE"""),6.0)</f>
        <v>6</v>
      </c>
      <c r="Y190" s="211">
        <f>IFERROR(__xludf.DUMMYFUNCTION("""COMPUTED_VALUE"""),1.0)</f>
        <v>1</v>
      </c>
      <c r="Z190" s="211">
        <f>IFERROR(__xludf.DUMMYFUNCTION("""COMPUTED_VALUE"""),1113.0)</f>
        <v>1113</v>
      </c>
    </row>
    <row r="191">
      <c r="A191" s="210">
        <f>IFERROR(__xludf.DUMMYFUNCTION("""COMPUTED_VALUE"""),44101.0)</f>
        <v>44101</v>
      </c>
      <c r="B191" s="211">
        <f>IFERROR(__xludf.DUMMYFUNCTION("""COMPUTED_VALUE"""),42.0)</f>
        <v>42</v>
      </c>
      <c r="C191" s="211">
        <f>IFERROR(__xludf.DUMMYFUNCTION("""COMPUTED_VALUE"""),109.0)</f>
        <v>109</v>
      </c>
      <c r="D191" s="211">
        <f>IFERROR(__xludf.DUMMYFUNCTION("""COMPUTED_VALUE"""),34359.0)</f>
        <v>34359</v>
      </c>
      <c r="E191" s="211">
        <f>IFERROR(__xludf.DUMMYFUNCTION("""COMPUTED_VALUE"""),2575.0)</f>
        <v>2575</v>
      </c>
      <c r="F191" s="151">
        <f>IFERROR(__xludf.DUMMYFUNCTION("""COMPUTED_VALUE"""),723855.0)</f>
        <v>723855</v>
      </c>
      <c r="G191" s="151">
        <f>IFERROR(__xludf.DUMMYFUNCTION("""COMPUTED_VALUE"""),2617.0)</f>
        <v>2617</v>
      </c>
      <c r="H191" s="151">
        <f>IFERROR(__xludf.DUMMYFUNCTION("""COMPUTED_VALUE"""),758214.0)</f>
        <v>758214</v>
      </c>
      <c r="I191" s="211">
        <f>IFERROR(__xludf.DUMMYFUNCTION("""COMPUTED_VALUE"""),31.0)</f>
        <v>31</v>
      </c>
      <c r="J191" s="211">
        <f>IFERROR(__xludf.DUMMYFUNCTION("""COMPUTED_VALUE"""),92.0)</f>
        <v>92</v>
      </c>
      <c r="K191" s="211">
        <f>IFERROR(__xludf.DUMMYFUNCTION("""COMPUTED_VALUE"""),24454.0)</f>
        <v>24454</v>
      </c>
      <c r="L191" s="211">
        <f>IFERROR(__xludf.DUMMYFUNCTION("""COMPUTED_VALUE"""),806.0)</f>
        <v>806</v>
      </c>
      <c r="M191" s="211">
        <f>IFERROR(__xludf.DUMMYFUNCTION("""COMPUTED_VALUE"""),311986.0)</f>
        <v>311986</v>
      </c>
      <c r="N191" s="211">
        <f>IFERROR(__xludf.DUMMYFUNCTION("""COMPUTED_VALUE"""),336440.0)</f>
        <v>336440</v>
      </c>
      <c r="O191" s="211">
        <f>IFERROR(__xludf.DUMMYFUNCTION("""COMPUTED_VALUE"""),7.0)</f>
        <v>7</v>
      </c>
      <c r="P191" s="211">
        <f>IFERROR(__xludf.DUMMYFUNCTION("""COMPUTED_VALUE"""),2781.0)</f>
        <v>2781</v>
      </c>
      <c r="Q191" s="211">
        <f>IFERROR(__xludf.DUMMYFUNCTION("""COMPUTED_VALUE"""),5.0)</f>
        <v>5</v>
      </c>
      <c r="R191" s="211">
        <f>IFERROR(__xludf.DUMMYFUNCTION("""COMPUTED_VALUE"""),2319.0)</f>
        <v>2319</v>
      </c>
      <c r="S191" s="211">
        <f>IFERROR(__xludf.DUMMYFUNCTION("""COMPUTED_VALUE"""),0.0)</f>
        <v>0</v>
      </c>
      <c r="T191" s="211">
        <f>IFERROR(__xludf.DUMMYFUNCTION("""COMPUTED_VALUE"""),355.0)</f>
        <v>355</v>
      </c>
      <c r="U191" s="211">
        <f>IFERROR(__xludf.DUMMYFUNCTION("""COMPUTED_VALUE"""),107.0)</f>
        <v>107</v>
      </c>
      <c r="V191" s="211">
        <f>IFERROR(__xludf.DUMMYFUNCTION("""COMPUTED_VALUE"""),105.0)</f>
        <v>105</v>
      </c>
      <c r="W191" s="211">
        <f>IFERROR(__xludf.DUMMYFUNCTION("""COMPUTED_VALUE"""),10.0)</f>
        <v>10</v>
      </c>
      <c r="X191" s="211">
        <f>IFERROR(__xludf.DUMMYFUNCTION("""COMPUTED_VALUE"""),6.0)</f>
        <v>6</v>
      </c>
      <c r="Y191" s="211">
        <f>IFERROR(__xludf.DUMMYFUNCTION("""COMPUTED_VALUE"""),0.0)</f>
        <v>0</v>
      </c>
      <c r="Z191" s="211">
        <f>IFERROR(__xludf.DUMMYFUNCTION("""COMPUTED_VALUE"""),1113.0)</f>
        <v>1113</v>
      </c>
    </row>
    <row r="192">
      <c r="A192" s="210">
        <f>IFERROR(__xludf.DUMMYFUNCTION("""COMPUTED_VALUE"""),44102.0)</f>
        <v>44102</v>
      </c>
      <c r="B192" s="211">
        <f>IFERROR(__xludf.DUMMYFUNCTION("""COMPUTED_VALUE"""),152.0)</f>
        <v>152</v>
      </c>
      <c r="C192" s="211">
        <f>IFERROR(__xludf.DUMMYFUNCTION("""COMPUTED_VALUE"""),114.0)</f>
        <v>114</v>
      </c>
      <c r="D192" s="211">
        <f>IFERROR(__xludf.DUMMYFUNCTION("""COMPUTED_VALUE"""),34511.0)</f>
        <v>34511</v>
      </c>
      <c r="E192" s="211">
        <f>IFERROR(__xludf.DUMMYFUNCTION("""COMPUTED_VALUE"""),6939.0)</f>
        <v>6939</v>
      </c>
      <c r="F192" s="151">
        <f>IFERROR(__xludf.DUMMYFUNCTION("""COMPUTED_VALUE"""),730794.0)</f>
        <v>730794</v>
      </c>
      <c r="G192" s="151">
        <f>IFERROR(__xludf.DUMMYFUNCTION("""COMPUTED_VALUE"""),7091.0)</f>
        <v>7091</v>
      </c>
      <c r="H192" s="151">
        <f>IFERROR(__xludf.DUMMYFUNCTION("""COMPUTED_VALUE"""),765305.0)</f>
        <v>765305</v>
      </c>
      <c r="I192" s="211">
        <f>IFERROR(__xludf.DUMMYFUNCTION("""COMPUTED_VALUE"""),130.0)</f>
        <v>130</v>
      </c>
      <c r="J192" s="211">
        <f>IFERROR(__xludf.DUMMYFUNCTION("""COMPUTED_VALUE"""),92.0)</f>
        <v>92</v>
      </c>
      <c r="K192" s="211">
        <f>IFERROR(__xludf.DUMMYFUNCTION("""COMPUTED_VALUE"""),24584.0)</f>
        <v>24584</v>
      </c>
      <c r="L192" s="211">
        <f>IFERROR(__xludf.DUMMYFUNCTION("""COMPUTED_VALUE"""),2139.0)</f>
        <v>2139</v>
      </c>
      <c r="M192" s="211">
        <f>IFERROR(__xludf.DUMMYFUNCTION("""COMPUTED_VALUE"""),314125.0)</f>
        <v>314125</v>
      </c>
      <c r="N192" s="211">
        <f>IFERROR(__xludf.DUMMYFUNCTION("""COMPUTED_VALUE"""),338709.0)</f>
        <v>338709</v>
      </c>
      <c r="O192" s="211">
        <f>IFERROR(__xludf.DUMMYFUNCTION("""COMPUTED_VALUE"""),6.0)</f>
        <v>6</v>
      </c>
      <c r="P192" s="211">
        <f>IFERROR(__xludf.DUMMYFUNCTION("""COMPUTED_VALUE"""),2787.0)</f>
        <v>2787</v>
      </c>
      <c r="Q192" s="211">
        <f>IFERROR(__xludf.DUMMYFUNCTION("""COMPUTED_VALUE"""),6.0)</f>
        <v>6</v>
      </c>
      <c r="R192" s="211">
        <f>IFERROR(__xludf.DUMMYFUNCTION("""COMPUTED_VALUE"""),2325.0)</f>
        <v>2325</v>
      </c>
      <c r="S192" s="211">
        <f>IFERROR(__xludf.DUMMYFUNCTION("""COMPUTED_VALUE"""),2.0)</f>
        <v>2</v>
      </c>
      <c r="T192" s="211">
        <f>IFERROR(__xludf.DUMMYFUNCTION("""COMPUTED_VALUE"""),357.0)</f>
        <v>357</v>
      </c>
      <c r="U192" s="211">
        <f>IFERROR(__xludf.DUMMYFUNCTION("""COMPUTED_VALUE"""),105.0)</f>
        <v>105</v>
      </c>
      <c r="V192" s="211">
        <f>IFERROR(__xludf.DUMMYFUNCTION("""COMPUTED_VALUE"""),106.0)</f>
        <v>106</v>
      </c>
      <c r="W192" s="211">
        <f>IFERROR(__xludf.DUMMYFUNCTION("""COMPUTED_VALUE"""),8.0)</f>
        <v>8</v>
      </c>
      <c r="X192" s="211">
        <f>IFERROR(__xludf.DUMMYFUNCTION("""COMPUTED_VALUE"""),6.0)</f>
        <v>6</v>
      </c>
      <c r="Y192" s="211">
        <f>IFERROR(__xludf.DUMMYFUNCTION("""COMPUTED_VALUE"""),2.0)</f>
        <v>2</v>
      </c>
      <c r="Z192" s="211">
        <f>IFERROR(__xludf.DUMMYFUNCTION("""COMPUTED_VALUE"""),1115.0)</f>
        <v>1115</v>
      </c>
    </row>
    <row r="193">
      <c r="A193" s="210">
        <f>IFERROR(__xludf.DUMMYFUNCTION("""COMPUTED_VALUE"""),44103.0)</f>
        <v>44103</v>
      </c>
      <c r="B193" s="211">
        <f>IFERROR(__xludf.DUMMYFUNCTION("""COMPUTED_VALUE"""),204.0)</f>
        <v>204</v>
      </c>
      <c r="C193" s="211">
        <f>IFERROR(__xludf.DUMMYFUNCTION("""COMPUTED_VALUE"""),133.0)</f>
        <v>133</v>
      </c>
      <c r="D193" s="211">
        <f>IFERROR(__xludf.DUMMYFUNCTION("""COMPUTED_VALUE"""),34715.0)</f>
        <v>34715</v>
      </c>
      <c r="E193" s="211">
        <f>IFERROR(__xludf.DUMMYFUNCTION("""COMPUTED_VALUE"""),10137.0)</f>
        <v>10137</v>
      </c>
      <c r="F193" s="151">
        <f>IFERROR(__xludf.DUMMYFUNCTION("""COMPUTED_VALUE"""),740931.0)</f>
        <v>740931</v>
      </c>
      <c r="G193" s="151">
        <f>IFERROR(__xludf.DUMMYFUNCTION("""COMPUTED_VALUE"""),10341.0)</f>
        <v>10341</v>
      </c>
      <c r="H193" s="151">
        <f>IFERROR(__xludf.DUMMYFUNCTION("""COMPUTED_VALUE"""),775646.0)</f>
        <v>775646</v>
      </c>
      <c r="I193" s="211">
        <f>IFERROR(__xludf.DUMMYFUNCTION("""COMPUTED_VALUE"""),184.0)</f>
        <v>184</v>
      </c>
      <c r="J193" s="211">
        <f>IFERROR(__xludf.DUMMYFUNCTION("""COMPUTED_VALUE"""),115.0)</f>
        <v>115</v>
      </c>
      <c r="K193" s="211">
        <f>IFERROR(__xludf.DUMMYFUNCTION("""COMPUTED_VALUE"""),24768.0)</f>
        <v>24768</v>
      </c>
      <c r="L193" s="211">
        <f>IFERROR(__xludf.DUMMYFUNCTION("""COMPUTED_VALUE"""),2355.0)</f>
        <v>2355</v>
      </c>
      <c r="M193" s="211">
        <f>IFERROR(__xludf.DUMMYFUNCTION("""COMPUTED_VALUE"""),316480.0)</f>
        <v>316480</v>
      </c>
      <c r="N193" s="211">
        <f>IFERROR(__xludf.DUMMYFUNCTION("""COMPUTED_VALUE"""),341248.0)</f>
        <v>341248</v>
      </c>
      <c r="O193" s="211">
        <f>IFERROR(__xludf.DUMMYFUNCTION("""COMPUTED_VALUE"""),11.0)</f>
        <v>11</v>
      </c>
      <c r="P193" s="211">
        <f>IFERROR(__xludf.DUMMYFUNCTION("""COMPUTED_VALUE"""),2798.0)</f>
        <v>2798</v>
      </c>
      <c r="Q193" s="211">
        <f>IFERROR(__xludf.DUMMYFUNCTION("""COMPUTED_VALUE"""),18.0)</f>
        <v>18</v>
      </c>
      <c r="R193" s="211">
        <f>IFERROR(__xludf.DUMMYFUNCTION("""COMPUTED_VALUE"""),2343.0)</f>
        <v>2343</v>
      </c>
      <c r="S193" s="211">
        <f>IFERROR(__xludf.DUMMYFUNCTION("""COMPUTED_VALUE"""),1.0)</f>
        <v>1</v>
      </c>
      <c r="T193" s="211">
        <f>IFERROR(__xludf.DUMMYFUNCTION("""COMPUTED_VALUE"""),358.0)</f>
        <v>358</v>
      </c>
      <c r="U193" s="211">
        <f>IFERROR(__xludf.DUMMYFUNCTION("""COMPUTED_VALUE"""),97.0)</f>
        <v>97</v>
      </c>
      <c r="V193" s="211">
        <f>IFERROR(__xludf.DUMMYFUNCTION("""COMPUTED_VALUE"""),103.0)</f>
        <v>103</v>
      </c>
      <c r="W193" s="211">
        <f>IFERROR(__xludf.DUMMYFUNCTION("""COMPUTED_VALUE"""),7.0)</f>
        <v>7</v>
      </c>
      <c r="X193" s="211">
        <f>IFERROR(__xludf.DUMMYFUNCTION("""COMPUTED_VALUE"""),7.0)</f>
        <v>7</v>
      </c>
      <c r="Y193" s="211">
        <f>IFERROR(__xludf.DUMMYFUNCTION("""COMPUTED_VALUE"""),1.0)</f>
        <v>1</v>
      </c>
      <c r="Z193" s="211">
        <f>IFERROR(__xludf.DUMMYFUNCTION("""COMPUTED_VALUE"""),1116.0)</f>
        <v>1116</v>
      </c>
    </row>
    <row r="194">
      <c r="A194" s="210">
        <f>IFERROR(__xludf.DUMMYFUNCTION("""COMPUTED_VALUE"""),44104.0)</f>
        <v>44104</v>
      </c>
      <c r="B194" s="211">
        <f>IFERROR(__xludf.DUMMYFUNCTION("""COMPUTED_VALUE"""),213.0)</f>
        <v>213</v>
      </c>
      <c r="C194" s="211">
        <f>IFERROR(__xludf.DUMMYFUNCTION("""COMPUTED_VALUE"""),190.0)</f>
        <v>190</v>
      </c>
      <c r="D194" s="211">
        <f>IFERROR(__xludf.DUMMYFUNCTION("""COMPUTED_VALUE"""),34928.0)</f>
        <v>34928</v>
      </c>
      <c r="E194" s="211">
        <f>IFERROR(__xludf.DUMMYFUNCTION("""COMPUTED_VALUE"""),11399.0)</f>
        <v>11399</v>
      </c>
      <c r="F194" s="151">
        <f>IFERROR(__xludf.DUMMYFUNCTION("""COMPUTED_VALUE"""),752330.0)</f>
        <v>752330</v>
      </c>
      <c r="G194" s="151">
        <f>IFERROR(__xludf.DUMMYFUNCTION("""COMPUTED_VALUE"""),11612.0)</f>
        <v>11612</v>
      </c>
      <c r="H194" s="151">
        <f>IFERROR(__xludf.DUMMYFUNCTION("""COMPUTED_VALUE"""),787258.0)</f>
        <v>787258</v>
      </c>
      <c r="I194" s="211">
        <f>IFERROR(__xludf.DUMMYFUNCTION("""COMPUTED_VALUE"""),177.0)</f>
        <v>177</v>
      </c>
      <c r="J194" s="211">
        <f>IFERROR(__xludf.DUMMYFUNCTION("""COMPUTED_VALUE"""),164.0)</f>
        <v>164</v>
      </c>
      <c r="K194" s="211">
        <f>IFERROR(__xludf.DUMMYFUNCTION("""COMPUTED_VALUE"""),24945.0)</f>
        <v>24945</v>
      </c>
      <c r="L194" s="211">
        <f>IFERROR(__xludf.DUMMYFUNCTION("""COMPUTED_VALUE"""),2359.0)</f>
        <v>2359</v>
      </c>
      <c r="M194" s="211">
        <f>IFERROR(__xludf.DUMMYFUNCTION("""COMPUTED_VALUE"""),318839.0)</f>
        <v>318839</v>
      </c>
      <c r="N194" s="211">
        <f>IFERROR(__xludf.DUMMYFUNCTION("""COMPUTED_VALUE"""),343784.0)</f>
        <v>343784</v>
      </c>
      <c r="O194" s="211">
        <f>IFERROR(__xludf.DUMMYFUNCTION("""COMPUTED_VALUE"""),6.0)</f>
        <v>6</v>
      </c>
      <c r="P194" s="211">
        <f>IFERROR(__xludf.DUMMYFUNCTION("""COMPUTED_VALUE"""),2804.0)</f>
        <v>2804</v>
      </c>
      <c r="Q194" s="211">
        <f>IFERROR(__xludf.DUMMYFUNCTION("""COMPUTED_VALUE"""),6.0)</f>
        <v>6</v>
      </c>
      <c r="R194" s="211">
        <f>IFERROR(__xludf.DUMMYFUNCTION("""COMPUTED_VALUE"""),2349.0)</f>
        <v>2349</v>
      </c>
      <c r="S194" s="211">
        <f>IFERROR(__xludf.DUMMYFUNCTION("""COMPUTED_VALUE"""),0.0)</f>
        <v>0</v>
      </c>
      <c r="T194" s="211">
        <f>IFERROR(__xludf.DUMMYFUNCTION("""COMPUTED_VALUE"""),358.0)</f>
        <v>358</v>
      </c>
      <c r="U194" s="211">
        <f>IFERROR(__xludf.DUMMYFUNCTION("""COMPUTED_VALUE"""),97.0)</f>
        <v>97</v>
      </c>
      <c r="V194" s="211">
        <f>IFERROR(__xludf.DUMMYFUNCTION("""COMPUTED_VALUE"""),100.0)</f>
        <v>100</v>
      </c>
      <c r="W194" s="211">
        <f>IFERROR(__xludf.DUMMYFUNCTION("""COMPUTED_VALUE"""),7.0)</f>
        <v>7</v>
      </c>
      <c r="X194" s="211">
        <f>IFERROR(__xludf.DUMMYFUNCTION("""COMPUTED_VALUE"""),7.0)</f>
        <v>7</v>
      </c>
      <c r="Y194" s="211">
        <f>IFERROR(__xludf.DUMMYFUNCTION("""COMPUTED_VALUE"""),1.0)</f>
        <v>1</v>
      </c>
      <c r="Z194" s="211">
        <f>IFERROR(__xludf.DUMMYFUNCTION("""COMPUTED_VALUE"""),1117.0)</f>
        <v>1117</v>
      </c>
    </row>
    <row r="195">
      <c r="A195" s="210">
        <f>IFERROR(__xludf.DUMMYFUNCTION("""COMPUTED_VALUE"""),44105.0)</f>
        <v>44105</v>
      </c>
      <c r="B195" s="211">
        <f>IFERROR(__xludf.DUMMYFUNCTION("""COMPUTED_VALUE"""),175.0)</f>
        <v>175</v>
      </c>
      <c r="C195" s="211">
        <f>IFERROR(__xludf.DUMMYFUNCTION("""COMPUTED_VALUE"""),197.0)</f>
        <v>197</v>
      </c>
      <c r="D195" s="211">
        <f>IFERROR(__xludf.DUMMYFUNCTION("""COMPUTED_VALUE"""),35103.0)</f>
        <v>35103</v>
      </c>
      <c r="E195" s="211">
        <f>IFERROR(__xludf.DUMMYFUNCTION("""COMPUTED_VALUE"""),11358.0)</f>
        <v>11358</v>
      </c>
      <c r="F195" s="151">
        <f>IFERROR(__xludf.DUMMYFUNCTION("""COMPUTED_VALUE"""),763688.0)</f>
        <v>763688</v>
      </c>
      <c r="G195" s="151">
        <f>IFERROR(__xludf.DUMMYFUNCTION("""COMPUTED_VALUE"""),11533.0)</f>
        <v>11533</v>
      </c>
      <c r="H195" s="151">
        <f>IFERROR(__xludf.DUMMYFUNCTION("""COMPUTED_VALUE"""),798791.0)</f>
        <v>798791</v>
      </c>
      <c r="I195" s="211">
        <f>IFERROR(__xludf.DUMMYFUNCTION("""COMPUTED_VALUE"""),149.0)</f>
        <v>149</v>
      </c>
      <c r="J195" s="211">
        <f>IFERROR(__xludf.DUMMYFUNCTION("""COMPUTED_VALUE"""),170.0)</f>
        <v>170</v>
      </c>
      <c r="K195" s="211">
        <f>IFERROR(__xludf.DUMMYFUNCTION("""COMPUTED_VALUE"""),25094.0)</f>
        <v>25094</v>
      </c>
      <c r="L195" s="211">
        <f>IFERROR(__xludf.DUMMYFUNCTION("""COMPUTED_VALUE"""),2245.0)</f>
        <v>2245</v>
      </c>
      <c r="M195" s="211">
        <f>IFERROR(__xludf.DUMMYFUNCTION("""COMPUTED_VALUE"""),321084.0)</f>
        <v>321084</v>
      </c>
      <c r="N195" s="211">
        <f>IFERROR(__xludf.DUMMYFUNCTION("""COMPUTED_VALUE"""),346178.0)</f>
        <v>346178</v>
      </c>
      <c r="O195" s="211">
        <f>IFERROR(__xludf.DUMMYFUNCTION("""COMPUTED_VALUE"""),16.0)</f>
        <v>16</v>
      </c>
      <c r="P195" s="211">
        <f>IFERROR(__xludf.DUMMYFUNCTION("""COMPUTED_VALUE"""),2820.0)</f>
        <v>2820</v>
      </c>
      <c r="Q195" s="211">
        <f>IFERROR(__xludf.DUMMYFUNCTION("""COMPUTED_VALUE"""),13.0)</f>
        <v>13</v>
      </c>
      <c r="R195" s="211">
        <f>IFERROR(__xludf.DUMMYFUNCTION("""COMPUTED_VALUE"""),2362.0)</f>
        <v>2362</v>
      </c>
      <c r="S195" s="211">
        <f>IFERROR(__xludf.DUMMYFUNCTION("""COMPUTED_VALUE"""),1.0)</f>
        <v>1</v>
      </c>
      <c r="T195" s="211">
        <f>IFERROR(__xludf.DUMMYFUNCTION("""COMPUTED_VALUE"""),359.0)</f>
        <v>359</v>
      </c>
      <c r="U195" s="211">
        <f>IFERROR(__xludf.DUMMYFUNCTION("""COMPUTED_VALUE"""),99.0)</f>
        <v>99</v>
      </c>
      <c r="V195" s="211">
        <f>IFERROR(__xludf.DUMMYFUNCTION("""COMPUTED_VALUE"""),98.0)</f>
        <v>98</v>
      </c>
      <c r="W195" s="211">
        <f>IFERROR(__xludf.DUMMYFUNCTION("""COMPUTED_VALUE"""),6.0)</f>
        <v>6</v>
      </c>
      <c r="X195" s="211">
        <f>IFERROR(__xludf.DUMMYFUNCTION("""COMPUTED_VALUE"""),5.0)</f>
        <v>5</v>
      </c>
      <c r="Y195" s="211">
        <f>IFERROR(__xludf.DUMMYFUNCTION("""COMPUTED_VALUE"""),1.0)</f>
        <v>1</v>
      </c>
      <c r="Z195" s="211">
        <f>IFERROR(__xludf.DUMMYFUNCTION("""COMPUTED_VALUE"""),1118.0)</f>
        <v>1118</v>
      </c>
    </row>
    <row r="196">
      <c r="A196" s="210">
        <f>IFERROR(__xludf.DUMMYFUNCTION("""COMPUTED_VALUE"""),44106.0)</f>
        <v>44106</v>
      </c>
      <c r="B196" s="211">
        <f>IFERROR(__xludf.DUMMYFUNCTION("""COMPUTED_VALUE"""),199.0)</f>
        <v>199</v>
      </c>
      <c r="C196" s="211">
        <f>IFERROR(__xludf.DUMMYFUNCTION("""COMPUTED_VALUE"""),196.0)</f>
        <v>196</v>
      </c>
      <c r="D196" s="211">
        <f>IFERROR(__xludf.DUMMYFUNCTION("""COMPUTED_VALUE"""),35302.0)</f>
        <v>35302</v>
      </c>
      <c r="E196" s="211">
        <f>IFERROR(__xludf.DUMMYFUNCTION("""COMPUTED_VALUE"""),11051.0)</f>
        <v>11051</v>
      </c>
      <c r="F196" s="151">
        <f>IFERROR(__xludf.DUMMYFUNCTION("""COMPUTED_VALUE"""),774739.0)</f>
        <v>774739</v>
      </c>
      <c r="G196" s="151">
        <f>IFERROR(__xludf.DUMMYFUNCTION("""COMPUTED_VALUE"""),11250.0)</f>
        <v>11250</v>
      </c>
      <c r="H196" s="151">
        <f>IFERROR(__xludf.DUMMYFUNCTION("""COMPUTED_VALUE"""),810041.0)</f>
        <v>810041</v>
      </c>
      <c r="I196" s="211">
        <f>IFERROR(__xludf.DUMMYFUNCTION("""COMPUTED_VALUE"""),170.0)</f>
        <v>170</v>
      </c>
      <c r="J196" s="211">
        <f>IFERROR(__xludf.DUMMYFUNCTION("""COMPUTED_VALUE"""),165.0)</f>
        <v>165</v>
      </c>
      <c r="K196" s="211">
        <f>IFERROR(__xludf.DUMMYFUNCTION("""COMPUTED_VALUE"""),25264.0)</f>
        <v>25264</v>
      </c>
      <c r="L196" s="211">
        <f>IFERROR(__xludf.DUMMYFUNCTION("""COMPUTED_VALUE"""),2292.0)</f>
        <v>2292</v>
      </c>
      <c r="M196" s="211">
        <f>IFERROR(__xludf.DUMMYFUNCTION("""COMPUTED_VALUE"""),323376.0)</f>
        <v>323376</v>
      </c>
      <c r="N196" s="211">
        <f>IFERROR(__xludf.DUMMYFUNCTION("""COMPUTED_VALUE"""),348640.0)</f>
        <v>348640</v>
      </c>
      <c r="O196" s="211">
        <f>IFERROR(__xludf.DUMMYFUNCTION("""COMPUTED_VALUE"""),11.0)</f>
        <v>11</v>
      </c>
      <c r="P196" s="211">
        <f>IFERROR(__xludf.DUMMYFUNCTION("""COMPUTED_VALUE"""),2831.0)</f>
        <v>2831</v>
      </c>
      <c r="Q196" s="211">
        <f>IFERROR(__xludf.DUMMYFUNCTION("""COMPUTED_VALUE"""),13.0)</f>
        <v>13</v>
      </c>
      <c r="R196" s="211">
        <f>IFERROR(__xludf.DUMMYFUNCTION("""COMPUTED_VALUE"""),2375.0)</f>
        <v>2375</v>
      </c>
      <c r="S196" s="211">
        <f>IFERROR(__xludf.DUMMYFUNCTION("""COMPUTED_VALUE"""),1.0)</f>
        <v>1</v>
      </c>
      <c r="T196" s="211">
        <f>IFERROR(__xludf.DUMMYFUNCTION("""COMPUTED_VALUE"""),360.0)</f>
        <v>360</v>
      </c>
      <c r="U196" s="211">
        <f>IFERROR(__xludf.DUMMYFUNCTION("""COMPUTED_VALUE"""),96.0)</f>
        <v>96</v>
      </c>
      <c r="V196" s="211">
        <f>IFERROR(__xludf.DUMMYFUNCTION("""COMPUTED_VALUE"""),97.0)</f>
        <v>97</v>
      </c>
      <c r="W196" s="211">
        <f>IFERROR(__xludf.DUMMYFUNCTION("""COMPUTED_VALUE"""),7.0)</f>
        <v>7</v>
      </c>
      <c r="X196" s="211">
        <f>IFERROR(__xludf.DUMMYFUNCTION("""COMPUTED_VALUE"""),4.0)</f>
        <v>4</v>
      </c>
      <c r="Y196" s="211">
        <f>IFERROR(__xludf.DUMMYFUNCTION("""COMPUTED_VALUE"""),1.0)</f>
        <v>1</v>
      </c>
      <c r="Z196" s="211">
        <f>IFERROR(__xludf.DUMMYFUNCTION("""COMPUTED_VALUE"""),1119.0)</f>
        <v>1119</v>
      </c>
    </row>
    <row r="197">
      <c r="A197" s="210">
        <f>IFERROR(__xludf.DUMMYFUNCTION("""COMPUTED_VALUE"""),44107.0)</f>
        <v>44107</v>
      </c>
      <c r="B197" s="211">
        <f>IFERROR(__xludf.DUMMYFUNCTION("""COMPUTED_VALUE"""),148.0)</f>
        <v>148</v>
      </c>
      <c r="C197" s="211">
        <f>IFERROR(__xludf.DUMMYFUNCTION("""COMPUTED_VALUE"""),174.0)</f>
        <v>174</v>
      </c>
      <c r="D197" s="211">
        <f>IFERROR(__xludf.DUMMYFUNCTION("""COMPUTED_VALUE"""),35450.0)</f>
        <v>35450</v>
      </c>
      <c r="E197" s="211">
        <f>IFERROR(__xludf.DUMMYFUNCTION("""COMPUTED_VALUE"""),8695.0)</f>
        <v>8695</v>
      </c>
      <c r="F197" s="151">
        <f>IFERROR(__xludf.DUMMYFUNCTION("""COMPUTED_VALUE"""),783434.0)</f>
        <v>783434</v>
      </c>
      <c r="G197" s="151">
        <f>IFERROR(__xludf.DUMMYFUNCTION("""COMPUTED_VALUE"""),8843.0)</f>
        <v>8843</v>
      </c>
      <c r="H197" s="151">
        <f>IFERROR(__xludf.DUMMYFUNCTION("""COMPUTED_VALUE"""),818884.0)</f>
        <v>818884</v>
      </c>
      <c r="I197" s="211">
        <f>IFERROR(__xludf.DUMMYFUNCTION("""COMPUTED_VALUE"""),134.0)</f>
        <v>134</v>
      </c>
      <c r="J197" s="211">
        <f>IFERROR(__xludf.DUMMYFUNCTION("""COMPUTED_VALUE"""),151.0)</f>
        <v>151</v>
      </c>
      <c r="K197" s="211">
        <f>IFERROR(__xludf.DUMMYFUNCTION("""COMPUTED_VALUE"""),25398.0)</f>
        <v>25398</v>
      </c>
      <c r="L197" s="211">
        <f>IFERROR(__xludf.DUMMYFUNCTION("""COMPUTED_VALUE"""),1849.0)</f>
        <v>1849</v>
      </c>
      <c r="M197" s="211">
        <f>IFERROR(__xludf.DUMMYFUNCTION("""COMPUTED_VALUE"""),325225.0)</f>
        <v>325225</v>
      </c>
      <c r="N197" s="211">
        <f>IFERROR(__xludf.DUMMYFUNCTION("""COMPUTED_VALUE"""),350623.0)</f>
        <v>350623</v>
      </c>
      <c r="O197" s="211">
        <f>IFERROR(__xludf.DUMMYFUNCTION("""COMPUTED_VALUE"""),9.0)</f>
        <v>9</v>
      </c>
      <c r="P197" s="211">
        <f>IFERROR(__xludf.DUMMYFUNCTION("""COMPUTED_VALUE"""),2840.0)</f>
        <v>2840</v>
      </c>
      <c r="Q197" s="211">
        <f>IFERROR(__xludf.DUMMYFUNCTION("""COMPUTED_VALUE"""),9.0)</f>
        <v>9</v>
      </c>
      <c r="R197" s="211">
        <f>IFERROR(__xludf.DUMMYFUNCTION("""COMPUTED_VALUE"""),2384.0)</f>
        <v>2384</v>
      </c>
      <c r="S197" s="211">
        <f>IFERROR(__xludf.DUMMYFUNCTION("""COMPUTED_VALUE"""),2.0)</f>
        <v>2</v>
      </c>
      <c r="T197" s="211">
        <f>IFERROR(__xludf.DUMMYFUNCTION("""COMPUTED_VALUE"""),362.0)</f>
        <v>362</v>
      </c>
      <c r="U197" s="211">
        <f>IFERROR(__xludf.DUMMYFUNCTION("""COMPUTED_VALUE"""),94.0)</f>
        <v>94</v>
      </c>
      <c r="V197" s="211">
        <f>IFERROR(__xludf.DUMMYFUNCTION("""COMPUTED_VALUE"""),96.0)</f>
        <v>96</v>
      </c>
      <c r="W197" s="211">
        <f>IFERROR(__xludf.DUMMYFUNCTION("""COMPUTED_VALUE"""),8.0)</f>
        <v>8</v>
      </c>
      <c r="X197" s="211">
        <f>IFERROR(__xludf.DUMMYFUNCTION("""COMPUTED_VALUE"""),4.0)</f>
        <v>4</v>
      </c>
      <c r="Y197" s="211">
        <f>IFERROR(__xludf.DUMMYFUNCTION("""COMPUTED_VALUE"""),2.0)</f>
        <v>2</v>
      </c>
      <c r="Z197" s="211">
        <f>IFERROR(__xludf.DUMMYFUNCTION("""COMPUTED_VALUE"""),1121.0)</f>
        <v>1121</v>
      </c>
    </row>
    <row r="198">
      <c r="A198" s="210">
        <f>IFERROR(__xludf.DUMMYFUNCTION("""COMPUTED_VALUE"""),44108.0)</f>
        <v>44108</v>
      </c>
      <c r="B198" s="211">
        <f>IFERROR(__xludf.DUMMYFUNCTION("""COMPUTED_VALUE"""),66.0)</f>
        <v>66</v>
      </c>
      <c r="C198" s="211">
        <f>IFERROR(__xludf.DUMMYFUNCTION("""COMPUTED_VALUE"""),138.0)</f>
        <v>138</v>
      </c>
      <c r="D198" s="211">
        <f>IFERROR(__xludf.DUMMYFUNCTION("""COMPUTED_VALUE"""),35516.0)</f>
        <v>35516</v>
      </c>
      <c r="E198" s="211">
        <f>IFERROR(__xludf.DUMMYFUNCTION("""COMPUTED_VALUE"""),1896.0)</f>
        <v>1896</v>
      </c>
      <c r="F198" s="151">
        <f>IFERROR(__xludf.DUMMYFUNCTION("""COMPUTED_VALUE"""),785330.0)</f>
        <v>785330</v>
      </c>
      <c r="G198" s="151">
        <f>IFERROR(__xludf.DUMMYFUNCTION("""COMPUTED_VALUE"""),1962.0)</f>
        <v>1962</v>
      </c>
      <c r="H198" s="151">
        <f>IFERROR(__xludf.DUMMYFUNCTION("""COMPUTED_VALUE"""),820846.0)</f>
        <v>820846</v>
      </c>
      <c r="I198" s="211">
        <f>IFERROR(__xludf.DUMMYFUNCTION("""COMPUTED_VALUE"""),53.0)</f>
        <v>53</v>
      </c>
      <c r="J198" s="211">
        <f>IFERROR(__xludf.DUMMYFUNCTION("""COMPUTED_VALUE"""),119.0)</f>
        <v>119</v>
      </c>
      <c r="K198" s="211">
        <f>IFERROR(__xludf.DUMMYFUNCTION("""COMPUTED_VALUE"""),25451.0)</f>
        <v>25451</v>
      </c>
      <c r="L198" s="211">
        <f>IFERROR(__xludf.DUMMYFUNCTION("""COMPUTED_VALUE"""),816.0)</f>
        <v>816</v>
      </c>
      <c r="M198" s="211">
        <f>IFERROR(__xludf.DUMMYFUNCTION("""COMPUTED_VALUE"""),326041.0)</f>
        <v>326041</v>
      </c>
      <c r="N198" s="211">
        <f>IFERROR(__xludf.DUMMYFUNCTION("""COMPUTED_VALUE"""),351492.0)</f>
        <v>351492</v>
      </c>
      <c r="O198" s="211">
        <f>IFERROR(__xludf.DUMMYFUNCTION("""COMPUTED_VALUE"""),9.0)</f>
        <v>9</v>
      </c>
      <c r="P198" s="211">
        <f>IFERROR(__xludf.DUMMYFUNCTION("""COMPUTED_VALUE"""),2849.0)</f>
        <v>2849</v>
      </c>
      <c r="Q198" s="211">
        <f>IFERROR(__xludf.DUMMYFUNCTION("""COMPUTED_VALUE"""),9.0)</f>
        <v>9</v>
      </c>
      <c r="R198" s="211">
        <f>IFERROR(__xludf.DUMMYFUNCTION("""COMPUTED_VALUE"""),2393.0)</f>
        <v>2393</v>
      </c>
      <c r="S198" s="211">
        <f>IFERROR(__xludf.DUMMYFUNCTION("""COMPUTED_VALUE"""),1.0)</f>
        <v>1</v>
      </c>
      <c r="T198" s="211">
        <f>IFERROR(__xludf.DUMMYFUNCTION("""COMPUTED_VALUE"""),363.0)</f>
        <v>363</v>
      </c>
      <c r="U198" s="211">
        <f>IFERROR(__xludf.DUMMYFUNCTION("""COMPUTED_VALUE"""),93.0)</f>
        <v>93</v>
      </c>
      <c r="V198" s="211">
        <f>IFERROR(__xludf.DUMMYFUNCTION("""COMPUTED_VALUE"""),94.0)</f>
        <v>94</v>
      </c>
      <c r="W198" s="211">
        <f>IFERROR(__xludf.DUMMYFUNCTION("""COMPUTED_VALUE"""),8.0)</f>
        <v>8</v>
      </c>
      <c r="X198" s="211">
        <f>IFERROR(__xludf.DUMMYFUNCTION("""COMPUTED_VALUE"""),4.0)</f>
        <v>4</v>
      </c>
      <c r="Y198" s="211">
        <f>IFERROR(__xludf.DUMMYFUNCTION("""COMPUTED_VALUE"""),2.0)</f>
        <v>2</v>
      </c>
      <c r="Z198" s="211">
        <f>IFERROR(__xludf.DUMMYFUNCTION("""COMPUTED_VALUE"""),1123.0)</f>
        <v>1123</v>
      </c>
    </row>
    <row r="199">
      <c r="A199" s="210">
        <f>IFERROR(__xludf.DUMMYFUNCTION("""COMPUTED_VALUE"""),44109.0)</f>
        <v>44109</v>
      </c>
      <c r="B199" s="211">
        <f>IFERROR(__xludf.DUMMYFUNCTION("""COMPUTED_VALUE"""),149.0)</f>
        <v>149</v>
      </c>
      <c r="C199" s="211">
        <f>IFERROR(__xludf.DUMMYFUNCTION("""COMPUTED_VALUE"""),121.0)</f>
        <v>121</v>
      </c>
      <c r="D199" s="211">
        <f>IFERROR(__xludf.DUMMYFUNCTION("""COMPUTED_VALUE"""),35665.0)</f>
        <v>35665</v>
      </c>
      <c r="E199" s="211">
        <f>IFERROR(__xludf.DUMMYFUNCTION("""COMPUTED_VALUE"""),7019.0)</f>
        <v>7019</v>
      </c>
      <c r="F199" s="151">
        <f>IFERROR(__xludf.DUMMYFUNCTION("""COMPUTED_VALUE"""),792349.0)</f>
        <v>792349</v>
      </c>
      <c r="G199" s="151">
        <f>IFERROR(__xludf.DUMMYFUNCTION("""COMPUTED_VALUE"""),7168.0)</f>
        <v>7168</v>
      </c>
      <c r="H199" s="151">
        <f>IFERROR(__xludf.DUMMYFUNCTION("""COMPUTED_VALUE"""),828014.0)</f>
        <v>828014</v>
      </c>
      <c r="I199" s="211">
        <f>IFERROR(__xludf.DUMMYFUNCTION("""COMPUTED_VALUE"""),145.0)</f>
        <v>145</v>
      </c>
      <c r="J199" s="211">
        <f>IFERROR(__xludf.DUMMYFUNCTION("""COMPUTED_VALUE"""),111.0)</f>
        <v>111</v>
      </c>
      <c r="K199" s="211">
        <f>IFERROR(__xludf.DUMMYFUNCTION("""COMPUTED_VALUE"""),25596.0)</f>
        <v>25596</v>
      </c>
      <c r="L199" s="211">
        <f>IFERROR(__xludf.DUMMYFUNCTION("""COMPUTED_VALUE"""),2444.0)</f>
        <v>2444</v>
      </c>
      <c r="M199" s="211">
        <f>IFERROR(__xludf.DUMMYFUNCTION("""COMPUTED_VALUE"""),328485.0)</f>
        <v>328485</v>
      </c>
      <c r="N199" s="211">
        <f>IFERROR(__xludf.DUMMYFUNCTION("""COMPUTED_VALUE"""),354081.0)</f>
        <v>354081</v>
      </c>
      <c r="O199" s="211"/>
      <c r="P199" s="211"/>
      <c r="Q199" s="211"/>
      <c r="R199" s="211"/>
      <c r="S199" s="211"/>
      <c r="T199" s="211"/>
      <c r="U199" s="211"/>
      <c r="V199" s="211"/>
      <c r="W199" s="211"/>
      <c r="X199" s="211"/>
      <c r="Y199" s="211">
        <f>IFERROR(__xludf.DUMMYFUNCTION("""COMPUTED_VALUE"""),2.0)</f>
        <v>2</v>
      </c>
      <c r="Z199" s="211">
        <f>IFERROR(__xludf.DUMMYFUNCTION("""COMPUTED_VALUE"""),1125.0)</f>
        <v>1125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2" t="s">
        <v>532</v>
      </c>
      <c r="B1" s="213" t="s">
        <v>211</v>
      </c>
      <c r="C1" s="149" t="s">
        <v>75</v>
      </c>
    </row>
    <row r="2" ht="14.25" customHeight="1">
      <c r="A2" s="214" t="str">
        <f>'Cases by ZCTA'!A2</f>
        <v>02802</v>
      </c>
      <c r="B2" s="215">
        <f>'Cases by ZCTA'!B2</f>
        <v>10</v>
      </c>
      <c r="C2" s="215">
        <f>'Cases by ZCTA'!C2</f>
        <v>1490</v>
      </c>
    </row>
    <row r="3" ht="14.25" customHeight="1">
      <c r="A3" s="214" t="str">
        <f>'Cases by ZCTA'!A3</f>
        <v>02804</v>
      </c>
      <c r="B3" s="215">
        <f>'Cases by ZCTA'!B3</f>
        <v>6</v>
      </c>
      <c r="C3" s="215">
        <f>'Cases by ZCTA'!C3</f>
        <v>299</v>
      </c>
    </row>
    <row r="4" ht="14.25" customHeight="1">
      <c r="A4" s="214" t="str">
        <f>'Cases by ZCTA'!A4</f>
        <v>02806</v>
      </c>
      <c r="B4" s="215">
        <f>'Cases by ZCTA'!B4</f>
        <v>85</v>
      </c>
      <c r="C4" s="215">
        <f>'Cases by ZCTA'!C4</f>
        <v>525</v>
      </c>
    </row>
    <row r="5" ht="14.25" customHeight="1">
      <c r="A5" s="214" t="str">
        <f>'Cases by ZCTA'!A5</f>
        <v>02807</v>
      </c>
      <c r="B5" s="215">
        <f>'Cases by ZCTA'!B5</f>
        <v>6</v>
      </c>
      <c r="C5" s="215">
        <f>'Cases by ZCTA'!C5</f>
        <v>726</v>
      </c>
    </row>
    <row r="6" ht="14.25" customHeight="1">
      <c r="A6" s="214" t="str">
        <f>'Cases by ZCTA'!A6</f>
        <v>02808</v>
      </c>
      <c r="B6" s="215">
        <f>'Cases by ZCTA'!B6</f>
        <v>17</v>
      </c>
      <c r="C6" s="215">
        <f>'Cases by ZCTA'!C6</f>
        <v>663</v>
      </c>
    </row>
    <row r="7" ht="14.25" customHeight="1">
      <c r="A7" s="214" t="str">
        <f>'Cases by ZCTA'!A7</f>
        <v>02809</v>
      </c>
      <c r="B7" s="215">
        <f>'Cases by ZCTA'!B7</f>
        <v>212</v>
      </c>
      <c r="C7" s="215">
        <f>'Cases by ZCTA'!C7</f>
        <v>952</v>
      </c>
    </row>
    <row r="8" ht="14.25" customHeight="1">
      <c r="A8" s="214" t="str">
        <f>'Cases by ZCTA'!A8</f>
        <v>02812</v>
      </c>
      <c r="B8" s="215">
        <f>'Cases by ZCTA'!B8</f>
        <v>11</v>
      </c>
      <c r="C8" s="215">
        <f>'Cases by ZCTA'!C8</f>
        <v>911</v>
      </c>
    </row>
    <row r="9" ht="14.25" customHeight="1">
      <c r="A9" s="214" t="str">
        <f>'Cases by ZCTA'!A9</f>
        <v>02813</v>
      </c>
      <c r="B9" s="215">
        <f>'Cases by ZCTA'!B9</f>
        <v>40</v>
      </c>
      <c r="C9" s="215">
        <f>'Cases by ZCTA'!C9</f>
        <v>514</v>
      </c>
    </row>
    <row r="10" ht="14.25" customHeight="1">
      <c r="A10" s="214" t="str">
        <f>'Cases by ZCTA'!A10</f>
        <v>02814</v>
      </c>
      <c r="B10" s="215">
        <f>'Cases by ZCTA'!B10</f>
        <v>55</v>
      </c>
      <c r="C10" s="215">
        <f>'Cases by ZCTA'!C10</f>
        <v>717</v>
      </c>
    </row>
    <row r="11" ht="14.25" customHeight="1">
      <c r="A11" s="214" t="str">
        <f>'Cases by ZCTA'!A11</f>
        <v>02815</v>
      </c>
      <c r="B11" s="215">
        <f>'Cases by ZCTA'!B11</f>
        <v>0</v>
      </c>
      <c r="C11" s="215">
        <f>'Cases by ZCTA'!C11</f>
        <v>0</v>
      </c>
    </row>
    <row r="12" ht="14.25" customHeight="1">
      <c r="A12" s="214" t="str">
        <f>'Cases by ZCTA'!A12</f>
        <v>02816</v>
      </c>
      <c r="B12" s="215">
        <f>'Cases by ZCTA'!B12</f>
        <v>335</v>
      </c>
      <c r="C12" s="215">
        <f>'Cases by ZCTA'!C12</f>
        <v>1021</v>
      </c>
    </row>
    <row r="13" ht="14.25" customHeight="1">
      <c r="A13" s="214" t="str">
        <f>'Cases by ZCTA'!A13</f>
        <v>02817</v>
      </c>
      <c r="B13" s="215">
        <f>'Cases by ZCTA'!B13</f>
        <v>34</v>
      </c>
      <c r="C13" s="215">
        <f>'Cases by ZCTA'!C13</f>
        <v>564</v>
      </c>
    </row>
    <row r="14" ht="14.25" customHeight="1">
      <c r="A14" s="214" t="str">
        <f>'Cases by ZCTA'!A14</f>
        <v>02818</v>
      </c>
      <c r="B14" s="215">
        <f>'Cases by ZCTA'!B14</f>
        <v>147</v>
      </c>
      <c r="C14" s="215">
        <f>'Cases by ZCTA'!C14</f>
        <v>808</v>
      </c>
    </row>
    <row r="15" ht="14.25" customHeight="1">
      <c r="A15" s="214" t="str">
        <f>'Cases by ZCTA'!A15</f>
        <v>02822</v>
      </c>
      <c r="B15" s="215">
        <f>'Cases by ZCTA'!B15</f>
        <v>49</v>
      </c>
      <c r="C15" s="215">
        <f>'Cases by ZCTA'!C15</f>
        <v>745</v>
      </c>
    </row>
    <row r="16" ht="14.25" customHeight="1">
      <c r="A16" s="214" t="str">
        <f>'Cases by ZCTA'!A16</f>
        <v>02825</v>
      </c>
      <c r="B16" s="215">
        <f>'Cases by ZCTA'!B16</f>
        <v>36</v>
      </c>
      <c r="C16" s="215">
        <f>'Cases by ZCTA'!C16</f>
        <v>655</v>
      </c>
    </row>
    <row r="17" ht="14.25" customHeight="1">
      <c r="A17" s="214" t="str">
        <f>'Cases by ZCTA'!A17</f>
        <v>02826</v>
      </c>
      <c r="B17" s="215">
        <f>'Cases by ZCTA'!B17</f>
        <v>0</v>
      </c>
      <c r="C17" s="215">
        <f>'Cases by ZCTA'!C17</f>
        <v>0</v>
      </c>
    </row>
    <row r="18" ht="14.25" customHeight="1">
      <c r="A18" s="214" t="str">
        <f>'Cases by ZCTA'!A18</f>
        <v>02827</v>
      </c>
      <c r="B18" s="215">
        <f>'Cases by ZCTA'!B18</f>
        <v>19</v>
      </c>
      <c r="C18" s="215">
        <f>'Cases by ZCTA'!C18</f>
        <v>922</v>
      </c>
    </row>
    <row r="19" ht="14.25" customHeight="1">
      <c r="A19" s="214" t="str">
        <f>'Cases by ZCTA'!A19</f>
        <v>02828</v>
      </c>
      <c r="B19" s="215">
        <f>'Cases by ZCTA'!B19</f>
        <v>243</v>
      </c>
      <c r="C19" s="215">
        <f>'Cases by ZCTA'!C19</f>
        <v>3090</v>
      </c>
    </row>
    <row r="20" ht="14.25" customHeight="1">
      <c r="A20" s="214" t="str">
        <f>'Cases by ZCTA'!A20</f>
        <v>02830</v>
      </c>
      <c r="B20" s="215">
        <f>'Cases by ZCTA'!B20</f>
        <v>43</v>
      </c>
      <c r="C20" s="215">
        <f>'Cases by ZCTA'!C20</f>
        <v>725</v>
      </c>
    </row>
    <row r="21" ht="14.25" customHeight="1">
      <c r="A21" s="214" t="str">
        <f>'Cases by ZCTA'!A21</f>
        <v>02831</v>
      </c>
      <c r="B21" s="215">
        <f>'Cases by ZCTA'!B21</f>
        <v>40</v>
      </c>
      <c r="C21" s="215">
        <f>'Cases by ZCTA'!C21</f>
        <v>1143</v>
      </c>
    </row>
    <row r="22" ht="14.25" customHeight="1">
      <c r="A22" s="214" t="str">
        <f>'Cases by ZCTA'!A22</f>
        <v>02832</v>
      </c>
      <c r="B22" s="215">
        <f>'Cases by ZCTA'!B22</f>
        <v>20</v>
      </c>
      <c r="C22" s="215">
        <f>'Cases by ZCTA'!C22</f>
        <v>463</v>
      </c>
    </row>
    <row r="23" ht="14.25" customHeight="1">
      <c r="A23" s="214" t="str">
        <f>'Cases by ZCTA'!A23</f>
        <v>02833</v>
      </c>
      <c r="B23" s="215">
        <f>'Cases by ZCTA'!B23</f>
        <v>0</v>
      </c>
      <c r="C23" s="215">
        <f>'Cases by ZCTA'!C23</f>
        <v>0</v>
      </c>
    </row>
    <row r="24" ht="14.25" customHeight="1">
      <c r="A24" s="214" t="str">
        <f>'Cases by ZCTA'!A24</f>
        <v>02835</v>
      </c>
      <c r="B24" s="215">
        <f>'Cases by ZCTA'!B24</f>
        <v>29</v>
      </c>
      <c r="C24" s="215">
        <f>'Cases by ZCTA'!C24</f>
        <v>528</v>
      </c>
    </row>
    <row r="25" ht="14.25" customHeight="1">
      <c r="A25" s="214" t="str">
        <f>'Cases by ZCTA'!A25</f>
        <v>02836</v>
      </c>
      <c r="B25" s="215">
        <f>'Cases by ZCTA'!B25</f>
        <v>0</v>
      </c>
      <c r="C25" s="215">
        <f>'Cases by ZCTA'!C25</f>
        <v>0</v>
      </c>
    </row>
    <row r="26" ht="14.25" customHeight="1">
      <c r="A26" s="214" t="str">
        <f>'Cases by ZCTA'!A26</f>
        <v>02837</v>
      </c>
      <c r="B26" s="215">
        <f>'Cases by ZCTA'!B26</f>
        <v>14</v>
      </c>
      <c r="C26" s="215">
        <f>'Cases by ZCTA'!C26</f>
        <v>399</v>
      </c>
    </row>
    <row r="27" ht="14.25" customHeight="1">
      <c r="A27" s="214" t="str">
        <f>'Cases by ZCTA'!A27</f>
        <v>02838</v>
      </c>
      <c r="B27" s="215">
        <f>'Cases by ZCTA'!B27</f>
        <v>129</v>
      </c>
      <c r="C27" s="215">
        <f>'Cases by ZCTA'!C27</f>
        <v>3666</v>
      </c>
    </row>
    <row r="28" ht="14.25" customHeight="1">
      <c r="A28" s="214" t="str">
        <f>'Cases by ZCTA'!A28</f>
        <v>02839</v>
      </c>
      <c r="B28" s="215">
        <f>'Cases by ZCTA'!B28</f>
        <v>17</v>
      </c>
      <c r="C28" s="215">
        <f>'Cases by ZCTA'!C28</f>
        <v>824</v>
      </c>
    </row>
    <row r="29" ht="14.25" customHeight="1">
      <c r="A29" s="214" t="str">
        <f>'Cases by ZCTA'!A29</f>
        <v>02840</v>
      </c>
      <c r="B29" s="215">
        <f>'Cases by ZCTA'!B29</f>
        <v>165</v>
      </c>
      <c r="C29" s="215">
        <f>'Cases by ZCTA'!C29</f>
        <v>711</v>
      </c>
    </row>
    <row r="30" ht="14.25" customHeight="1">
      <c r="A30" s="214" t="str">
        <f>'Cases by ZCTA'!A30</f>
        <v>02841</v>
      </c>
      <c r="B30" s="215">
        <f>'Cases by ZCTA'!B30</f>
        <v>10</v>
      </c>
      <c r="C30" s="215">
        <f>'Cases by ZCTA'!C30</f>
        <v>613</v>
      </c>
    </row>
    <row r="31" ht="14.25" customHeight="1">
      <c r="A31" s="214" t="str">
        <f>'Cases by ZCTA'!A31</f>
        <v>02842</v>
      </c>
      <c r="B31" s="215">
        <f>'Cases by ZCTA'!B31</f>
        <v>89</v>
      </c>
      <c r="C31" s="215">
        <f>'Cases by ZCTA'!C31</f>
        <v>556</v>
      </c>
    </row>
    <row r="32" ht="14.25" customHeight="1">
      <c r="A32" s="214" t="str">
        <f>'Cases by ZCTA'!A32</f>
        <v>02852</v>
      </c>
      <c r="B32" s="215">
        <f>'Cases by ZCTA'!B32</f>
        <v>299</v>
      </c>
      <c r="C32" s="215">
        <f>'Cases by ZCTA'!C32</f>
        <v>1357</v>
      </c>
    </row>
    <row r="33" ht="14.25" customHeight="1">
      <c r="A33" s="214" t="str">
        <f>'Cases by ZCTA'!A33</f>
        <v>02857</v>
      </c>
      <c r="B33" s="215">
        <f>'Cases by ZCTA'!B33</f>
        <v>60</v>
      </c>
      <c r="C33" s="215">
        <f>'Cases by ZCTA'!C33</f>
        <v>687</v>
      </c>
    </row>
    <row r="34" ht="14.25" customHeight="1">
      <c r="A34" s="214" t="str">
        <f>'Cases by ZCTA'!A34</f>
        <v>02858</v>
      </c>
      <c r="B34" s="215">
        <f>'Cases by ZCTA'!B34</f>
        <v>0</v>
      </c>
      <c r="C34" s="215">
        <f>'Cases by ZCTA'!C34</f>
        <v>0</v>
      </c>
    </row>
    <row r="35" ht="14.25" customHeight="1">
      <c r="A35" s="214" t="str">
        <f>'Cases by ZCTA'!A35</f>
        <v>02859</v>
      </c>
      <c r="B35" s="215">
        <f>'Cases by ZCTA'!B35</f>
        <v>100</v>
      </c>
      <c r="C35" s="215">
        <f>'Cases by ZCTA'!C35</f>
        <v>1384</v>
      </c>
    </row>
    <row r="36" ht="14.25" customHeight="1">
      <c r="A36" s="214" t="str">
        <f>'Cases by ZCTA'!A36</f>
        <v>02860</v>
      </c>
      <c r="B36" s="215">
        <f>'Cases by ZCTA'!B36</f>
        <v>1786</v>
      </c>
      <c r="C36" s="215">
        <f>'Cases by ZCTA'!C36</f>
        <v>3790</v>
      </c>
    </row>
    <row r="37" ht="14.25" customHeight="1">
      <c r="A37" s="214" t="str">
        <f>'Cases by ZCTA'!A37</f>
        <v>02861</v>
      </c>
      <c r="B37" s="215">
        <f>'Cases by ZCTA'!B37</f>
        <v>604</v>
      </c>
      <c r="C37" s="215">
        <f>'Cases by ZCTA'!C37</f>
        <v>2412</v>
      </c>
    </row>
    <row r="38" ht="14.25" customHeight="1">
      <c r="A38" s="214" t="str">
        <f>'Cases by ZCTA'!A38</f>
        <v>02863</v>
      </c>
      <c r="B38" s="215">
        <f>'Cases by ZCTA'!B38</f>
        <v>1272</v>
      </c>
      <c r="C38" s="215">
        <f>'Cases by ZCTA'!C38</f>
        <v>6575</v>
      </c>
    </row>
    <row r="39" ht="14.25" customHeight="1">
      <c r="A39" s="214" t="str">
        <f>'Cases by ZCTA'!A39</f>
        <v>02864</v>
      </c>
      <c r="B39" s="215">
        <f>'Cases by ZCTA'!B39</f>
        <v>499</v>
      </c>
      <c r="C39" s="215">
        <f>'Cases by ZCTA'!C39</f>
        <v>1441</v>
      </c>
    </row>
    <row r="40" ht="14.25" customHeight="1">
      <c r="A40" s="214" t="str">
        <f>'Cases by ZCTA'!A40</f>
        <v>02865</v>
      </c>
      <c r="B40" s="215">
        <f>'Cases by ZCTA'!B40</f>
        <v>233</v>
      </c>
      <c r="C40" s="215">
        <f>'Cases by ZCTA'!C40</f>
        <v>1335</v>
      </c>
    </row>
    <row r="41" ht="14.25" customHeight="1">
      <c r="A41" s="214" t="str">
        <f>'Cases by ZCTA'!A41</f>
        <v>02871</v>
      </c>
      <c r="B41" s="215">
        <f>'Cases by ZCTA'!B41</f>
        <v>81</v>
      </c>
      <c r="C41" s="215">
        <f>'Cases by ZCTA'!C41</f>
        <v>473</v>
      </c>
    </row>
    <row r="42" ht="14.25" customHeight="1">
      <c r="A42" s="214" t="str">
        <f>'Cases by ZCTA'!A42</f>
        <v>02872</v>
      </c>
      <c r="B42" s="215">
        <f>'Cases by ZCTA'!B42</f>
        <v>0</v>
      </c>
      <c r="C42" s="215">
        <f>'Cases by ZCTA'!C42</f>
        <v>0</v>
      </c>
    </row>
    <row r="43" ht="14.25" customHeight="1">
      <c r="A43" s="214" t="str">
        <f>'Cases by ZCTA'!A43</f>
        <v>02873</v>
      </c>
      <c r="B43" s="215">
        <f>'Cases by ZCTA'!B43</f>
        <v>0</v>
      </c>
      <c r="C43" s="215">
        <f>'Cases by ZCTA'!C43</f>
        <v>0</v>
      </c>
    </row>
    <row r="44" ht="14.25" customHeight="1">
      <c r="A44" s="214" t="str">
        <f>'Cases by ZCTA'!A44</f>
        <v>02874</v>
      </c>
      <c r="B44" s="215">
        <f>'Cases by ZCTA'!B44</f>
        <v>51</v>
      </c>
      <c r="C44" s="215">
        <f>'Cases by ZCTA'!C44</f>
        <v>856</v>
      </c>
    </row>
    <row r="45" ht="14.25" customHeight="1">
      <c r="A45" s="214" t="str">
        <f>'Cases by ZCTA'!A45</f>
        <v>02875</v>
      </c>
      <c r="B45" s="215">
        <f>'Cases by ZCTA'!B45</f>
        <v>0</v>
      </c>
      <c r="C45" s="215">
        <f>'Cases by ZCTA'!C45</f>
        <v>0</v>
      </c>
    </row>
    <row r="46" ht="14.25" customHeight="1">
      <c r="A46" s="214" t="str">
        <f>'Cases by ZCTA'!A46</f>
        <v>02876</v>
      </c>
      <c r="B46" s="215">
        <f>'Cases by ZCTA'!B46</f>
        <v>7</v>
      </c>
      <c r="C46" s="215">
        <f>'Cases by ZCTA'!C46</f>
        <v>2405</v>
      </c>
    </row>
    <row r="47" ht="14.25" customHeight="1">
      <c r="A47" s="214" t="str">
        <f>'Cases by ZCTA'!A47</f>
        <v>02878</v>
      </c>
      <c r="B47" s="215">
        <f>'Cases by ZCTA'!B47</f>
        <v>132</v>
      </c>
      <c r="C47" s="215">
        <f>'Cases by ZCTA'!C47</f>
        <v>835</v>
      </c>
    </row>
    <row r="48" ht="14.25" customHeight="1">
      <c r="A48" s="214" t="str">
        <f>'Cases by ZCTA'!A48</f>
        <v>02879</v>
      </c>
      <c r="B48" s="215">
        <f>'Cases by ZCTA'!B48</f>
        <v>158</v>
      </c>
      <c r="C48" s="215">
        <f>'Cases by ZCTA'!C48</f>
        <v>770</v>
      </c>
    </row>
    <row r="49" ht="14.25" customHeight="1">
      <c r="A49" s="214" t="str">
        <f>'Cases by ZCTA'!A49</f>
        <v>02881</v>
      </c>
      <c r="B49" s="215">
        <f>'Cases by ZCTA'!B49</f>
        <v>17</v>
      </c>
      <c r="C49" s="215">
        <f>'Cases by ZCTA'!C49</f>
        <v>217</v>
      </c>
    </row>
    <row r="50" ht="14.25" customHeight="1">
      <c r="A50" s="214" t="str">
        <f>'Cases by ZCTA'!A50</f>
        <v>02882</v>
      </c>
      <c r="B50" s="215">
        <f>'Cases by ZCTA'!B50</f>
        <v>141</v>
      </c>
      <c r="C50" s="215">
        <f>'Cases by ZCTA'!C50</f>
        <v>1011</v>
      </c>
    </row>
    <row r="51" ht="14.25" customHeight="1">
      <c r="A51" s="214" t="str">
        <f>'Cases by ZCTA'!A51</f>
        <v>02885</v>
      </c>
      <c r="B51" s="215">
        <f>'Cases by ZCTA'!B51</f>
        <v>113</v>
      </c>
      <c r="C51" s="215">
        <f>'Cases by ZCTA'!C51</f>
        <v>1080</v>
      </c>
    </row>
    <row r="52" ht="14.25" customHeight="1">
      <c r="A52" s="214" t="str">
        <f>'Cases by ZCTA'!A52</f>
        <v>02886</v>
      </c>
      <c r="B52" s="215">
        <f>'Cases by ZCTA'!B52</f>
        <v>301</v>
      </c>
      <c r="C52" s="215">
        <f>'Cases by ZCTA'!C52</f>
        <v>1038</v>
      </c>
    </row>
    <row r="53" ht="14.25" customHeight="1">
      <c r="A53" s="214" t="str">
        <f>'Cases by ZCTA'!A53</f>
        <v>02888</v>
      </c>
      <c r="B53" s="215">
        <f>'Cases by ZCTA'!B53</f>
        <v>214</v>
      </c>
      <c r="C53" s="215">
        <f>'Cases by ZCTA'!C53</f>
        <v>1117</v>
      </c>
    </row>
    <row r="54" ht="14.25" customHeight="1">
      <c r="A54" s="214" t="str">
        <f>'Cases by ZCTA'!A54</f>
        <v>02889</v>
      </c>
      <c r="B54" s="215">
        <f>'Cases by ZCTA'!B54</f>
        <v>428</v>
      </c>
      <c r="C54" s="215">
        <f>'Cases by ZCTA'!C54</f>
        <v>1566</v>
      </c>
    </row>
    <row r="55" ht="14.25" customHeight="1">
      <c r="A55" s="214" t="str">
        <f>'Cases by ZCTA'!A55</f>
        <v>02891</v>
      </c>
      <c r="B55" s="215">
        <f>'Cases by ZCTA'!B55</f>
        <v>108</v>
      </c>
      <c r="C55" s="215">
        <f>'Cases by ZCTA'!C55</f>
        <v>512</v>
      </c>
    </row>
    <row r="56" ht="14.25" customHeight="1">
      <c r="A56" s="214" t="str">
        <f>'Cases by ZCTA'!A56</f>
        <v>02892</v>
      </c>
      <c r="B56" s="215">
        <f>'Cases by ZCTA'!B56</f>
        <v>39</v>
      </c>
      <c r="C56" s="215">
        <f>'Cases by ZCTA'!C56</f>
        <v>752</v>
      </c>
    </row>
    <row r="57" ht="14.25" customHeight="1">
      <c r="A57" s="214" t="str">
        <f>'Cases by ZCTA'!A57</f>
        <v>02893</v>
      </c>
      <c r="B57" s="215">
        <f>'Cases by ZCTA'!B57</f>
        <v>435</v>
      </c>
      <c r="C57" s="215">
        <f>'Cases by ZCTA'!C57</f>
        <v>1492</v>
      </c>
    </row>
    <row r="58" ht="14.25" customHeight="1">
      <c r="A58" s="214" t="str">
        <f>'Cases by ZCTA'!A58</f>
        <v>02894</v>
      </c>
      <c r="B58" s="215">
        <f>'Cases by ZCTA'!B58</f>
        <v>0</v>
      </c>
      <c r="C58" s="215">
        <f>'Cases by ZCTA'!C58</f>
        <v>0</v>
      </c>
    </row>
    <row r="59" ht="14.25" customHeight="1">
      <c r="A59" s="214" t="str">
        <f>'Cases by ZCTA'!A59</f>
        <v>02895</v>
      </c>
      <c r="B59" s="215">
        <f>'Cases by ZCTA'!B59</f>
        <v>864</v>
      </c>
      <c r="C59" s="215">
        <f>'Cases by ZCTA'!C59</f>
        <v>2080</v>
      </c>
    </row>
    <row r="60" ht="14.25" customHeight="1">
      <c r="A60" s="214" t="str">
        <f>'Cases by ZCTA'!A60</f>
        <v>02896</v>
      </c>
      <c r="B60" s="215">
        <f>'Cases by ZCTA'!B60</f>
        <v>167</v>
      </c>
      <c r="C60" s="215">
        <f>'Cases by ZCTA'!C60</f>
        <v>1385</v>
      </c>
    </row>
    <row r="61" ht="14.25" customHeight="1">
      <c r="A61" s="214" t="str">
        <f>'Cases by ZCTA'!A61</f>
        <v>02898</v>
      </c>
      <c r="B61" s="215">
        <f>'Cases by ZCTA'!B61</f>
        <v>19</v>
      </c>
      <c r="C61" s="215">
        <f>'Cases by ZCTA'!C61</f>
        <v>1156</v>
      </c>
    </row>
    <row r="62" ht="14.25" customHeight="1">
      <c r="A62" s="214" t="str">
        <f>'Cases by ZCTA'!A62</f>
        <v>02903</v>
      </c>
      <c r="B62" s="215">
        <f>'Cases by ZCTA'!B62</f>
        <v>252</v>
      </c>
      <c r="C62" s="215">
        <f>'Cases by ZCTA'!C62</f>
        <v>2390</v>
      </c>
    </row>
    <row r="63" ht="14.25" customHeight="1">
      <c r="A63" s="214" t="str">
        <f>'Cases by ZCTA'!A63</f>
        <v>02904</v>
      </c>
      <c r="B63" s="215">
        <f>'Cases by ZCTA'!B63</f>
        <v>1198</v>
      </c>
      <c r="C63" s="215">
        <f>'Cases by ZCTA'!C63</f>
        <v>3925</v>
      </c>
    </row>
    <row r="64" ht="14.25" customHeight="1">
      <c r="A64" s="214" t="str">
        <f>'Cases by ZCTA'!A64</f>
        <v>02905</v>
      </c>
      <c r="B64" s="215">
        <f>'Cases by ZCTA'!B64</f>
        <v>889</v>
      </c>
      <c r="C64" s="215">
        <f>'Cases by ZCTA'!C64</f>
        <v>3488</v>
      </c>
    </row>
    <row r="65" ht="14.25" customHeight="1">
      <c r="A65" s="214" t="str">
        <f>'Cases by ZCTA'!A65</f>
        <v>02906</v>
      </c>
      <c r="B65" s="215">
        <f>'Cases by ZCTA'!B65</f>
        <v>409</v>
      </c>
      <c r="C65" s="215">
        <f>'Cases by ZCTA'!C65</f>
        <v>1451</v>
      </c>
    </row>
    <row r="66" ht="14.25" customHeight="1">
      <c r="A66" s="214" t="str">
        <f>'Cases by ZCTA'!A66</f>
        <v>02907</v>
      </c>
      <c r="B66" s="215">
        <f>'Cases by ZCTA'!B66</f>
        <v>1865</v>
      </c>
      <c r="C66" s="215">
        <f>'Cases by ZCTA'!C66</f>
        <v>6059</v>
      </c>
    </row>
    <row r="67" ht="14.25" customHeight="1">
      <c r="A67" s="214" t="str">
        <f>'Cases by ZCTA'!A67</f>
        <v>02908</v>
      </c>
      <c r="B67" s="215">
        <f>'Cases by ZCTA'!B67</f>
        <v>1977</v>
      </c>
      <c r="C67" s="215">
        <f>'Cases by ZCTA'!C67</f>
        <v>5265</v>
      </c>
    </row>
    <row r="68" ht="14.25" customHeight="1">
      <c r="A68" s="214" t="str">
        <f>'Cases by ZCTA'!A68</f>
        <v>02909</v>
      </c>
      <c r="B68" s="215">
        <f>'Cases by ZCTA'!B68</f>
        <v>2567</v>
      </c>
      <c r="C68" s="215">
        <f>'Cases by ZCTA'!C68</f>
        <v>6327</v>
      </c>
    </row>
    <row r="69" ht="14.25" customHeight="1">
      <c r="A69" s="214" t="str">
        <f>'Cases by ZCTA'!A69</f>
        <v>02910</v>
      </c>
      <c r="B69" s="215">
        <f>'Cases by ZCTA'!B69</f>
        <v>413</v>
      </c>
      <c r="C69" s="215">
        <f>'Cases by ZCTA'!C69</f>
        <v>1865</v>
      </c>
    </row>
    <row r="70" ht="14.25" customHeight="1">
      <c r="A70" s="214" t="str">
        <f>'Cases by ZCTA'!A70</f>
        <v>02911</v>
      </c>
      <c r="B70" s="215">
        <f>'Cases by ZCTA'!B70</f>
        <v>309</v>
      </c>
      <c r="C70" s="215">
        <f>'Cases by ZCTA'!C70</f>
        <v>1948</v>
      </c>
    </row>
    <row r="71" ht="14.25" customHeight="1">
      <c r="A71" s="214" t="str">
        <f>'Cases by ZCTA'!A71</f>
        <v>02912</v>
      </c>
      <c r="B71" s="215">
        <f>'Cases by ZCTA'!B71</f>
        <v>0</v>
      </c>
      <c r="C71" s="215">
        <f>'Cases by ZCTA'!C71</f>
        <v>0</v>
      </c>
    </row>
    <row r="72" ht="14.25" customHeight="1">
      <c r="A72" s="214" t="str">
        <f>'Cases by ZCTA'!A72</f>
        <v>02914</v>
      </c>
      <c r="B72" s="215">
        <f>'Cases by ZCTA'!B72</f>
        <v>528</v>
      </c>
      <c r="C72" s="215">
        <f>'Cases by ZCTA'!C72</f>
        <v>2444</v>
      </c>
    </row>
    <row r="73" ht="14.25" customHeight="1">
      <c r="A73" s="214" t="str">
        <f>'Cases by ZCTA'!A73</f>
        <v>02915</v>
      </c>
      <c r="B73" s="215">
        <f>'Cases by ZCTA'!B73</f>
        <v>268</v>
      </c>
      <c r="C73" s="215">
        <f>'Cases by ZCTA'!C73</f>
        <v>1610</v>
      </c>
    </row>
    <row r="74" ht="14.25" customHeight="1">
      <c r="A74" s="214" t="str">
        <f>'Cases by ZCTA'!A74</f>
        <v>02916</v>
      </c>
      <c r="B74" s="215">
        <f>'Cases by ZCTA'!B74</f>
        <v>104</v>
      </c>
      <c r="C74" s="215">
        <f>'Cases by ZCTA'!C74</f>
        <v>1146</v>
      </c>
    </row>
    <row r="75" ht="14.25" customHeight="1">
      <c r="A75" s="214" t="str">
        <f>'Cases by ZCTA'!A75</f>
        <v>02917</v>
      </c>
      <c r="B75" s="215">
        <f>'Cases by ZCTA'!B75</f>
        <v>146</v>
      </c>
      <c r="C75" s="215">
        <f>'Cases by ZCTA'!C75</f>
        <v>1058</v>
      </c>
    </row>
    <row r="76" ht="14.25" customHeight="1">
      <c r="A76" s="214" t="str">
        <f>'Cases by ZCTA'!A76</f>
        <v>02919</v>
      </c>
      <c r="B76" s="215">
        <f>'Cases by ZCTA'!B76</f>
        <v>672</v>
      </c>
      <c r="C76" s="215">
        <f>'Cases by ZCTA'!C76</f>
        <v>2297</v>
      </c>
    </row>
    <row r="77" ht="14.25" customHeight="1">
      <c r="A77" s="214" t="str">
        <f>'Cases by ZCTA'!A77</f>
        <v>02920</v>
      </c>
      <c r="B77" s="215">
        <f>'Cases by ZCTA'!B77</f>
        <v>822</v>
      </c>
      <c r="C77" s="215">
        <f>'Cases by ZCTA'!C77</f>
        <v>2210</v>
      </c>
    </row>
    <row r="78" ht="14.25" customHeight="1">
      <c r="A78" s="214" t="str">
        <f>'Cases by ZCTA'!A78</f>
        <v>02921</v>
      </c>
      <c r="B78" s="215">
        <f>'Cases by ZCTA'!B78</f>
        <v>147</v>
      </c>
      <c r="C78" s="215">
        <f>'Cases by ZCTA'!C78</f>
        <v>1184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216" t="s">
        <v>1</v>
      </c>
      <c r="C1" s="216" t="s">
        <v>2</v>
      </c>
      <c r="D1" s="216" t="s">
        <v>3</v>
      </c>
      <c r="E1" s="216" t="s">
        <v>4</v>
      </c>
      <c r="F1" s="217" t="s">
        <v>5</v>
      </c>
      <c r="G1" s="217" t="s">
        <v>6</v>
      </c>
      <c r="H1" s="217" t="s">
        <v>7</v>
      </c>
      <c r="I1" s="218" t="s">
        <v>8</v>
      </c>
      <c r="J1" s="219" t="s">
        <v>9</v>
      </c>
      <c r="K1" s="218" t="s">
        <v>10</v>
      </c>
      <c r="L1" s="218" t="s">
        <v>11</v>
      </c>
      <c r="M1" s="218" t="s">
        <v>12</v>
      </c>
      <c r="N1" s="218" t="s">
        <v>13</v>
      </c>
      <c r="O1" s="220" t="s">
        <v>14</v>
      </c>
      <c r="P1" s="220" t="s">
        <v>15</v>
      </c>
      <c r="Q1" s="220" t="s">
        <v>16</v>
      </c>
      <c r="R1" s="220" t="s">
        <v>17</v>
      </c>
      <c r="S1" s="220" t="s">
        <v>18</v>
      </c>
      <c r="T1" s="220" t="s">
        <v>19</v>
      </c>
      <c r="U1" s="220" t="s">
        <v>20</v>
      </c>
      <c r="V1" s="220" t="s">
        <v>21</v>
      </c>
      <c r="W1" s="220" t="s">
        <v>22</v>
      </c>
      <c r="X1" s="220" t="s">
        <v>23</v>
      </c>
      <c r="Y1" s="221" t="s">
        <v>24</v>
      </c>
      <c r="Z1" s="221" t="s">
        <v>25</v>
      </c>
      <c r="AA1" s="222" t="s">
        <v>533</v>
      </c>
      <c r="AB1" s="222" t="s">
        <v>534</v>
      </c>
      <c r="AC1" s="222" t="s">
        <v>535</v>
      </c>
      <c r="AD1" s="222" t="s">
        <v>536</v>
      </c>
    </row>
    <row r="2">
      <c r="A2" s="223">
        <f>Summary!B1</f>
        <v>44110</v>
      </c>
      <c r="B2" s="224">
        <f>Summary!B2</f>
        <v>149</v>
      </c>
      <c r="C2" s="225">
        <f>Summary!B3</f>
        <v>121</v>
      </c>
      <c r="D2" s="225">
        <f>Summary!B4</f>
        <v>35665</v>
      </c>
      <c r="E2" s="225">
        <f>Summary!B5</f>
        <v>7019</v>
      </c>
      <c r="F2" s="225">
        <f>Summary!B6</f>
        <v>792349</v>
      </c>
      <c r="G2" s="225">
        <f>Summary!B7</f>
        <v>7168</v>
      </c>
      <c r="H2" s="225">
        <f>Summary!B8</f>
        <v>828014</v>
      </c>
      <c r="I2" s="225">
        <f>Summary!B9</f>
        <v>145</v>
      </c>
      <c r="J2" s="225">
        <f>Summary!B10</f>
        <v>111</v>
      </c>
      <c r="K2" s="225">
        <f>Summary!B11</f>
        <v>25596</v>
      </c>
      <c r="L2" s="225">
        <f>Summary!B12</f>
        <v>2444</v>
      </c>
      <c r="M2" s="225">
        <f>Summary!B13</f>
        <v>328485</v>
      </c>
      <c r="N2" s="225">
        <f>Summary!B14</f>
        <v>354081</v>
      </c>
      <c r="O2" s="225">
        <f>Summary!B15</f>
        <v>9</v>
      </c>
      <c r="P2" s="225">
        <f>Summary!B16</f>
        <v>2849</v>
      </c>
      <c r="Q2" s="225">
        <f>Summary!B17</f>
        <v>9</v>
      </c>
      <c r="R2" s="225">
        <f>Summary!B18</f>
        <v>2393</v>
      </c>
      <c r="S2" s="225">
        <f>Summary!B19</f>
        <v>1</v>
      </c>
      <c r="T2" s="225">
        <f>Summary!B20</f>
        <v>363</v>
      </c>
      <c r="U2" s="225">
        <f>Summary!B21</f>
        <v>93</v>
      </c>
      <c r="V2" s="225">
        <f>Summary!B22</f>
        <v>94</v>
      </c>
      <c r="W2" s="225">
        <f>Summary!B23</f>
        <v>8</v>
      </c>
      <c r="X2" s="225">
        <f>Summary!B24</f>
        <v>4</v>
      </c>
      <c r="Y2" s="225">
        <f>Summary!B25</f>
        <v>4</v>
      </c>
      <c r="Z2" s="225">
        <f>Summary!B26</f>
        <v>1125</v>
      </c>
      <c r="AA2" s="226">
        <f>I2+E2</f>
        <v>7164</v>
      </c>
      <c r="AB2" s="226">
        <f>K2+F2</f>
        <v>817945</v>
      </c>
      <c r="AC2" s="227">
        <f>K2/H2</f>
        <v>0.0309125208</v>
      </c>
      <c r="AD2" s="227">
        <f>I2/G2</f>
        <v>0.02022879464</v>
      </c>
    </row>
    <row r="3">
      <c r="A3" s="228"/>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row>
    <row r="4">
      <c r="A4" s="228"/>
      <c r="B4" s="228"/>
      <c r="C4" s="228"/>
      <c r="D4" s="228"/>
      <c r="E4" s="228"/>
      <c r="F4" s="228"/>
      <c r="G4" s="228"/>
      <c r="H4" s="228"/>
      <c r="I4" s="228"/>
      <c r="J4" s="228"/>
      <c r="K4" s="228"/>
      <c r="L4" s="228"/>
      <c r="M4" s="228"/>
      <c r="N4" s="228"/>
      <c r="O4" s="228"/>
      <c r="P4" s="228"/>
      <c r="Q4" s="228"/>
      <c r="R4" s="228"/>
      <c r="S4" s="228"/>
      <c r="T4" s="228"/>
      <c r="U4" s="228"/>
      <c r="V4" s="228"/>
      <c r="W4" s="228"/>
      <c r="X4" s="228"/>
      <c r="Y4" s="228"/>
      <c r="Z4" s="228"/>
      <c r="AA4" s="228"/>
      <c r="AB4" s="228"/>
      <c r="AC4" s="228"/>
      <c r="AD4" s="228"/>
    </row>
    <row r="5">
      <c r="A5" s="228"/>
      <c r="B5" s="228"/>
      <c r="C5" s="228"/>
      <c r="D5" s="228"/>
      <c r="E5" s="228"/>
      <c r="F5" s="228"/>
      <c r="G5" s="228"/>
      <c r="H5" s="228"/>
      <c r="I5" s="228"/>
      <c r="J5" s="228"/>
      <c r="K5" s="228"/>
      <c r="L5" s="228"/>
      <c r="M5" s="228"/>
      <c r="N5" s="228"/>
      <c r="O5" s="228"/>
      <c r="P5" s="228"/>
      <c r="Q5" s="228"/>
      <c r="R5" s="228"/>
      <c r="S5" s="228"/>
      <c r="T5" s="228"/>
      <c r="U5" s="228"/>
      <c r="V5" s="228"/>
      <c r="W5" s="228"/>
      <c r="X5" s="228"/>
      <c r="Y5" s="228"/>
      <c r="Z5" s="228"/>
      <c r="AA5" s="228"/>
      <c r="AB5" s="228"/>
      <c r="AC5" s="228"/>
      <c r="AD5" s="228"/>
    </row>
    <row r="6">
      <c r="A6" s="228"/>
      <c r="B6" s="228"/>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row>
    <row r="7">
      <c r="A7" s="228"/>
      <c r="B7" s="228"/>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row>
    <row r="8">
      <c r="A8" s="228"/>
      <c r="B8" s="228"/>
      <c r="C8" s="228"/>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228"/>
      <c r="B9" s="228"/>
      <c r="C9" s="228"/>
      <c r="D9" s="228"/>
      <c r="E9" s="228"/>
      <c r="F9" s="228"/>
      <c r="G9" s="228"/>
      <c r="H9" s="228"/>
      <c r="I9" s="228"/>
      <c r="J9" s="228"/>
      <c r="K9" s="228"/>
      <c r="L9" s="228"/>
      <c r="M9" s="228"/>
      <c r="N9" s="228"/>
      <c r="O9" s="228"/>
      <c r="P9" s="228"/>
      <c r="Q9" s="228"/>
      <c r="R9" s="228"/>
      <c r="S9" s="228"/>
      <c r="T9" s="228"/>
      <c r="U9" s="228"/>
      <c r="V9" s="228"/>
      <c r="W9" s="228"/>
      <c r="X9" s="228"/>
      <c r="Y9" s="228"/>
      <c r="Z9" s="228"/>
      <c r="AA9" s="228"/>
      <c r="AB9" s="228"/>
      <c r="AC9" s="228"/>
      <c r="AD9" s="228"/>
    </row>
    <row r="10">
      <c r="A10" s="228"/>
      <c r="B10" s="228"/>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8"/>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8"/>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row>
    <row r="13">
      <c r="A13" s="228"/>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row>
    <row r="14">
      <c r="A14" s="228"/>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row>
    <row r="15">
      <c r="A15" s="228"/>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row>
    <row r="16">
      <c r="A16" s="228"/>
      <c r="B16" s="228"/>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row>
    <row r="17">
      <c r="A17" s="228"/>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c r="A18" s="228"/>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c r="A19" s="228"/>
      <c r="B19" s="228"/>
      <c r="C19" s="228"/>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8"/>
    </row>
    <row r="20">
      <c r="A20" s="228"/>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c r="A21" s="228"/>
      <c r="B21" s="228"/>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row>
    <row r="22">
      <c r="A22" s="228"/>
      <c r="B22" s="228"/>
      <c r="C22" s="228"/>
      <c r="D22" s="228"/>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row>
    <row r="23">
      <c r="A23" s="228"/>
      <c r="B23" s="228"/>
      <c r="C23" s="228"/>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row>
    <row r="24">
      <c r="A24" s="228"/>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row>
    <row r="25">
      <c r="A25" s="228"/>
      <c r="B25" s="228"/>
      <c r="C25" s="228"/>
      <c r="D25" s="228"/>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row>
    <row r="26">
      <c r="A26" s="228"/>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row>
    <row r="27">
      <c r="A27" s="228"/>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row>
    <row r="28">
      <c r="A28" s="228"/>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row>
    <row r="29">
      <c r="A29" s="228"/>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row>
    <row r="30">
      <c r="A30" s="228"/>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row>
    <row r="31">
      <c r="A31" s="228"/>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c r="A32" s="228"/>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c r="A33" s="228"/>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c r="A34" s="228"/>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c r="A35" s="228"/>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c r="A36" s="228"/>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c r="A37" s="228"/>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c r="A38" s="228"/>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c r="A39" s="228"/>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c r="A40" s="228"/>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c r="A41" s="228"/>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c r="A42" s="228"/>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c r="A43" s="228"/>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c r="A44" s="228"/>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c r="A45" s="228"/>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c r="A46" s="228"/>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c r="A47" s="228"/>
      <c r="B47" s="228"/>
      <c r="C47" s="228"/>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c r="A48" s="228"/>
      <c r="B48" s="228"/>
      <c r="C48" s="228"/>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c r="A49" s="228"/>
      <c r="B49" s="228"/>
      <c r="C49" s="228"/>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c r="A50" s="228"/>
      <c r="B50" s="228"/>
      <c r="C50" s="228"/>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c r="A51" s="228"/>
      <c r="B51" s="228"/>
      <c r="C51" s="228"/>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c r="A52" s="228"/>
      <c r="B52" s="228"/>
      <c r="C52" s="228"/>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c r="A53" s="228"/>
      <c r="B53" s="228"/>
      <c r="C53" s="228"/>
      <c r="D53" s="228"/>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c r="A54" s="228"/>
      <c r="B54" s="228"/>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c r="A55" s="228"/>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c r="A56" s="228"/>
      <c r="B56" s="228"/>
      <c r="C56" s="228"/>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c r="A57" s="228"/>
      <c r="B57" s="228"/>
      <c r="C57" s="228"/>
      <c r="D57" s="228"/>
      <c r="E57" s="228"/>
      <c r="F57" s="228"/>
      <c r="G57" s="228"/>
      <c r="H57" s="228"/>
      <c r="I57" s="228"/>
      <c r="J57" s="228"/>
      <c r="K57" s="228"/>
      <c r="L57" s="228"/>
      <c r="M57" s="228"/>
      <c r="N57" s="228"/>
      <c r="O57" s="228"/>
      <c r="P57" s="228"/>
      <c r="Q57" s="228"/>
      <c r="R57" s="228"/>
      <c r="S57" s="228"/>
      <c r="T57" s="228"/>
      <c r="U57" s="228"/>
      <c r="V57" s="228"/>
      <c r="W57" s="228"/>
      <c r="X57" s="228"/>
      <c r="Y57" s="228"/>
      <c r="Z57" s="228"/>
      <c r="AA57" s="228"/>
      <c r="AB57" s="228"/>
      <c r="AC57" s="228"/>
      <c r="AD57" s="228"/>
    </row>
    <row r="58">
      <c r="A58" s="228"/>
      <c r="B58" s="228"/>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row>
    <row r="59">
      <c r="A59" s="228"/>
      <c r="B59" s="228"/>
      <c r="C59" s="228"/>
      <c r="D59" s="228"/>
      <c r="E59" s="228"/>
      <c r="F59" s="228"/>
      <c r="G59" s="228"/>
      <c r="H59" s="228"/>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c r="B60" s="228"/>
      <c r="C60" s="228"/>
      <c r="D60" s="228"/>
      <c r="E60" s="228"/>
      <c r="F60" s="228"/>
      <c r="G60" s="228"/>
      <c r="H60" s="228"/>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c r="B61" s="228"/>
      <c r="C61" s="228"/>
      <c r="D61" s="228"/>
      <c r="E61" s="228"/>
      <c r="F61" s="228"/>
      <c r="G61" s="228"/>
      <c r="H61" s="228"/>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c r="B62" s="228"/>
      <c r="C62" s="228"/>
      <c r="D62" s="228"/>
      <c r="E62" s="228"/>
      <c r="F62" s="228"/>
      <c r="G62" s="228"/>
      <c r="H62" s="228"/>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c r="B63" s="228"/>
      <c r="C63" s="228"/>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c r="B64" s="228"/>
      <c r="C64" s="228"/>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c r="B65" s="228"/>
      <c r="C65" s="228"/>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c r="B66" s="228"/>
      <c r="C66" s="228"/>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c r="B67" s="228"/>
      <c r="C67" s="228"/>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c r="B68" s="228"/>
      <c r="C68" s="228"/>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c r="B69" s="228"/>
      <c r="C69" s="228"/>
      <c r="D69" s="228"/>
      <c r="E69" s="228"/>
      <c r="F69" s="228"/>
      <c r="G69" s="228"/>
      <c r="H69" s="228"/>
      <c r="I69" s="228"/>
      <c r="J69" s="228"/>
      <c r="K69" s="228"/>
      <c r="L69" s="228"/>
      <c r="M69" s="228"/>
      <c r="N69" s="228"/>
      <c r="O69" s="228"/>
      <c r="P69" s="228"/>
      <c r="Q69" s="228"/>
      <c r="R69" s="228"/>
      <c r="S69" s="228"/>
      <c r="T69" s="228"/>
      <c r="U69" s="228"/>
      <c r="V69" s="228"/>
      <c r="W69" s="228"/>
      <c r="X69" s="228"/>
      <c r="Y69" s="228"/>
      <c r="Z69" s="228"/>
      <c r="AA69" s="228"/>
      <c r="AB69" s="228"/>
      <c r="AC69" s="228"/>
      <c r="AD69" s="228"/>
    </row>
    <row r="70">
      <c r="A70" s="228"/>
      <c r="B70" s="228"/>
      <c r="C70" s="228"/>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c r="B71" s="228"/>
      <c r="C71" s="228"/>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c r="B72" s="228"/>
      <c r="C72" s="228"/>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c r="B73" s="228"/>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c r="B74" s="228"/>
      <c r="C74" s="228"/>
      <c r="D74" s="228"/>
      <c r="E74" s="228"/>
      <c r="F74" s="228"/>
      <c r="G74" s="228"/>
      <c r="H74" s="228"/>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28"/>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row>
    <row r="76">
      <c r="A76" s="228"/>
      <c r="B76" s="228"/>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row>
    <row r="77">
      <c r="A77" s="228"/>
      <c r="B77" s="228"/>
      <c r="C77" s="228"/>
      <c r="D77" s="228"/>
      <c r="E77" s="228"/>
      <c r="F77" s="228"/>
      <c r="G77" s="228"/>
      <c r="H77" s="228"/>
      <c r="I77" s="228"/>
      <c r="J77" s="228"/>
      <c r="K77" s="228"/>
      <c r="L77" s="228"/>
      <c r="M77" s="228"/>
      <c r="N77" s="228"/>
      <c r="O77" s="228"/>
      <c r="P77" s="228"/>
      <c r="Q77" s="228"/>
      <c r="R77" s="228"/>
      <c r="S77" s="228"/>
      <c r="T77" s="228"/>
      <c r="U77" s="228"/>
      <c r="V77" s="228"/>
      <c r="W77" s="228"/>
      <c r="X77" s="228"/>
      <c r="Y77" s="228"/>
      <c r="Z77" s="228"/>
      <c r="AA77" s="228"/>
      <c r="AB77" s="228"/>
      <c r="AC77" s="228"/>
      <c r="AD77" s="228"/>
    </row>
    <row r="78">
      <c r="A78" s="228"/>
      <c r="B78" s="228"/>
      <c r="C78" s="228"/>
      <c r="D78" s="228"/>
      <c r="E78" s="228"/>
      <c r="F78" s="228"/>
      <c r="G78" s="228"/>
      <c r="H78" s="228"/>
      <c r="I78" s="228"/>
      <c r="J78" s="228"/>
      <c r="K78" s="228"/>
      <c r="L78" s="228"/>
      <c r="M78" s="228"/>
      <c r="N78" s="228"/>
      <c r="O78" s="228"/>
      <c r="P78" s="228"/>
      <c r="Q78" s="228"/>
      <c r="R78" s="228"/>
      <c r="S78" s="228"/>
      <c r="T78" s="228"/>
      <c r="U78" s="228"/>
      <c r="V78" s="228"/>
      <c r="W78" s="228"/>
      <c r="X78" s="228"/>
      <c r="Y78" s="228"/>
      <c r="Z78" s="228"/>
      <c r="AA78" s="228"/>
      <c r="AB78" s="228"/>
      <c r="AC78" s="228"/>
      <c r="AD78" s="228"/>
    </row>
    <row r="79">
      <c r="A79" s="228"/>
      <c r="B79" s="228"/>
      <c r="C79" s="228"/>
      <c r="D79" s="228"/>
      <c r="E79" s="228"/>
      <c r="F79" s="228"/>
      <c r="G79" s="228"/>
      <c r="H79" s="228"/>
      <c r="I79" s="228"/>
      <c r="J79" s="228"/>
      <c r="K79" s="228"/>
      <c r="L79" s="228"/>
      <c r="M79" s="228"/>
      <c r="N79" s="228"/>
      <c r="O79" s="228"/>
      <c r="P79" s="228"/>
      <c r="Q79" s="228"/>
      <c r="R79" s="228"/>
      <c r="S79" s="228"/>
      <c r="T79" s="228"/>
      <c r="U79" s="228"/>
      <c r="V79" s="228"/>
      <c r="W79" s="228"/>
      <c r="X79" s="228"/>
      <c r="Y79" s="228"/>
      <c r="Z79" s="228"/>
      <c r="AA79" s="228"/>
      <c r="AB79" s="228"/>
      <c r="AC79" s="228"/>
      <c r="AD79" s="228"/>
    </row>
    <row r="80">
      <c r="A80" s="228"/>
      <c r="B80" s="228"/>
      <c r="C80" s="228"/>
      <c r="D80" s="228"/>
      <c r="E80" s="228"/>
      <c r="F80" s="228"/>
      <c r="G80" s="228"/>
      <c r="H80" s="228"/>
      <c r="I80" s="228"/>
      <c r="J80" s="228"/>
      <c r="K80" s="228"/>
      <c r="L80" s="228"/>
      <c r="M80" s="228"/>
      <c r="N80" s="228"/>
      <c r="O80" s="228"/>
      <c r="P80" s="228"/>
      <c r="Q80" s="228"/>
      <c r="R80" s="228"/>
      <c r="S80" s="228"/>
      <c r="T80" s="228"/>
      <c r="U80" s="228"/>
      <c r="V80" s="228"/>
      <c r="W80" s="228"/>
      <c r="X80" s="228"/>
      <c r="Y80" s="228"/>
      <c r="Z80" s="228"/>
      <c r="AA80" s="228"/>
      <c r="AB80" s="228"/>
      <c r="AC80" s="228"/>
      <c r="AD80" s="228"/>
    </row>
    <row r="81">
      <c r="A81" s="228"/>
      <c r="B81" s="228"/>
      <c r="C81" s="228"/>
      <c r="D81" s="228"/>
      <c r="E81" s="228"/>
      <c r="F81" s="228"/>
      <c r="G81" s="228"/>
      <c r="H81" s="228"/>
      <c r="I81" s="228"/>
      <c r="J81" s="228"/>
      <c r="K81" s="228"/>
      <c r="L81" s="228"/>
      <c r="M81" s="228"/>
      <c r="N81" s="228"/>
      <c r="O81" s="228"/>
      <c r="P81" s="228"/>
      <c r="Q81" s="228"/>
      <c r="R81" s="228"/>
      <c r="S81" s="228"/>
      <c r="T81" s="228"/>
      <c r="U81" s="228"/>
      <c r="V81" s="228"/>
      <c r="W81" s="228"/>
      <c r="X81" s="228"/>
      <c r="Y81" s="228"/>
      <c r="Z81" s="228"/>
      <c r="AA81" s="228"/>
      <c r="AB81" s="228"/>
      <c r="AC81" s="228"/>
      <c r="AD81" s="228"/>
    </row>
    <row r="82">
      <c r="A82" s="228"/>
      <c r="B82" s="228"/>
      <c r="C82" s="228"/>
      <c r="D82" s="228"/>
      <c r="E82" s="228"/>
      <c r="F82" s="228"/>
      <c r="G82" s="228"/>
      <c r="H82" s="228"/>
      <c r="I82" s="228"/>
      <c r="J82" s="228"/>
      <c r="K82" s="228"/>
      <c r="L82" s="228"/>
      <c r="M82" s="228"/>
      <c r="N82" s="228"/>
      <c r="O82" s="228"/>
      <c r="P82" s="228"/>
      <c r="Q82" s="228"/>
      <c r="R82" s="228"/>
      <c r="S82" s="228"/>
      <c r="T82" s="228"/>
      <c r="U82" s="228"/>
      <c r="V82" s="228"/>
      <c r="W82" s="228"/>
      <c r="X82" s="228"/>
      <c r="Y82" s="228"/>
      <c r="Z82" s="228"/>
      <c r="AA82" s="228"/>
      <c r="AB82" s="228"/>
      <c r="AC82" s="228"/>
      <c r="AD82" s="228"/>
    </row>
    <row r="83">
      <c r="A83" s="228"/>
      <c r="B83" s="228"/>
      <c r="C83" s="228"/>
      <c r="D83" s="228"/>
      <c r="E83" s="228"/>
      <c r="F83" s="228"/>
      <c r="G83" s="228"/>
      <c r="H83" s="228"/>
      <c r="I83" s="228"/>
      <c r="J83" s="228"/>
      <c r="K83" s="228"/>
      <c r="L83" s="228"/>
      <c r="M83" s="228"/>
      <c r="N83" s="228"/>
      <c r="O83" s="228"/>
      <c r="P83" s="228"/>
      <c r="Q83" s="228"/>
      <c r="R83" s="228"/>
      <c r="S83" s="228"/>
      <c r="T83" s="228"/>
      <c r="U83" s="228"/>
      <c r="V83" s="228"/>
      <c r="W83" s="228"/>
      <c r="X83" s="228"/>
      <c r="Y83" s="228"/>
      <c r="Z83" s="228"/>
      <c r="AA83" s="228"/>
      <c r="AB83" s="228"/>
      <c r="AC83" s="228"/>
      <c r="AD83" s="228"/>
    </row>
    <row r="84">
      <c r="A84" s="228"/>
      <c r="B84" s="228"/>
      <c r="C84" s="228"/>
      <c r="D84" s="228"/>
      <c r="E84" s="228"/>
      <c r="F84" s="228"/>
      <c r="G84" s="228"/>
      <c r="H84" s="228"/>
      <c r="I84" s="228"/>
      <c r="J84" s="228"/>
      <c r="K84" s="228"/>
      <c r="L84" s="228"/>
      <c r="M84" s="228"/>
      <c r="N84" s="228"/>
      <c r="O84" s="228"/>
      <c r="P84" s="228"/>
      <c r="Q84" s="228"/>
      <c r="R84" s="228"/>
      <c r="S84" s="228"/>
      <c r="T84" s="228"/>
      <c r="U84" s="228"/>
      <c r="V84" s="228"/>
      <c r="W84" s="228"/>
      <c r="X84" s="228"/>
      <c r="Y84" s="228"/>
      <c r="Z84" s="228"/>
      <c r="AA84" s="228"/>
      <c r="AB84" s="228"/>
      <c r="AC84" s="228"/>
      <c r="AD84" s="228"/>
    </row>
    <row r="85">
      <c r="A85" s="228"/>
      <c r="B85" s="228"/>
      <c r="C85" s="228"/>
      <c r="D85" s="228"/>
      <c r="E85" s="228"/>
      <c r="F85" s="228"/>
      <c r="G85" s="228"/>
      <c r="H85" s="228"/>
      <c r="I85" s="228"/>
      <c r="J85" s="228"/>
      <c r="K85" s="228"/>
      <c r="L85" s="228"/>
      <c r="M85" s="228"/>
      <c r="N85" s="228"/>
      <c r="O85" s="228"/>
      <c r="P85" s="228"/>
      <c r="Q85" s="228"/>
      <c r="R85" s="228"/>
      <c r="S85" s="228"/>
      <c r="T85" s="228"/>
      <c r="U85" s="228"/>
      <c r="V85" s="228"/>
      <c r="W85" s="228"/>
      <c r="X85" s="228"/>
      <c r="Y85" s="228"/>
      <c r="Z85" s="228"/>
      <c r="AA85" s="228"/>
      <c r="AB85" s="228"/>
      <c r="AC85" s="228"/>
      <c r="AD85" s="228"/>
    </row>
    <row r="86">
      <c r="A86" s="228"/>
      <c r="B86" s="228"/>
      <c r="C86" s="228"/>
      <c r="D86" s="228"/>
      <c r="E86" s="228"/>
      <c r="F86" s="228"/>
      <c r="G86" s="228"/>
      <c r="H86" s="228"/>
      <c r="I86" s="228"/>
      <c r="J86" s="228"/>
      <c r="K86" s="228"/>
      <c r="L86" s="228"/>
      <c r="M86" s="228"/>
      <c r="N86" s="228"/>
      <c r="O86" s="228"/>
      <c r="P86" s="228"/>
      <c r="Q86" s="228"/>
      <c r="R86" s="228"/>
      <c r="S86" s="228"/>
      <c r="T86" s="228"/>
      <c r="U86" s="228"/>
      <c r="V86" s="228"/>
      <c r="W86" s="228"/>
      <c r="X86" s="228"/>
      <c r="Y86" s="228"/>
      <c r="Z86" s="228"/>
      <c r="AA86" s="228"/>
      <c r="AB86" s="228"/>
      <c r="AC86" s="228"/>
      <c r="AD86" s="228"/>
    </row>
    <row r="87">
      <c r="A87" s="228"/>
      <c r="B87" s="228"/>
      <c r="C87" s="228"/>
      <c r="D87" s="228"/>
      <c r="E87" s="228"/>
      <c r="F87" s="228"/>
      <c r="G87" s="228"/>
      <c r="H87" s="228"/>
      <c r="I87" s="228"/>
      <c r="J87" s="228"/>
      <c r="K87" s="228"/>
      <c r="L87" s="228"/>
      <c r="M87" s="228"/>
      <c r="N87" s="228"/>
      <c r="O87" s="228"/>
      <c r="P87" s="228"/>
      <c r="Q87" s="228"/>
      <c r="R87" s="228"/>
      <c r="S87" s="228"/>
      <c r="T87" s="228"/>
      <c r="U87" s="228"/>
      <c r="V87" s="228"/>
      <c r="W87" s="228"/>
      <c r="X87" s="228"/>
      <c r="Y87" s="228"/>
      <c r="Z87" s="228"/>
      <c r="AA87" s="228"/>
      <c r="AB87" s="228"/>
      <c r="AC87" s="228"/>
      <c r="AD87" s="228"/>
    </row>
    <row r="88">
      <c r="A88" s="228"/>
      <c r="B88" s="228"/>
      <c r="C88" s="228"/>
      <c r="D88" s="228"/>
      <c r="E88" s="228"/>
      <c r="F88" s="228"/>
      <c r="G88" s="228"/>
      <c r="H88" s="228"/>
      <c r="I88" s="228"/>
      <c r="J88" s="228"/>
      <c r="K88" s="228"/>
      <c r="L88" s="228"/>
      <c r="M88" s="228"/>
      <c r="N88" s="228"/>
      <c r="O88" s="228"/>
      <c r="P88" s="228"/>
      <c r="Q88" s="228"/>
      <c r="R88" s="228"/>
      <c r="S88" s="228"/>
      <c r="T88" s="228"/>
      <c r="U88" s="228"/>
      <c r="V88" s="228"/>
      <c r="W88" s="228"/>
      <c r="X88" s="228"/>
      <c r="Y88" s="228"/>
      <c r="Z88" s="228"/>
      <c r="AA88" s="228"/>
      <c r="AB88" s="228"/>
      <c r="AC88" s="228"/>
      <c r="AD88" s="228"/>
    </row>
    <row r="89">
      <c r="A89" s="228"/>
      <c r="B89" s="228"/>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row>
    <row r="90">
      <c r="A90" s="228"/>
      <c r="B90" s="228"/>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row>
    <row r="91">
      <c r="A91" s="228"/>
      <c r="B91" s="228"/>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row>
    <row r="92">
      <c r="A92" s="228"/>
      <c r="B92" s="228"/>
      <c r="C92" s="228"/>
      <c r="D92" s="228"/>
      <c r="E92" s="228"/>
      <c r="F92" s="228"/>
      <c r="G92" s="228"/>
      <c r="H92" s="228"/>
      <c r="I92" s="228"/>
      <c r="J92" s="228"/>
      <c r="K92" s="228"/>
      <c r="L92" s="228"/>
      <c r="M92" s="228"/>
      <c r="N92" s="228"/>
      <c r="O92" s="228"/>
      <c r="P92" s="228"/>
      <c r="Q92" s="228"/>
      <c r="R92" s="228"/>
      <c r="S92" s="228"/>
      <c r="T92" s="228"/>
      <c r="U92" s="228"/>
      <c r="V92" s="228"/>
      <c r="W92" s="228"/>
      <c r="X92" s="228"/>
      <c r="Y92" s="228"/>
      <c r="Z92" s="228"/>
      <c r="AA92" s="228"/>
      <c r="AB92" s="228"/>
      <c r="AC92" s="228"/>
      <c r="AD92" s="228"/>
    </row>
    <row r="93">
      <c r="A93" s="228"/>
      <c r="B93" s="228"/>
      <c r="C93" s="228"/>
      <c r="D93" s="228"/>
      <c r="E93" s="228"/>
      <c r="F93" s="228"/>
      <c r="G93" s="228"/>
      <c r="H93" s="228"/>
      <c r="I93" s="228"/>
      <c r="J93" s="228"/>
      <c r="K93" s="228"/>
      <c r="L93" s="228"/>
      <c r="M93" s="228"/>
      <c r="N93" s="228"/>
      <c r="O93" s="228"/>
      <c r="P93" s="228"/>
      <c r="Q93" s="228"/>
      <c r="R93" s="228"/>
      <c r="S93" s="228"/>
      <c r="T93" s="228"/>
      <c r="U93" s="228"/>
      <c r="V93" s="228"/>
      <c r="W93" s="228"/>
      <c r="X93" s="228"/>
      <c r="Y93" s="228"/>
      <c r="Z93" s="228"/>
      <c r="AA93" s="228"/>
      <c r="AB93" s="228"/>
      <c r="AC93" s="228"/>
      <c r="AD93" s="228"/>
    </row>
    <row r="94">
      <c r="A94" s="228"/>
      <c r="B94" s="228"/>
      <c r="C94" s="228"/>
      <c r="D94" s="228"/>
      <c r="E94" s="228"/>
      <c r="F94" s="228"/>
      <c r="G94" s="228"/>
      <c r="H94" s="228"/>
      <c r="I94" s="228"/>
      <c r="J94" s="228"/>
      <c r="K94" s="228"/>
      <c r="L94" s="228"/>
      <c r="M94" s="228"/>
      <c r="N94" s="228"/>
      <c r="O94" s="228"/>
      <c r="P94" s="228"/>
      <c r="Q94" s="228"/>
      <c r="R94" s="228"/>
      <c r="S94" s="228"/>
      <c r="T94" s="228"/>
      <c r="U94" s="228"/>
      <c r="V94" s="228"/>
      <c r="W94" s="228"/>
      <c r="X94" s="228"/>
      <c r="Y94" s="228"/>
      <c r="Z94" s="228"/>
      <c r="AA94" s="228"/>
      <c r="AB94" s="228"/>
      <c r="AC94" s="228"/>
      <c r="AD94" s="228"/>
    </row>
    <row r="95">
      <c r="A95" s="228"/>
      <c r="B95" s="228"/>
      <c r="C95" s="228"/>
      <c r="D95" s="228"/>
      <c r="E95" s="228"/>
      <c r="F95" s="228"/>
      <c r="G95" s="228"/>
      <c r="H95" s="228"/>
      <c r="I95" s="228"/>
      <c r="J95" s="228"/>
      <c r="K95" s="228"/>
      <c r="L95" s="228"/>
      <c r="M95" s="228"/>
      <c r="N95" s="228"/>
      <c r="O95" s="228"/>
      <c r="P95" s="228"/>
      <c r="Q95" s="228"/>
      <c r="R95" s="228"/>
      <c r="S95" s="228"/>
      <c r="T95" s="228"/>
      <c r="U95" s="228"/>
      <c r="V95" s="228"/>
      <c r="W95" s="228"/>
      <c r="X95" s="228"/>
      <c r="Y95" s="228"/>
      <c r="Z95" s="228"/>
      <c r="AA95" s="228"/>
      <c r="AB95" s="228"/>
      <c r="AC95" s="228"/>
      <c r="AD95" s="228"/>
    </row>
    <row r="96">
      <c r="A96" s="228"/>
      <c r="B96" s="228"/>
      <c r="C96" s="228"/>
      <c r="D96" s="228"/>
      <c r="E96" s="228"/>
      <c r="F96" s="228"/>
      <c r="G96" s="228"/>
      <c r="H96" s="228"/>
      <c r="I96" s="228"/>
      <c r="J96" s="228"/>
      <c r="K96" s="228"/>
      <c r="L96" s="228"/>
      <c r="M96" s="228"/>
      <c r="N96" s="228"/>
      <c r="O96" s="228"/>
      <c r="P96" s="228"/>
      <c r="Q96" s="228"/>
      <c r="R96" s="228"/>
      <c r="S96" s="228"/>
      <c r="T96" s="228"/>
      <c r="U96" s="228"/>
      <c r="V96" s="228"/>
      <c r="W96" s="228"/>
      <c r="X96" s="228"/>
      <c r="Y96" s="228"/>
      <c r="Z96" s="228"/>
      <c r="AA96" s="228"/>
      <c r="AB96" s="228"/>
      <c r="AC96" s="228"/>
      <c r="AD96" s="228"/>
    </row>
    <row r="97">
      <c r="A97" s="228"/>
      <c r="B97" s="228"/>
      <c r="C97" s="228"/>
      <c r="D97" s="228"/>
      <c r="E97" s="228"/>
      <c r="F97" s="228"/>
      <c r="G97" s="228"/>
      <c r="H97" s="228"/>
      <c r="I97" s="228"/>
      <c r="J97" s="228"/>
      <c r="K97" s="228"/>
      <c r="L97" s="228"/>
      <c r="M97" s="228"/>
      <c r="N97" s="228"/>
      <c r="O97" s="228"/>
      <c r="P97" s="228"/>
      <c r="Q97" s="228"/>
      <c r="R97" s="228"/>
      <c r="S97" s="228"/>
      <c r="T97" s="228"/>
      <c r="U97" s="228"/>
      <c r="V97" s="228"/>
      <c r="W97" s="228"/>
      <c r="X97" s="228"/>
      <c r="Y97" s="228"/>
      <c r="Z97" s="228"/>
      <c r="AA97" s="228"/>
      <c r="AB97" s="228"/>
      <c r="AC97" s="228"/>
      <c r="AD97" s="228"/>
    </row>
    <row r="98">
      <c r="A98" s="228"/>
      <c r="B98" s="228"/>
      <c r="C98" s="228"/>
      <c r="D98" s="228"/>
      <c r="E98" s="228"/>
      <c r="F98" s="228"/>
      <c r="G98" s="228"/>
      <c r="H98" s="228"/>
      <c r="I98" s="228"/>
      <c r="J98" s="228"/>
      <c r="K98" s="228"/>
      <c r="L98" s="228"/>
      <c r="M98" s="228"/>
      <c r="N98" s="228"/>
      <c r="O98" s="228"/>
      <c r="P98" s="228"/>
      <c r="Q98" s="228"/>
      <c r="R98" s="228"/>
      <c r="S98" s="228"/>
      <c r="T98" s="228"/>
      <c r="U98" s="228"/>
      <c r="V98" s="228"/>
      <c r="W98" s="228"/>
      <c r="X98" s="228"/>
      <c r="Y98" s="228"/>
      <c r="Z98" s="228"/>
      <c r="AA98" s="228"/>
      <c r="AB98" s="228"/>
      <c r="AC98" s="228"/>
      <c r="AD98" s="228"/>
    </row>
    <row r="99">
      <c r="A99" s="228"/>
      <c r="B99" s="228"/>
      <c r="C99" s="228"/>
      <c r="D99" s="228"/>
      <c r="E99" s="228"/>
      <c r="F99" s="228"/>
      <c r="G99" s="228"/>
      <c r="H99" s="228"/>
      <c r="I99" s="228"/>
      <c r="J99" s="228"/>
      <c r="K99" s="228"/>
      <c r="L99" s="228"/>
      <c r="M99" s="228"/>
      <c r="N99" s="228"/>
      <c r="O99" s="228"/>
      <c r="P99" s="228"/>
      <c r="Q99" s="228"/>
      <c r="R99" s="228"/>
      <c r="S99" s="228"/>
      <c r="T99" s="228"/>
      <c r="U99" s="228"/>
      <c r="V99" s="228"/>
      <c r="W99" s="228"/>
      <c r="X99" s="228"/>
      <c r="Y99" s="228"/>
      <c r="Z99" s="228"/>
      <c r="AA99" s="228"/>
      <c r="AB99" s="228"/>
      <c r="AC99" s="228"/>
      <c r="AD99" s="228"/>
    </row>
    <row r="100">
      <c r="A100" s="228"/>
      <c r="B100" s="228"/>
      <c r="C100" s="228"/>
      <c r="D100" s="228"/>
      <c r="E100" s="228"/>
      <c r="F100" s="228"/>
      <c r="G100" s="228"/>
      <c r="H100" s="228"/>
      <c r="I100" s="228"/>
      <c r="J100" s="228"/>
      <c r="K100" s="228"/>
      <c r="L100" s="228"/>
      <c r="M100" s="228"/>
      <c r="N100" s="228"/>
      <c r="O100" s="228"/>
      <c r="P100" s="228"/>
      <c r="Q100" s="228"/>
      <c r="R100" s="228"/>
      <c r="S100" s="228"/>
      <c r="T100" s="228"/>
      <c r="U100" s="228"/>
      <c r="V100" s="228"/>
      <c r="W100" s="228"/>
      <c r="X100" s="228"/>
      <c r="Y100" s="228"/>
      <c r="Z100" s="228"/>
      <c r="AA100" s="228"/>
      <c r="AB100" s="228"/>
      <c r="AC100" s="228"/>
      <c r="AD100" s="228"/>
    </row>
    <row r="101">
      <c r="A101" s="228"/>
      <c r="B101" s="228"/>
      <c r="C101" s="228"/>
      <c r="D101" s="228"/>
      <c r="E101" s="228"/>
      <c r="F101" s="228"/>
      <c r="G101" s="228"/>
      <c r="H101" s="228"/>
      <c r="I101" s="228"/>
      <c r="J101" s="228"/>
      <c r="K101" s="228"/>
      <c r="L101" s="228"/>
      <c r="M101" s="228"/>
      <c r="N101" s="228"/>
      <c r="O101" s="228"/>
      <c r="P101" s="228"/>
      <c r="Q101" s="228"/>
      <c r="R101" s="228"/>
      <c r="S101" s="228"/>
      <c r="T101" s="228"/>
      <c r="U101" s="228"/>
      <c r="V101" s="228"/>
      <c r="W101" s="228"/>
      <c r="X101" s="228"/>
      <c r="Y101" s="228"/>
      <c r="Z101" s="228"/>
      <c r="AA101" s="228"/>
      <c r="AB101" s="228"/>
      <c r="AC101" s="228"/>
      <c r="AD101" s="228"/>
    </row>
    <row r="102">
      <c r="A102" s="228"/>
      <c r="B102" s="228"/>
      <c r="C102" s="228"/>
      <c r="D102" s="228"/>
      <c r="E102" s="228"/>
      <c r="F102" s="228"/>
      <c r="G102" s="228"/>
      <c r="H102" s="228"/>
      <c r="I102" s="228"/>
      <c r="J102" s="228"/>
      <c r="K102" s="228"/>
      <c r="L102" s="228"/>
      <c r="M102" s="228"/>
      <c r="N102" s="228"/>
      <c r="O102" s="228"/>
      <c r="P102" s="228"/>
      <c r="Q102" s="228"/>
      <c r="R102" s="228"/>
      <c r="S102" s="228"/>
      <c r="T102" s="228"/>
      <c r="U102" s="228"/>
      <c r="V102" s="228"/>
      <c r="W102" s="228"/>
      <c r="X102" s="228"/>
      <c r="Y102" s="228"/>
      <c r="Z102" s="228"/>
      <c r="AA102" s="228"/>
      <c r="AB102" s="228"/>
      <c r="AC102" s="228"/>
      <c r="AD102" s="228"/>
    </row>
    <row r="103">
      <c r="A103" s="228"/>
      <c r="B103" s="228"/>
      <c r="C103" s="228"/>
      <c r="D103" s="228"/>
      <c r="E103" s="228"/>
      <c r="F103" s="228"/>
      <c r="G103" s="228"/>
      <c r="H103" s="228"/>
      <c r="I103" s="228"/>
      <c r="J103" s="228"/>
      <c r="K103" s="228"/>
      <c r="L103" s="228"/>
      <c r="M103" s="228"/>
      <c r="N103" s="228"/>
      <c r="O103" s="228"/>
      <c r="P103" s="228"/>
      <c r="Q103" s="228"/>
      <c r="R103" s="228"/>
      <c r="S103" s="228"/>
      <c r="T103" s="228"/>
      <c r="U103" s="228"/>
      <c r="V103" s="228"/>
      <c r="W103" s="228"/>
      <c r="X103" s="228"/>
      <c r="Y103" s="228"/>
      <c r="Z103" s="228"/>
      <c r="AA103" s="228"/>
      <c r="AB103" s="228"/>
      <c r="AC103" s="228"/>
      <c r="AD103" s="228"/>
    </row>
    <row r="104">
      <c r="A104" s="228"/>
      <c r="B104" s="228"/>
      <c r="C104" s="228"/>
      <c r="D104" s="228"/>
      <c r="E104" s="228"/>
      <c r="F104" s="228"/>
      <c r="G104" s="228"/>
      <c r="H104" s="228"/>
      <c r="I104" s="228"/>
      <c r="J104" s="228"/>
      <c r="K104" s="228"/>
      <c r="L104" s="228"/>
      <c r="M104" s="228"/>
      <c r="N104" s="228"/>
      <c r="O104" s="228"/>
      <c r="P104" s="228"/>
      <c r="Q104" s="228"/>
      <c r="R104" s="228"/>
      <c r="S104" s="228"/>
      <c r="T104" s="228"/>
      <c r="U104" s="228"/>
      <c r="V104" s="228"/>
      <c r="W104" s="228"/>
      <c r="X104" s="228"/>
      <c r="Y104" s="228"/>
      <c r="Z104" s="228"/>
      <c r="AA104" s="228"/>
      <c r="AB104" s="228"/>
      <c r="AC104" s="228"/>
      <c r="AD104" s="228"/>
    </row>
    <row r="105">
      <c r="A105" s="228"/>
      <c r="B105" s="228"/>
      <c r="C105" s="228"/>
      <c r="D105" s="228"/>
      <c r="E105" s="228"/>
      <c r="F105" s="228"/>
      <c r="G105" s="228"/>
      <c r="H105" s="228"/>
      <c r="I105" s="228"/>
      <c r="J105" s="228"/>
      <c r="K105" s="228"/>
      <c r="L105" s="228"/>
      <c r="M105" s="228"/>
      <c r="N105" s="228"/>
      <c r="O105" s="228"/>
      <c r="P105" s="228"/>
      <c r="Q105" s="228"/>
      <c r="R105" s="228"/>
      <c r="S105" s="228"/>
      <c r="T105" s="228"/>
      <c r="U105" s="228"/>
      <c r="V105" s="228"/>
      <c r="W105" s="228"/>
      <c r="X105" s="228"/>
      <c r="Y105" s="228"/>
      <c r="Z105" s="228"/>
      <c r="AA105" s="228"/>
      <c r="AB105" s="228"/>
      <c r="AC105" s="228"/>
      <c r="AD105" s="228"/>
    </row>
    <row r="106">
      <c r="A106" s="228"/>
      <c r="B106" s="228"/>
      <c r="C106" s="228"/>
      <c r="D106" s="228"/>
      <c r="E106" s="228"/>
      <c r="F106" s="228"/>
      <c r="G106" s="228"/>
      <c r="H106" s="228"/>
      <c r="I106" s="228"/>
      <c r="J106" s="228"/>
      <c r="K106" s="228"/>
      <c r="L106" s="228"/>
      <c r="M106" s="228"/>
      <c r="N106" s="228"/>
      <c r="O106" s="228"/>
      <c r="P106" s="228"/>
      <c r="Q106" s="228"/>
      <c r="R106" s="228"/>
      <c r="S106" s="228"/>
      <c r="T106" s="228"/>
      <c r="U106" s="228"/>
      <c r="V106" s="228"/>
      <c r="W106" s="228"/>
      <c r="X106" s="228"/>
      <c r="Y106" s="228"/>
      <c r="Z106" s="228"/>
      <c r="AA106" s="228"/>
      <c r="AB106" s="228"/>
      <c r="AC106" s="228"/>
      <c r="AD106" s="228"/>
    </row>
    <row r="107">
      <c r="A107" s="228"/>
      <c r="B107" s="228"/>
      <c r="C107" s="228"/>
      <c r="D107" s="228"/>
      <c r="E107" s="228"/>
      <c r="F107" s="228"/>
      <c r="G107" s="228"/>
      <c r="H107" s="228"/>
      <c r="I107" s="228"/>
      <c r="J107" s="228"/>
      <c r="K107" s="228"/>
      <c r="L107" s="228"/>
      <c r="M107" s="228"/>
      <c r="N107" s="228"/>
      <c r="O107" s="228"/>
      <c r="P107" s="228"/>
      <c r="Q107" s="228"/>
      <c r="R107" s="228"/>
      <c r="S107" s="228"/>
      <c r="T107" s="228"/>
      <c r="U107" s="228"/>
      <c r="V107" s="228"/>
      <c r="W107" s="228"/>
      <c r="X107" s="228"/>
      <c r="Y107" s="228"/>
      <c r="Z107" s="228"/>
      <c r="AA107" s="228"/>
      <c r="AB107" s="228"/>
      <c r="AC107" s="228"/>
      <c r="AD107" s="228"/>
    </row>
    <row r="108">
      <c r="A108" s="228"/>
      <c r="B108" s="228"/>
      <c r="C108" s="228"/>
      <c r="D108" s="228"/>
      <c r="E108" s="228"/>
      <c r="F108" s="228"/>
      <c r="G108" s="228"/>
      <c r="H108" s="228"/>
      <c r="I108" s="228"/>
      <c r="J108" s="228"/>
      <c r="K108" s="228"/>
      <c r="L108" s="228"/>
      <c r="M108" s="228"/>
      <c r="N108" s="228"/>
      <c r="O108" s="228"/>
      <c r="P108" s="228"/>
      <c r="Q108" s="228"/>
      <c r="R108" s="228"/>
      <c r="S108" s="228"/>
      <c r="T108" s="228"/>
      <c r="U108" s="228"/>
      <c r="V108" s="228"/>
      <c r="W108" s="228"/>
      <c r="X108" s="228"/>
      <c r="Y108" s="228"/>
      <c r="Z108" s="228"/>
      <c r="AA108" s="228"/>
      <c r="AB108" s="228"/>
      <c r="AC108" s="228"/>
      <c r="AD108" s="228"/>
    </row>
    <row r="109">
      <c r="A109" s="228"/>
      <c r="B109" s="228"/>
      <c r="C109" s="228"/>
      <c r="D109" s="228"/>
      <c r="E109" s="228"/>
      <c r="F109" s="228"/>
      <c r="G109" s="228"/>
      <c r="H109" s="228"/>
      <c r="I109" s="228"/>
      <c r="J109" s="228"/>
      <c r="K109" s="228"/>
      <c r="L109" s="228"/>
      <c r="M109" s="228"/>
      <c r="N109" s="228"/>
      <c r="O109" s="228"/>
      <c r="P109" s="228"/>
      <c r="Q109" s="228"/>
      <c r="R109" s="228"/>
      <c r="S109" s="228"/>
      <c r="T109" s="228"/>
      <c r="U109" s="228"/>
      <c r="V109" s="228"/>
      <c r="W109" s="228"/>
      <c r="X109" s="228"/>
      <c r="Y109" s="228"/>
      <c r="Z109" s="228"/>
      <c r="AA109" s="228"/>
      <c r="AB109" s="228"/>
      <c r="AC109" s="228"/>
      <c r="AD109" s="228"/>
    </row>
    <row r="110">
      <c r="A110" s="228"/>
      <c r="B110" s="228"/>
      <c r="C110" s="228"/>
      <c r="D110" s="228"/>
      <c r="E110" s="228"/>
      <c r="F110" s="228"/>
      <c r="G110" s="228"/>
      <c r="H110" s="228"/>
      <c r="I110" s="228"/>
      <c r="J110" s="228"/>
      <c r="K110" s="228"/>
      <c r="L110" s="228"/>
      <c r="M110" s="228"/>
      <c r="N110" s="228"/>
      <c r="O110" s="228"/>
      <c r="P110" s="228"/>
      <c r="Q110" s="228"/>
      <c r="R110" s="228"/>
      <c r="S110" s="228"/>
      <c r="T110" s="228"/>
      <c r="U110" s="228"/>
      <c r="V110" s="228"/>
      <c r="W110" s="228"/>
      <c r="X110" s="228"/>
      <c r="Y110" s="228"/>
      <c r="Z110" s="228"/>
      <c r="AA110" s="228"/>
      <c r="AB110" s="228"/>
      <c r="AC110" s="228"/>
      <c r="AD110" s="228"/>
    </row>
    <row r="11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228"/>
      <c r="W111" s="228"/>
      <c r="X111" s="228"/>
      <c r="Y111" s="228"/>
      <c r="Z111" s="228"/>
      <c r="AA111" s="228"/>
      <c r="AB111" s="228"/>
      <c r="AC111" s="228"/>
      <c r="AD111" s="228"/>
    </row>
    <row r="112">
      <c r="A112" s="228"/>
      <c r="B112" s="228"/>
      <c r="C112" s="228"/>
      <c r="D112" s="228"/>
      <c r="E112" s="228"/>
      <c r="F112" s="228"/>
      <c r="G112" s="228"/>
      <c r="H112" s="228"/>
      <c r="I112" s="228"/>
      <c r="J112" s="228"/>
      <c r="K112" s="228"/>
      <c r="L112" s="228"/>
      <c r="M112" s="228"/>
      <c r="N112" s="228"/>
      <c r="O112" s="228"/>
      <c r="P112" s="228"/>
      <c r="Q112" s="228"/>
      <c r="R112" s="228"/>
      <c r="S112" s="228"/>
      <c r="T112" s="228"/>
      <c r="U112" s="228"/>
      <c r="V112" s="228"/>
      <c r="W112" s="228"/>
      <c r="X112" s="228"/>
      <c r="Y112" s="228"/>
      <c r="Z112" s="228"/>
      <c r="AA112" s="228"/>
      <c r="AB112" s="228"/>
      <c r="AC112" s="228"/>
      <c r="AD112" s="228"/>
    </row>
    <row r="113">
      <c r="A113" s="228"/>
      <c r="B113" s="228"/>
      <c r="C113" s="228"/>
      <c r="D113" s="228"/>
      <c r="E113" s="228"/>
      <c r="F113" s="228"/>
      <c r="G113" s="228"/>
      <c r="H113" s="228"/>
      <c r="I113" s="228"/>
      <c r="J113" s="228"/>
      <c r="K113" s="228"/>
      <c r="L113" s="228"/>
      <c r="M113" s="228"/>
      <c r="N113" s="228"/>
      <c r="O113" s="228"/>
      <c r="P113" s="228"/>
      <c r="Q113" s="228"/>
      <c r="R113" s="228"/>
      <c r="S113" s="228"/>
      <c r="T113" s="228"/>
      <c r="U113" s="228"/>
      <c r="V113" s="228"/>
      <c r="W113" s="228"/>
      <c r="X113" s="228"/>
      <c r="Y113" s="228"/>
      <c r="Z113" s="228"/>
      <c r="AA113" s="228"/>
      <c r="AB113" s="228"/>
      <c r="AC113" s="228"/>
      <c r="AD113" s="228"/>
    </row>
    <row r="114">
      <c r="A114" s="228"/>
      <c r="B114" s="228"/>
      <c r="C114" s="228"/>
      <c r="D114" s="228"/>
      <c r="E114" s="228"/>
      <c r="F114" s="228"/>
      <c r="G114" s="228"/>
      <c r="H114" s="228"/>
      <c r="I114" s="228"/>
      <c r="J114" s="228"/>
      <c r="K114" s="228"/>
      <c r="L114" s="228"/>
      <c r="M114" s="228"/>
      <c r="N114" s="228"/>
      <c r="O114" s="228"/>
      <c r="P114" s="228"/>
      <c r="Q114" s="228"/>
      <c r="R114" s="228"/>
      <c r="S114" s="228"/>
      <c r="T114" s="228"/>
      <c r="U114" s="228"/>
      <c r="V114" s="228"/>
      <c r="W114" s="228"/>
      <c r="X114" s="228"/>
      <c r="Y114" s="228"/>
      <c r="Z114" s="228"/>
      <c r="AA114" s="228"/>
      <c r="AB114" s="228"/>
      <c r="AC114" s="228"/>
      <c r="AD114" s="228"/>
    </row>
    <row r="115">
      <c r="A115" s="228"/>
      <c r="B115" s="228"/>
      <c r="C115" s="228"/>
      <c r="D115" s="228"/>
      <c r="E115" s="228"/>
      <c r="F115" s="228"/>
      <c r="G115" s="228"/>
      <c r="H115" s="228"/>
      <c r="I115" s="228"/>
      <c r="J115" s="228"/>
      <c r="K115" s="228"/>
      <c r="L115" s="228"/>
      <c r="M115" s="228"/>
      <c r="N115" s="228"/>
      <c r="O115" s="228"/>
      <c r="P115" s="228"/>
      <c r="Q115" s="228"/>
      <c r="R115" s="228"/>
      <c r="S115" s="228"/>
      <c r="T115" s="228"/>
      <c r="U115" s="228"/>
      <c r="V115" s="228"/>
      <c r="W115" s="228"/>
      <c r="X115" s="228"/>
      <c r="Y115" s="228"/>
      <c r="Z115" s="228"/>
      <c r="AA115" s="228"/>
      <c r="AB115" s="228"/>
      <c r="AC115" s="228"/>
      <c r="AD115" s="228"/>
    </row>
    <row r="116">
      <c r="A116" s="228"/>
      <c r="B116" s="228"/>
      <c r="C116" s="228"/>
      <c r="D116" s="228"/>
      <c r="E116" s="228"/>
      <c r="F116" s="228"/>
      <c r="G116" s="228"/>
      <c r="H116" s="228"/>
      <c r="I116" s="228"/>
      <c r="J116" s="228"/>
      <c r="K116" s="228"/>
      <c r="L116" s="228"/>
      <c r="M116" s="228"/>
      <c r="N116" s="228"/>
      <c r="O116" s="228"/>
      <c r="P116" s="228"/>
      <c r="Q116" s="228"/>
      <c r="R116" s="228"/>
      <c r="S116" s="228"/>
      <c r="T116" s="228"/>
      <c r="U116" s="228"/>
      <c r="V116" s="228"/>
      <c r="W116" s="228"/>
      <c r="X116" s="228"/>
      <c r="Y116" s="228"/>
      <c r="Z116" s="228"/>
      <c r="AA116" s="228"/>
      <c r="AB116" s="228"/>
      <c r="AC116" s="228"/>
      <c r="AD116" s="228"/>
    </row>
    <row r="117">
      <c r="A117" s="228"/>
      <c r="B117" s="228"/>
      <c r="C117" s="228"/>
      <c r="D117" s="228"/>
      <c r="E117" s="228"/>
      <c r="F117" s="228"/>
      <c r="G117" s="228"/>
      <c r="H117" s="228"/>
      <c r="I117" s="228"/>
      <c r="J117" s="228"/>
      <c r="K117" s="228"/>
      <c r="L117" s="228"/>
      <c r="M117" s="228"/>
      <c r="N117" s="228"/>
      <c r="O117" s="228"/>
      <c r="P117" s="228"/>
      <c r="Q117" s="228"/>
      <c r="R117" s="228"/>
      <c r="S117" s="228"/>
      <c r="T117" s="228"/>
      <c r="U117" s="228"/>
      <c r="V117" s="228"/>
      <c r="W117" s="228"/>
      <c r="X117" s="228"/>
      <c r="Y117" s="228"/>
      <c r="Z117" s="228"/>
      <c r="AA117" s="228"/>
      <c r="AB117" s="228"/>
      <c r="AC117" s="228"/>
      <c r="AD117" s="228"/>
    </row>
    <row r="118">
      <c r="A118" s="228"/>
      <c r="B118" s="228"/>
      <c r="C118" s="228"/>
      <c r="D118" s="228"/>
      <c r="E118" s="228"/>
      <c r="F118" s="228"/>
      <c r="G118" s="228"/>
      <c r="H118" s="228"/>
      <c r="I118" s="228"/>
      <c r="J118" s="228"/>
      <c r="K118" s="228"/>
      <c r="L118" s="228"/>
      <c r="M118" s="228"/>
      <c r="N118" s="228"/>
      <c r="O118" s="228"/>
      <c r="P118" s="228"/>
      <c r="Q118" s="228"/>
      <c r="R118" s="228"/>
      <c r="S118" s="228"/>
      <c r="T118" s="228"/>
      <c r="U118" s="228"/>
      <c r="V118" s="228"/>
      <c r="W118" s="228"/>
      <c r="X118" s="228"/>
      <c r="Y118" s="228"/>
      <c r="Z118" s="228"/>
      <c r="AA118" s="228"/>
      <c r="AB118" s="228"/>
      <c r="AC118" s="228"/>
      <c r="AD118" s="228"/>
    </row>
    <row r="119">
      <c r="A119" s="228"/>
      <c r="B119" s="228"/>
      <c r="C119" s="228"/>
      <c r="D119" s="228"/>
      <c r="E119" s="228"/>
      <c r="F119" s="228"/>
      <c r="G119" s="228"/>
      <c r="H119" s="228"/>
      <c r="I119" s="228"/>
      <c r="J119" s="228"/>
      <c r="K119" s="228"/>
      <c r="L119" s="228"/>
      <c r="M119" s="228"/>
      <c r="N119" s="228"/>
      <c r="O119" s="228"/>
      <c r="P119" s="228"/>
      <c r="Q119" s="228"/>
      <c r="R119" s="228"/>
      <c r="S119" s="228"/>
      <c r="T119" s="228"/>
      <c r="U119" s="228"/>
      <c r="V119" s="228"/>
      <c r="W119" s="228"/>
      <c r="X119" s="228"/>
      <c r="Y119" s="228"/>
      <c r="Z119" s="228"/>
      <c r="AA119" s="228"/>
      <c r="AB119" s="228"/>
      <c r="AC119" s="228"/>
      <c r="AD119" s="228"/>
    </row>
    <row r="120">
      <c r="A120" s="228"/>
      <c r="B120" s="228"/>
      <c r="C120" s="228"/>
      <c r="D120" s="228"/>
      <c r="E120" s="228"/>
      <c r="F120" s="228"/>
      <c r="G120" s="228"/>
      <c r="H120" s="228"/>
      <c r="I120" s="228"/>
      <c r="J120" s="228"/>
      <c r="K120" s="228"/>
      <c r="L120" s="228"/>
      <c r="M120" s="228"/>
      <c r="N120" s="228"/>
      <c r="O120" s="228"/>
      <c r="P120" s="228"/>
      <c r="Q120" s="228"/>
      <c r="R120" s="228"/>
      <c r="S120" s="228"/>
      <c r="T120" s="228"/>
      <c r="U120" s="228"/>
      <c r="V120" s="228"/>
      <c r="W120" s="228"/>
      <c r="X120" s="228"/>
      <c r="Y120" s="228"/>
      <c r="Z120" s="228"/>
      <c r="AA120" s="228"/>
      <c r="AB120" s="228"/>
      <c r="AC120" s="228"/>
      <c r="AD120" s="228"/>
    </row>
    <row r="121">
      <c r="A121" s="228"/>
      <c r="B121" s="228"/>
      <c r="C121" s="228"/>
      <c r="D121" s="228"/>
      <c r="E121" s="228"/>
      <c r="F121" s="228"/>
      <c r="G121" s="228"/>
      <c r="H121" s="228"/>
      <c r="I121" s="228"/>
      <c r="J121" s="228"/>
      <c r="K121" s="228"/>
      <c r="L121" s="228"/>
      <c r="M121" s="228"/>
      <c r="N121" s="228"/>
      <c r="O121" s="228"/>
      <c r="P121" s="228"/>
      <c r="Q121" s="228"/>
      <c r="R121" s="228"/>
      <c r="S121" s="228"/>
      <c r="T121" s="228"/>
      <c r="U121" s="228"/>
      <c r="V121" s="228"/>
      <c r="W121" s="228"/>
      <c r="X121" s="228"/>
      <c r="Y121" s="228"/>
      <c r="Z121" s="228"/>
      <c r="AA121" s="228"/>
      <c r="AB121" s="228"/>
      <c r="AC121" s="228"/>
      <c r="AD121" s="228"/>
    </row>
    <row r="122">
      <c r="A122" s="228"/>
      <c r="B122" s="228"/>
      <c r="C122" s="228"/>
      <c r="D122" s="228"/>
      <c r="E122" s="228"/>
      <c r="F122" s="228"/>
      <c r="G122" s="228"/>
      <c r="H122" s="228"/>
      <c r="I122" s="228"/>
      <c r="J122" s="228"/>
      <c r="K122" s="228"/>
      <c r="L122" s="228"/>
      <c r="M122" s="228"/>
      <c r="N122" s="228"/>
      <c r="O122" s="228"/>
      <c r="P122" s="228"/>
      <c r="Q122" s="228"/>
      <c r="R122" s="228"/>
      <c r="S122" s="228"/>
      <c r="T122" s="228"/>
      <c r="U122" s="228"/>
      <c r="V122" s="228"/>
      <c r="W122" s="228"/>
      <c r="X122" s="228"/>
      <c r="Y122" s="228"/>
      <c r="Z122" s="228"/>
      <c r="AA122" s="228"/>
      <c r="AB122" s="228"/>
      <c r="AC122" s="228"/>
      <c r="AD122" s="228"/>
    </row>
    <row r="123">
      <c r="A123" s="228"/>
      <c r="B123" s="228"/>
      <c r="C123" s="228"/>
      <c r="D123" s="228"/>
      <c r="E123" s="228"/>
      <c r="F123" s="228"/>
      <c r="G123" s="228"/>
      <c r="H123" s="228"/>
      <c r="I123" s="228"/>
      <c r="J123" s="228"/>
      <c r="K123" s="228"/>
      <c r="L123" s="228"/>
      <c r="M123" s="228"/>
      <c r="N123" s="228"/>
      <c r="O123" s="228"/>
      <c r="P123" s="228"/>
      <c r="Q123" s="228"/>
      <c r="R123" s="228"/>
      <c r="S123" s="228"/>
      <c r="T123" s="228"/>
      <c r="U123" s="228"/>
      <c r="V123" s="228"/>
      <c r="W123" s="228"/>
      <c r="X123" s="228"/>
      <c r="Y123" s="228"/>
      <c r="Z123" s="228"/>
      <c r="AA123" s="228"/>
      <c r="AB123" s="228"/>
      <c r="AC123" s="228"/>
      <c r="AD123" s="228"/>
    </row>
    <row r="124">
      <c r="A124" s="228"/>
      <c r="B124" s="228"/>
      <c r="C124" s="228"/>
      <c r="D124" s="228"/>
      <c r="E124" s="228"/>
      <c r="F124" s="228"/>
      <c r="G124" s="228"/>
      <c r="H124" s="228"/>
      <c r="I124" s="228"/>
      <c r="J124" s="228"/>
      <c r="K124" s="228"/>
      <c r="L124" s="228"/>
      <c r="M124" s="228"/>
      <c r="N124" s="228"/>
      <c r="O124" s="228"/>
      <c r="P124" s="228"/>
      <c r="Q124" s="228"/>
      <c r="R124" s="228"/>
      <c r="S124" s="228"/>
      <c r="T124" s="228"/>
      <c r="U124" s="228"/>
      <c r="V124" s="228"/>
      <c r="W124" s="228"/>
      <c r="X124" s="228"/>
      <c r="Y124" s="228"/>
      <c r="Z124" s="228"/>
      <c r="AA124" s="228"/>
      <c r="AB124" s="228"/>
      <c r="AC124" s="228"/>
      <c r="AD124" s="228"/>
    </row>
    <row r="125">
      <c r="A125" s="228"/>
      <c r="B125" s="228"/>
      <c r="C125" s="228"/>
      <c r="D125" s="228"/>
      <c r="E125" s="228"/>
      <c r="F125" s="228"/>
      <c r="G125" s="228"/>
      <c r="H125" s="228"/>
      <c r="I125" s="228"/>
      <c r="J125" s="228"/>
      <c r="K125" s="228"/>
      <c r="L125" s="228"/>
      <c r="M125" s="228"/>
      <c r="N125" s="228"/>
      <c r="O125" s="228"/>
      <c r="P125" s="228"/>
      <c r="Q125" s="228"/>
      <c r="R125" s="228"/>
      <c r="S125" s="228"/>
      <c r="T125" s="228"/>
      <c r="U125" s="228"/>
      <c r="V125" s="228"/>
      <c r="W125" s="228"/>
      <c r="X125" s="228"/>
      <c r="Y125" s="228"/>
      <c r="Z125" s="228"/>
      <c r="AA125" s="228"/>
      <c r="AB125" s="228"/>
      <c r="AC125" s="228"/>
      <c r="AD125" s="228"/>
    </row>
    <row r="126">
      <c r="A126" s="228"/>
      <c r="B126" s="228"/>
      <c r="C126" s="228"/>
      <c r="D126" s="228"/>
      <c r="E126" s="228"/>
      <c r="F126" s="228"/>
      <c r="G126" s="228"/>
      <c r="H126" s="228"/>
      <c r="I126" s="228"/>
      <c r="J126" s="228"/>
      <c r="K126" s="228"/>
      <c r="L126" s="228"/>
      <c r="M126" s="228"/>
      <c r="N126" s="228"/>
      <c r="O126" s="228"/>
      <c r="P126" s="228"/>
      <c r="Q126" s="228"/>
      <c r="R126" s="228"/>
      <c r="S126" s="228"/>
      <c r="T126" s="228"/>
      <c r="U126" s="228"/>
      <c r="V126" s="228"/>
      <c r="W126" s="228"/>
      <c r="X126" s="228"/>
      <c r="Y126" s="228"/>
      <c r="Z126" s="228"/>
      <c r="AA126" s="228"/>
      <c r="AB126" s="228"/>
      <c r="AC126" s="228"/>
      <c r="AD126" s="228"/>
    </row>
    <row r="127">
      <c r="A127" s="228"/>
      <c r="B127" s="228"/>
      <c r="C127" s="228"/>
      <c r="D127" s="228"/>
      <c r="E127" s="228"/>
      <c r="F127" s="228"/>
      <c r="G127" s="228"/>
      <c r="H127" s="228"/>
      <c r="I127" s="228"/>
      <c r="J127" s="228"/>
      <c r="K127" s="228"/>
      <c r="L127" s="228"/>
      <c r="M127" s="228"/>
      <c r="N127" s="228"/>
      <c r="O127" s="228"/>
      <c r="P127" s="228"/>
      <c r="Q127" s="228"/>
      <c r="R127" s="228"/>
      <c r="S127" s="228"/>
      <c r="T127" s="228"/>
      <c r="U127" s="228"/>
      <c r="V127" s="228"/>
      <c r="W127" s="228"/>
      <c r="X127" s="228"/>
      <c r="Y127" s="228"/>
      <c r="Z127" s="228"/>
      <c r="AA127" s="228"/>
      <c r="AB127" s="228"/>
      <c r="AC127" s="228"/>
      <c r="AD127" s="228"/>
    </row>
    <row r="128">
      <c r="A128" s="228"/>
      <c r="B128" s="228"/>
      <c r="C128" s="228"/>
      <c r="D128" s="228"/>
      <c r="E128" s="228"/>
      <c r="F128" s="228"/>
      <c r="G128" s="228"/>
      <c r="H128" s="228"/>
      <c r="I128" s="228"/>
      <c r="J128" s="228"/>
      <c r="K128" s="228"/>
      <c r="L128" s="228"/>
      <c r="M128" s="228"/>
      <c r="N128" s="228"/>
      <c r="O128" s="228"/>
      <c r="P128" s="228"/>
      <c r="Q128" s="228"/>
      <c r="R128" s="228"/>
      <c r="S128" s="228"/>
      <c r="T128" s="228"/>
      <c r="U128" s="228"/>
      <c r="V128" s="228"/>
      <c r="W128" s="228"/>
      <c r="X128" s="228"/>
      <c r="Y128" s="228"/>
      <c r="Z128" s="228"/>
      <c r="AA128" s="228"/>
      <c r="AB128" s="228"/>
      <c r="AC128" s="228"/>
      <c r="AD128" s="228"/>
    </row>
    <row r="129">
      <c r="A129" s="228"/>
      <c r="B129" s="228"/>
      <c r="C129" s="228"/>
      <c r="D129" s="228"/>
      <c r="E129" s="228"/>
      <c r="F129" s="228"/>
      <c r="G129" s="228"/>
      <c r="H129" s="228"/>
      <c r="I129" s="228"/>
      <c r="J129" s="228"/>
      <c r="K129" s="228"/>
      <c r="L129" s="228"/>
      <c r="M129" s="228"/>
      <c r="N129" s="228"/>
      <c r="O129" s="228"/>
      <c r="P129" s="228"/>
      <c r="Q129" s="228"/>
      <c r="R129" s="228"/>
      <c r="S129" s="228"/>
      <c r="T129" s="228"/>
      <c r="U129" s="228"/>
      <c r="V129" s="228"/>
      <c r="W129" s="228"/>
      <c r="X129" s="228"/>
      <c r="Y129" s="228"/>
      <c r="Z129" s="228"/>
      <c r="AA129" s="228"/>
      <c r="AB129" s="228"/>
      <c r="AC129" s="228"/>
      <c r="AD129" s="228"/>
    </row>
    <row r="130">
      <c r="A130" s="228"/>
      <c r="B130" s="228"/>
      <c r="C130" s="228"/>
      <c r="D130" s="228"/>
      <c r="E130" s="228"/>
      <c r="F130" s="228"/>
      <c r="G130" s="228"/>
      <c r="H130" s="228"/>
      <c r="I130" s="228"/>
      <c r="J130" s="228"/>
      <c r="K130" s="228"/>
      <c r="L130" s="228"/>
      <c r="M130" s="228"/>
      <c r="N130" s="228"/>
      <c r="O130" s="228"/>
      <c r="P130" s="228"/>
      <c r="Q130" s="228"/>
      <c r="R130" s="228"/>
      <c r="S130" s="228"/>
      <c r="T130" s="228"/>
      <c r="U130" s="228"/>
      <c r="V130" s="228"/>
      <c r="W130" s="228"/>
      <c r="X130" s="228"/>
      <c r="Y130" s="228"/>
      <c r="Z130" s="228"/>
      <c r="AA130" s="228"/>
      <c r="AB130" s="228"/>
      <c r="AC130" s="228"/>
      <c r="AD130" s="228"/>
    </row>
    <row r="131">
      <c r="A131" s="228"/>
      <c r="B131" s="228"/>
      <c r="C131" s="228"/>
      <c r="D131" s="228"/>
      <c r="E131" s="228"/>
      <c r="F131" s="228"/>
      <c r="G131" s="228"/>
      <c r="H131" s="228"/>
      <c r="I131" s="228"/>
      <c r="J131" s="228"/>
      <c r="K131" s="228"/>
      <c r="L131" s="228"/>
      <c r="M131" s="228"/>
      <c r="N131" s="228"/>
      <c r="O131" s="228"/>
      <c r="P131" s="228"/>
      <c r="Q131" s="228"/>
      <c r="R131" s="228"/>
      <c r="S131" s="228"/>
      <c r="T131" s="228"/>
      <c r="U131" s="228"/>
      <c r="V131" s="228"/>
      <c r="W131" s="228"/>
      <c r="X131" s="228"/>
      <c r="Y131" s="228"/>
      <c r="Z131" s="228"/>
      <c r="AA131" s="228"/>
      <c r="AB131" s="228"/>
      <c r="AC131" s="228"/>
      <c r="AD131" s="228"/>
    </row>
    <row r="132">
      <c r="A132" s="228"/>
      <c r="B132" s="228"/>
      <c r="C132" s="228"/>
      <c r="D132" s="228"/>
      <c r="E132" s="228"/>
      <c r="F132" s="228"/>
      <c r="G132" s="228"/>
      <c r="H132" s="228"/>
      <c r="I132" s="228"/>
      <c r="J132" s="228"/>
      <c r="K132" s="228"/>
      <c r="L132" s="228"/>
      <c r="M132" s="228"/>
      <c r="N132" s="228"/>
      <c r="O132" s="228"/>
      <c r="P132" s="228"/>
      <c r="Q132" s="228"/>
      <c r="R132" s="228"/>
      <c r="S132" s="228"/>
      <c r="T132" s="228"/>
      <c r="U132" s="228"/>
      <c r="V132" s="228"/>
      <c r="W132" s="228"/>
      <c r="X132" s="228"/>
      <c r="Y132" s="228"/>
      <c r="Z132" s="228"/>
      <c r="AA132" s="228"/>
      <c r="AB132" s="228"/>
      <c r="AC132" s="228"/>
      <c r="AD132" s="228"/>
    </row>
    <row r="133">
      <c r="A133" s="228"/>
      <c r="B133" s="228"/>
      <c r="C133" s="228"/>
      <c r="D133" s="228"/>
      <c r="E133" s="228"/>
      <c r="F133" s="228"/>
      <c r="G133" s="228"/>
      <c r="H133" s="228"/>
      <c r="I133" s="228"/>
      <c r="J133" s="228"/>
      <c r="K133" s="228"/>
      <c r="L133" s="228"/>
      <c r="M133" s="228"/>
      <c r="N133" s="228"/>
      <c r="O133" s="228"/>
      <c r="P133" s="228"/>
      <c r="Q133" s="228"/>
      <c r="R133" s="228"/>
      <c r="S133" s="228"/>
      <c r="T133" s="228"/>
      <c r="U133" s="228"/>
      <c r="V133" s="228"/>
      <c r="W133" s="228"/>
      <c r="X133" s="228"/>
      <c r="Y133" s="228"/>
      <c r="Z133" s="228"/>
      <c r="AA133" s="228"/>
      <c r="AB133" s="228"/>
      <c r="AC133" s="228"/>
      <c r="AD133" s="228"/>
    </row>
    <row r="134">
      <c r="A134" s="228"/>
      <c r="B134" s="228"/>
      <c r="C134" s="228"/>
      <c r="D134" s="228"/>
      <c r="E134" s="228"/>
      <c r="F134" s="228"/>
      <c r="G134" s="228"/>
      <c r="H134" s="228"/>
      <c r="I134" s="228"/>
      <c r="J134" s="228"/>
      <c r="K134" s="228"/>
      <c r="L134" s="228"/>
      <c r="M134" s="228"/>
      <c r="N134" s="228"/>
      <c r="O134" s="228"/>
      <c r="P134" s="228"/>
      <c r="Q134" s="228"/>
      <c r="R134" s="228"/>
      <c r="S134" s="228"/>
      <c r="T134" s="228"/>
      <c r="U134" s="228"/>
      <c r="V134" s="228"/>
      <c r="W134" s="228"/>
      <c r="X134" s="228"/>
      <c r="Y134" s="228"/>
      <c r="Z134" s="228"/>
      <c r="AA134" s="228"/>
      <c r="AB134" s="228"/>
      <c r="AC134" s="228"/>
      <c r="AD134" s="228"/>
    </row>
    <row r="135">
      <c r="A135" s="228"/>
      <c r="B135" s="228"/>
      <c r="C135" s="228"/>
      <c r="D135" s="228"/>
      <c r="E135" s="228"/>
      <c r="F135" s="228"/>
      <c r="G135" s="228"/>
      <c r="H135" s="228"/>
      <c r="I135" s="228"/>
      <c r="J135" s="228"/>
      <c r="K135" s="228"/>
      <c r="L135" s="228"/>
      <c r="M135" s="228"/>
      <c r="N135" s="228"/>
      <c r="O135" s="228"/>
      <c r="P135" s="228"/>
      <c r="Q135" s="228"/>
      <c r="R135" s="228"/>
      <c r="S135" s="228"/>
      <c r="T135" s="228"/>
      <c r="U135" s="228"/>
      <c r="V135" s="228"/>
      <c r="W135" s="228"/>
      <c r="X135" s="228"/>
      <c r="Y135" s="228"/>
      <c r="Z135" s="228"/>
      <c r="AA135" s="228"/>
      <c r="AB135" s="228"/>
      <c r="AC135" s="228"/>
      <c r="AD135" s="228"/>
    </row>
    <row r="136">
      <c r="A136" s="228"/>
      <c r="B136" s="228"/>
      <c r="C136" s="228"/>
      <c r="D136" s="228"/>
      <c r="E136" s="228"/>
      <c r="F136" s="228"/>
      <c r="G136" s="228"/>
      <c r="H136" s="228"/>
      <c r="I136" s="228"/>
      <c r="J136" s="228"/>
      <c r="K136" s="228"/>
      <c r="L136" s="228"/>
      <c r="M136" s="228"/>
      <c r="N136" s="228"/>
      <c r="O136" s="228"/>
      <c r="P136" s="228"/>
      <c r="Q136" s="228"/>
      <c r="R136" s="228"/>
      <c r="S136" s="228"/>
      <c r="T136" s="228"/>
      <c r="U136" s="228"/>
      <c r="V136" s="228"/>
      <c r="W136" s="228"/>
      <c r="X136" s="228"/>
      <c r="Y136" s="228"/>
      <c r="Z136" s="228"/>
      <c r="AA136" s="228"/>
      <c r="AB136" s="228"/>
      <c r="AC136" s="228"/>
      <c r="AD136" s="228"/>
    </row>
    <row r="137">
      <c r="A137" s="228"/>
      <c r="B137" s="228"/>
      <c r="C137" s="228"/>
      <c r="D137" s="228"/>
      <c r="E137" s="228"/>
      <c r="F137" s="228"/>
      <c r="G137" s="228"/>
      <c r="H137" s="228"/>
      <c r="I137" s="228"/>
      <c r="J137" s="228"/>
      <c r="K137" s="228"/>
      <c r="L137" s="228"/>
      <c r="M137" s="228"/>
      <c r="N137" s="228"/>
      <c r="O137" s="228"/>
      <c r="P137" s="228"/>
      <c r="Q137" s="228"/>
      <c r="R137" s="228"/>
      <c r="S137" s="228"/>
      <c r="T137" s="228"/>
      <c r="U137" s="228"/>
      <c r="V137" s="228"/>
      <c r="W137" s="228"/>
      <c r="X137" s="228"/>
      <c r="Y137" s="228"/>
      <c r="Z137" s="228"/>
      <c r="AA137" s="228"/>
      <c r="AB137" s="228"/>
      <c r="AC137" s="228"/>
      <c r="AD137" s="228"/>
    </row>
    <row r="138">
      <c r="A138" s="228"/>
      <c r="B138" s="228"/>
      <c r="C138" s="228"/>
      <c r="D138" s="228"/>
      <c r="E138" s="228"/>
      <c r="F138" s="228"/>
      <c r="G138" s="228"/>
      <c r="H138" s="228"/>
      <c r="I138" s="228"/>
      <c r="J138" s="228"/>
      <c r="K138" s="228"/>
      <c r="L138" s="228"/>
      <c r="M138" s="228"/>
      <c r="N138" s="228"/>
      <c r="O138" s="228"/>
      <c r="P138" s="228"/>
      <c r="Q138" s="228"/>
      <c r="R138" s="228"/>
      <c r="S138" s="228"/>
      <c r="T138" s="228"/>
      <c r="U138" s="228"/>
      <c r="V138" s="228"/>
      <c r="W138" s="228"/>
      <c r="X138" s="228"/>
      <c r="Y138" s="228"/>
      <c r="Z138" s="228"/>
      <c r="AA138" s="228"/>
      <c r="AB138" s="228"/>
      <c r="AC138" s="228"/>
      <c r="AD138" s="228"/>
    </row>
    <row r="139">
      <c r="A139" s="228"/>
      <c r="B139" s="228"/>
      <c r="C139" s="228"/>
      <c r="D139" s="228"/>
      <c r="E139" s="228"/>
      <c r="F139" s="228"/>
      <c r="G139" s="228"/>
      <c r="H139" s="228"/>
      <c r="I139" s="228"/>
      <c r="J139" s="228"/>
      <c r="K139" s="228"/>
      <c r="L139" s="228"/>
      <c r="M139" s="228"/>
      <c r="N139" s="228"/>
      <c r="O139" s="228"/>
      <c r="P139" s="228"/>
      <c r="Q139" s="228"/>
      <c r="R139" s="228"/>
      <c r="S139" s="228"/>
      <c r="T139" s="228"/>
      <c r="U139" s="228"/>
      <c r="V139" s="228"/>
      <c r="W139" s="228"/>
      <c r="X139" s="228"/>
      <c r="Y139" s="228"/>
      <c r="Z139" s="228"/>
      <c r="AA139" s="228"/>
      <c r="AB139" s="228"/>
      <c r="AC139" s="228"/>
      <c r="AD139" s="228"/>
    </row>
    <row r="140">
      <c r="A140" s="228"/>
      <c r="B140" s="228"/>
      <c r="C140" s="228"/>
      <c r="D140" s="228"/>
      <c r="E140" s="228"/>
      <c r="F140" s="228"/>
      <c r="G140" s="228"/>
      <c r="H140" s="228"/>
      <c r="I140" s="228"/>
      <c r="J140" s="228"/>
      <c r="K140" s="228"/>
      <c r="L140" s="228"/>
      <c r="M140" s="228"/>
      <c r="N140" s="228"/>
      <c r="O140" s="228"/>
      <c r="P140" s="228"/>
      <c r="Q140" s="228"/>
      <c r="R140" s="228"/>
      <c r="S140" s="228"/>
      <c r="T140" s="228"/>
      <c r="U140" s="228"/>
      <c r="V140" s="228"/>
      <c r="W140" s="228"/>
      <c r="X140" s="228"/>
      <c r="Y140" s="228"/>
      <c r="Z140" s="228"/>
      <c r="AA140" s="228"/>
      <c r="AB140" s="228"/>
      <c r="AC140" s="228"/>
      <c r="AD140" s="228"/>
    </row>
    <row r="141">
      <c r="A141" s="228"/>
      <c r="B141" s="228"/>
      <c r="C141" s="228"/>
      <c r="D141" s="228"/>
      <c r="E141" s="228"/>
      <c r="F141" s="228"/>
      <c r="G141" s="228"/>
      <c r="H141" s="228"/>
      <c r="I141" s="228"/>
      <c r="J141" s="228"/>
      <c r="K141" s="228"/>
      <c r="L141" s="228"/>
      <c r="M141" s="228"/>
      <c r="N141" s="228"/>
      <c r="O141" s="228"/>
      <c r="P141" s="228"/>
      <c r="Q141" s="228"/>
      <c r="R141" s="228"/>
      <c r="S141" s="228"/>
      <c r="T141" s="228"/>
      <c r="U141" s="228"/>
      <c r="V141" s="228"/>
      <c r="W141" s="228"/>
      <c r="X141" s="228"/>
      <c r="Y141" s="228"/>
      <c r="Z141" s="228"/>
      <c r="AA141" s="228"/>
      <c r="AB141" s="228"/>
      <c r="AC141" s="228"/>
      <c r="AD141" s="228"/>
    </row>
    <row r="142">
      <c r="A142" s="228"/>
      <c r="B142" s="228"/>
      <c r="C142" s="228"/>
      <c r="D142" s="228"/>
      <c r="E142" s="228"/>
      <c r="F142" s="228"/>
      <c r="G142" s="228"/>
      <c r="H142" s="228"/>
      <c r="I142" s="228"/>
      <c r="J142" s="228"/>
      <c r="K142" s="228"/>
      <c r="L142" s="228"/>
      <c r="M142" s="228"/>
      <c r="N142" s="228"/>
      <c r="O142" s="228"/>
      <c r="P142" s="228"/>
      <c r="Q142" s="228"/>
      <c r="R142" s="228"/>
      <c r="S142" s="228"/>
      <c r="T142" s="228"/>
      <c r="U142" s="228"/>
      <c r="V142" s="228"/>
      <c r="W142" s="228"/>
      <c r="X142" s="228"/>
      <c r="Y142" s="228"/>
      <c r="Z142" s="228"/>
      <c r="AA142" s="228"/>
      <c r="AB142" s="228"/>
      <c r="AC142" s="228"/>
      <c r="AD142" s="228"/>
    </row>
    <row r="143">
      <c r="A143" s="228"/>
      <c r="B143" s="228"/>
      <c r="C143" s="228"/>
      <c r="D143" s="228"/>
      <c r="E143" s="228"/>
      <c r="F143" s="228"/>
      <c r="G143" s="228"/>
      <c r="H143" s="228"/>
      <c r="I143" s="228"/>
      <c r="J143" s="228"/>
      <c r="K143" s="228"/>
      <c r="L143" s="228"/>
      <c r="M143" s="228"/>
      <c r="N143" s="228"/>
      <c r="O143" s="228"/>
      <c r="P143" s="228"/>
      <c r="Q143" s="228"/>
      <c r="R143" s="228"/>
      <c r="S143" s="228"/>
      <c r="T143" s="228"/>
      <c r="U143" s="228"/>
      <c r="V143" s="228"/>
      <c r="W143" s="228"/>
      <c r="X143" s="228"/>
      <c r="Y143" s="228"/>
      <c r="Z143" s="228"/>
      <c r="AA143" s="228"/>
      <c r="AB143" s="228"/>
      <c r="AC143" s="228"/>
      <c r="AD143" s="228"/>
    </row>
    <row r="144">
      <c r="A144" s="228"/>
      <c r="B144" s="228"/>
      <c r="C144" s="228"/>
      <c r="D144" s="228"/>
      <c r="E144" s="228"/>
      <c r="F144" s="228"/>
      <c r="G144" s="228"/>
      <c r="H144" s="228"/>
      <c r="I144" s="228"/>
      <c r="J144" s="228"/>
      <c r="K144" s="228"/>
      <c r="L144" s="228"/>
      <c r="M144" s="228"/>
      <c r="N144" s="228"/>
      <c r="O144" s="228"/>
      <c r="P144" s="228"/>
      <c r="Q144" s="228"/>
      <c r="R144" s="228"/>
      <c r="S144" s="228"/>
      <c r="T144" s="228"/>
      <c r="U144" s="228"/>
      <c r="V144" s="228"/>
      <c r="W144" s="228"/>
      <c r="X144" s="228"/>
      <c r="Y144" s="228"/>
      <c r="Z144" s="228"/>
      <c r="AA144" s="228"/>
      <c r="AB144" s="228"/>
      <c r="AC144" s="228"/>
      <c r="AD144" s="228"/>
    </row>
    <row r="145">
      <c r="A145" s="228"/>
      <c r="B145" s="228"/>
      <c r="C145" s="228"/>
      <c r="D145" s="228"/>
      <c r="E145" s="228"/>
      <c r="F145" s="228"/>
      <c r="G145" s="228"/>
      <c r="H145" s="228"/>
      <c r="I145" s="228"/>
      <c r="J145" s="228"/>
      <c r="K145" s="228"/>
      <c r="L145" s="228"/>
      <c r="M145" s="228"/>
      <c r="N145" s="228"/>
      <c r="O145" s="228"/>
      <c r="P145" s="228"/>
      <c r="Q145" s="228"/>
      <c r="R145" s="228"/>
      <c r="S145" s="228"/>
      <c r="T145" s="228"/>
      <c r="U145" s="228"/>
      <c r="V145" s="228"/>
      <c r="W145" s="228"/>
      <c r="X145" s="228"/>
      <c r="Y145" s="228"/>
      <c r="Z145" s="228"/>
      <c r="AA145" s="228"/>
      <c r="AB145" s="228"/>
      <c r="AC145" s="228"/>
      <c r="AD145" s="228"/>
    </row>
    <row r="146">
      <c r="A146" s="228"/>
      <c r="B146" s="228"/>
      <c r="C146" s="228"/>
      <c r="D146" s="228"/>
      <c r="E146" s="228"/>
      <c r="F146" s="228"/>
      <c r="G146" s="228"/>
      <c r="H146" s="228"/>
      <c r="I146" s="228"/>
      <c r="J146" s="228"/>
      <c r="K146" s="228"/>
      <c r="L146" s="228"/>
      <c r="M146" s="228"/>
      <c r="N146" s="228"/>
      <c r="O146" s="228"/>
      <c r="P146" s="228"/>
      <c r="Q146" s="228"/>
      <c r="R146" s="228"/>
      <c r="S146" s="228"/>
      <c r="T146" s="228"/>
      <c r="U146" s="228"/>
      <c r="V146" s="228"/>
      <c r="W146" s="228"/>
      <c r="X146" s="228"/>
      <c r="Y146" s="228"/>
      <c r="Z146" s="228"/>
      <c r="AA146" s="228"/>
      <c r="AB146" s="228"/>
      <c r="AC146" s="228"/>
      <c r="AD146" s="228"/>
    </row>
    <row r="147">
      <c r="A147" s="228"/>
      <c r="B147" s="228"/>
      <c r="C147" s="228"/>
      <c r="D147" s="228"/>
      <c r="E147" s="228"/>
      <c r="F147" s="228"/>
      <c r="G147" s="228"/>
      <c r="H147" s="228"/>
      <c r="I147" s="228"/>
      <c r="J147" s="228"/>
      <c r="K147" s="228"/>
      <c r="L147" s="228"/>
      <c r="M147" s="228"/>
      <c r="N147" s="228"/>
      <c r="O147" s="228"/>
      <c r="P147" s="228"/>
      <c r="Q147" s="228"/>
      <c r="R147" s="228"/>
      <c r="S147" s="228"/>
      <c r="T147" s="228"/>
      <c r="U147" s="228"/>
      <c r="V147" s="228"/>
      <c r="W147" s="228"/>
      <c r="X147" s="228"/>
      <c r="Y147" s="228"/>
      <c r="Z147" s="228"/>
      <c r="AA147" s="228"/>
      <c r="AB147" s="228"/>
      <c r="AC147" s="228"/>
      <c r="AD147" s="228"/>
    </row>
    <row r="148">
      <c r="A148" s="228"/>
      <c r="B148" s="228"/>
      <c r="C148" s="228"/>
      <c r="D148" s="228"/>
      <c r="E148" s="228"/>
      <c r="F148" s="228"/>
      <c r="G148" s="228"/>
      <c r="H148" s="228"/>
      <c r="I148" s="228"/>
      <c r="J148" s="228"/>
      <c r="K148" s="228"/>
      <c r="L148" s="228"/>
      <c r="M148" s="228"/>
      <c r="N148" s="228"/>
      <c r="O148" s="228"/>
      <c r="P148" s="228"/>
      <c r="Q148" s="228"/>
      <c r="R148" s="228"/>
      <c r="S148" s="228"/>
      <c r="T148" s="228"/>
      <c r="U148" s="228"/>
      <c r="V148" s="228"/>
      <c r="W148" s="228"/>
      <c r="X148" s="228"/>
      <c r="Y148" s="228"/>
      <c r="Z148" s="228"/>
      <c r="AA148" s="228"/>
      <c r="AB148" s="228"/>
      <c r="AC148" s="228"/>
      <c r="AD148" s="228"/>
    </row>
    <row r="149">
      <c r="A149" s="228"/>
      <c r="B149" s="228"/>
      <c r="C149" s="228"/>
      <c r="D149" s="228"/>
      <c r="E149" s="228"/>
      <c r="F149" s="228"/>
      <c r="G149" s="228"/>
      <c r="H149" s="228"/>
      <c r="I149" s="228"/>
      <c r="J149" s="228"/>
      <c r="K149" s="228"/>
      <c r="L149" s="228"/>
      <c r="M149" s="228"/>
      <c r="N149" s="228"/>
      <c r="O149" s="228"/>
      <c r="P149" s="228"/>
      <c r="Q149" s="228"/>
      <c r="R149" s="228"/>
      <c r="S149" s="228"/>
      <c r="T149" s="228"/>
      <c r="U149" s="228"/>
      <c r="V149" s="228"/>
      <c r="W149" s="228"/>
      <c r="X149" s="228"/>
      <c r="Y149" s="228"/>
      <c r="Z149" s="228"/>
      <c r="AA149" s="228"/>
      <c r="AB149" s="228"/>
      <c r="AC149" s="228"/>
      <c r="AD149" s="228"/>
    </row>
    <row r="150">
      <c r="A150" s="228"/>
      <c r="B150" s="228"/>
      <c r="C150" s="228"/>
      <c r="D150" s="228"/>
      <c r="E150" s="228"/>
      <c r="F150" s="228"/>
      <c r="G150" s="228"/>
      <c r="H150" s="228"/>
      <c r="I150" s="228"/>
      <c r="J150" s="228"/>
      <c r="K150" s="228"/>
      <c r="L150" s="228"/>
      <c r="M150" s="228"/>
      <c r="N150" s="228"/>
      <c r="O150" s="228"/>
      <c r="P150" s="228"/>
      <c r="Q150" s="228"/>
      <c r="R150" s="228"/>
      <c r="S150" s="228"/>
      <c r="T150" s="228"/>
      <c r="U150" s="228"/>
      <c r="V150" s="228"/>
      <c r="W150" s="228"/>
      <c r="X150" s="228"/>
      <c r="Y150" s="228"/>
      <c r="Z150" s="228"/>
      <c r="AA150" s="228"/>
      <c r="AB150" s="228"/>
      <c r="AC150" s="228"/>
      <c r="AD150" s="228"/>
    </row>
    <row r="151">
      <c r="A151" s="228"/>
      <c r="B151" s="228"/>
      <c r="C151" s="228"/>
      <c r="D151" s="228"/>
      <c r="E151" s="228"/>
      <c r="F151" s="228"/>
      <c r="G151" s="228"/>
      <c r="H151" s="228"/>
      <c r="I151" s="228"/>
      <c r="J151" s="228"/>
      <c r="K151" s="228"/>
      <c r="L151" s="228"/>
      <c r="M151" s="228"/>
      <c r="N151" s="228"/>
      <c r="O151" s="228"/>
      <c r="P151" s="228"/>
      <c r="Q151" s="228"/>
      <c r="R151" s="228"/>
      <c r="S151" s="228"/>
      <c r="T151" s="228"/>
      <c r="U151" s="228"/>
      <c r="V151" s="228"/>
      <c r="W151" s="228"/>
      <c r="X151" s="228"/>
      <c r="Y151" s="228"/>
      <c r="Z151" s="228"/>
      <c r="AA151" s="228"/>
      <c r="AB151" s="228"/>
      <c r="AC151" s="228"/>
      <c r="AD151" s="228"/>
    </row>
    <row r="152">
      <c r="A152" s="228"/>
      <c r="B152" s="228"/>
      <c r="C152" s="228"/>
      <c r="D152" s="228"/>
      <c r="E152" s="228"/>
      <c r="F152" s="228"/>
      <c r="G152" s="228"/>
      <c r="H152" s="228"/>
      <c r="I152" s="228"/>
      <c r="J152" s="228"/>
      <c r="K152" s="228"/>
      <c r="L152" s="228"/>
      <c r="M152" s="228"/>
      <c r="N152" s="228"/>
      <c r="O152" s="228"/>
      <c r="P152" s="228"/>
      <c r="Q152" s="228"/>
      <c r="R152" s="228"/>
      <c r="S152" s="228"/>
      <c r="T152" s="228"/>
      <c r="U152" s="228"/>
      <c r="V152" s="228"/>
      <c r="W152" s="228"/>
      <c r="X152" s="228"/>
      <c r="Y152" s="228"/>
      <c r="Z152" s="228"/>
      <c r="AA152" s="228"/>
      <c r="AB152" s="228"/>
      <c r="AC152" s="228"/>
      <c r="AD152" s="228"/>
    </row>
    <row r="153">
      <c r="A153" s="228"/>
      <c r="B153" s="228"/>
      <c r="C153" s="228"/>
      <c r="D153" s="228"/>
      <c r="E153" s="228"/>
      <c r="F153" s="228"/>
      <c r="G153" s="228"/>
      <c r="H153" s="228"/>
      <c r="I153" s="228"/>
      <c r="J153" s="228"/>
      <c r="K153" s="228"/>
      <c r="L153" s="228"/>
      <c r="M153" s="228"/>
      <c r="N153" s="228"/>
      <c r="O153" s="228"/>
      <c r="P153" s="228"/>
      <c r="Q153" s="228"/>
      <c r="R153" s="228"/>
      <c r="S153" s="228"/>
      <c r="T153" s="228"/>
      <c r="U153" s="228"/>
      <c r="V153" s="228"/>
      <c r="W153" s="228"/>
      <c r="X153" s="228"/>
      <c r="Y153" s="228"/>
      <c r="Z153" s="228"/>
      <c r="AA153" s="228"/>
      <c r="AB153" s="228"/>
      <c r="AC153" s="228"/>
      <c r="AD153" s="228"/>
    </row>
    <row r="154">
      <c r="A154" s="228"/>
      <c r="B154" s="228"/>
      <c r="C154" s="228"/>
      <c r="D154" s="228"/>
      <c r="E154" s="228"/>
      <c r="F154" s="228"/>
      <c r="G154" s="228"/>
      <c r="H154" s="228"/>
      <c r="I154" s="228"/>
      <c r="J154" s="228"/>
      <c r="K154" s="228"/>
      <c r="L154" s="228"/>
      <c r="M154" s="228"/>
      <c r="N154" s="228"/>
      <c r="O154" s="228"/>
      <c r="P154" s="228"/>
      <c r="Q154" s="228"/>
      <c r="R154" s="228"/>
      <c r="S154" s="228"/>
      <c r="T154" s="228"/>
      <c r="U154" s="228"/>
      <c r="V154" s="228"/>
      <c r="W154" s="228"/>
      <c r="X154" s="228"/>
      <c r="Y154" s="228"/>
      <c r="Z154" s="228"/>
      <c r="AA154" s="228"/>
      <c r="AB154" s="228"/>
      <c r="AC154" s="228"/>
      <c r="AD154" s="228"/>
    </row>
    <row r="155">
      <c r="A155" s="228"/>
      <c r="B155" s="228"/>
      <c r="C155" s="228"/>
      <c r="D155" s="228"/>
      <c r="E155" s="228"/>
      <c r="F155" s="228"/>
      <c r="G155" s="228"/>
      <c r="H155" s="228"/>
      <c r="I155" s="228"/>
      <c r="J155" s="228"/>
      <c r="K155" s="228"/>
      <c r="L155" s="228"/>
      <c r="M155" s="228"/>
      <c r="N155" s="228"/>
      <c r="O155" s="228"/>
      <c r="P155" s="228"/>
      <c r="Q155" s="228"/>
      <c r="R155" s="228"/>
      <c r="S155" s="228"/>
      <c r="T155" s="228"/>
      <c r="U155" s="228"/>
      <c r="V155" s="228"/>
      <c r="W155" s="228"/>
      <c r="X155" s="228"/>
      <c r="Y155" s="228"/>
      <c r="Z155" s="228"/>
      <c r="AA155" s="228"/>
      <c r="AB155" s="228"/>
      <c r="AC155" s="228"/>
      <c r="AD155" s="228"/>
    </row>
    <row r="156">
      <c r="A156" s="228"/>
      <c r="B156" s="228"/>
      <c r="C156" s="228"/>
      <c r="D156" s="228"/>
      <c r="E156" s="228"/>
      <c r="F156" s="228"/>
      <c r="G156" s="228"/>
      <c r="H156" s="228"/>
      <c r="I156" s="228"/>
      <c r="J156" s="228"/>
      <c r="K156" s="228"/>
      <c r="L156" s="228"/>
      <c r="M156" s="228"/>
      <c r="N156" s="228"/>
      <c r="O156" s="228"/>
      <c r="P156" s="228"/>
      <c r="Q156" s="228"/>
      <c r="R156" s="228"/>
      <c r="S156" s="228"/>
      <c r="T156" s="228"/>
      <c r="U156" s="228"/>
      <c r="V156" s="228"/>
      <c r="W156" s="228"/>
      <c r="X156" s="228"/>
      <c r="Y156" s="228"/>
      <c r="Z156" s="228"/>
      <c r="AA156" s="228"/>
      <c r="AB156" s="228"/>
      <c r="AC156" s="228"/>
      <c r="AD156" s="228"/>
    </row>
    <row r="157">
      <c r="A157" s="228"/>
      <c r="B157" s="228"/>
      <c r="C157" s="228"/>
      <c r="D157" s="228"/>
      <c r="E157" s="228"/>
      <c r="F157" s="228"/>
      <c r="G157" s="228"/>
      <c r="H157" s="228"/>
      <c r="I157" s="228"/>
      <c r="J157" s="228"/>
      <c r="K157" s="228"/>
      <c r="L157" s="228"/>
      <c r="M157" s="228"/>
      <c r="N157" s="228"/>
      <c r="O157" s="228"/>
      <c r="P157" s="228"/>
      <c r="Q157" s="228"/>
      <c r="R157" s="228"/>
      <c r="S157" s="228"/>
      <c r="T157" s="228"/>
      <c r="U157" s="228"/>
      <c r="V157" s="228"/>
      <c r="W157" s="228"/>
      <c r="X157" s="228"/>
      <c r="Y157" s="228"/>
      <c r="Z157" s="228"/>
      <c r="AA157" s="228"/>
      <c r="AB157" s="228"/>
      <c r="AC157" s="228"/>
      <c r="AD157" s="228"/>
    </row>
    <row r="158">
      <c r="A158" s="228"/>
      <c r="B158" s="228"/>
      <c r="C158" s="228"/>
      <c r="D158" s="228"/>
      <c r="E158" s="228"/>
      <c r="F158" s="228"/>
      <c r="G158" s="228"/>
      <c r="H158" s="228"/>
      <c r="I158" s="228"/>
      <c r="J158" s="228"/>
      <c r="K158" s="228"/>
      <c r="L158" s="228"/>
      <c r="M158" s="228"/>
      <c r="N158" s="228"/>
      <c r="O158" s="228"/>
      <c r="P158" s="228"/>
      <c r="Q158" s="228"/>
      <c r="R158" s="228"/>
      <c r="S158" s="228"/>
      <c r="T158" s="228"/>
      <c r="U158" s="228"/>
      <c r="V158" s="228"/>
      <c r="W158" s="228"/>
      <c r="X158" s="228"/>
      <c r="Y158" s="228"/>
      <c r="Z158" s="228"/>
      <c r="AA158" s="228"/>
      <c r="AB158" s="228"/>
      <c r="AC158" s="228"/>
      <c r="AD158" s="228"/>
    </row>
    <row r="159">
      <c r="A159" s="228"/>
      <c r="B159" s="228"/>
      <c r="C159" s="228"/>
      <c r="D159" s="228"/>
      <c r="E159" s="228"/>
      <c r="F159" s="228"/>
      <c r="G159" s="228"/>
      <c r="H159" s="228"/>
      <c r="I159" s="228"/>
      <c r="J159" s="228"/>
      <c r="K159" s="228"/>
      <c r="L159" s="228"/>
      <c r="M159" s="228"/>
      <c r="N159" s="228"/>
      <c r="O159" s="228"/>
      <c r="P159" s="228"/>
      <c r="Q159" s="228"/>
      <c r="R159" s="228"/>
      <c r="S159" s="228"/>
      <c r="T159" s="228"/>
      <c r="U159" s="228"/>
      <c r="V159" s="228"/>
      <c r="W159" s="228"/>
      <c r="X159" s="228"/>
      <c r="Y159" s="228"/>
      <c r="Z159" s="228"/>
      <c r="AA159" s="228"/>
      <c r="AB159" s="228"/>
      <c r="AC159" s="228"/>
      <c r="AD159" s="228"/>
    </row>
    <row r="160">
      <c r="A160" s="228"/>
      <c r="B160" s="228"/>
      <c r="C160" s="228"/>
      <c r="D160" s="228"/>
      <c r="E160" s="228"/>
      <c r="F160" s="228"/>
      <c r="G160" s="228"/>
      <c r="H160" s="228"/>
      <c r="I160" s="228"/>
      <c r="J160" s="228"/>
      <c r="K160" s="228"/>
      <c r="L160" s="228"/>
      <c r="M160" s="228"/>
      <c r="N160" s="228"/>
      <c r="O160" s="228"/>
      <c r="P160" s="228"/>
      <c r="Q160" s="228"/>
      <c r="R160" s="228"/>
      <c r="S160" s="228"/>
      <c r="T160" s="228"/>
      <c r="U160" s="228"/>
      <c r="V160" s="228"/>
      <c r="W160" s="228"/>
      <c r="X160" s="228"/>
      <c r="Y160" s="228"/>
      <c r="Z160" s="228"/>
      <c r="AA160" s="228"/>
      <c r="AB160" s="228"/>
      <c r="AC160" s="228"/>
      <c r="AD160" s="228"/>
    </row>
    <row r="161">
      <c r="A161" s="228"/>
      <c r="B161" s="228"/>
      <c r="C161" s="228"/>
      <c r="D161" s="228"/>
      <c r="E161" s="228"/>
      <c r="F161" s="228"/>
      <c r="G161" s="228"/>
      <c r="H161" s="228"/>
      <c r="I161" s="228"/>
      <c r="J161" s="228"/>
      <c r="K161" s="228"/>
      <c r="L161" s="228"/>
      <c r="M161" s="228"/>
      <c r="N161" s="228"/>
      <c r="O161" s="228"/>
      <c r="P161" s="228"/>
      <c r="Q161" s="228"/>
      <c r="R161" s="228"/>
      <c r="S161" s="228"/>
      <c r="T161" s="228"/>
      <c r="U161" s="228"/>
      <c r="V161" s="228"/>
      <c r="W161" s="228"/>
      <c r="X161" s="228"/>
      <c r="Y161" s="228"/>
      <c r="Z161" s="228"/>
      <c r="AA161" s="228"/>
      <c r="AB161" s="228"/>
      <c r="AC161" s="228"/>
      <c r="AD161" s="228"/>
    </row>
    <row r="162">
      <c r="A162" s="228"/>
      <c r="B162" s="228"/>
      <c r="C162" s="228"/>
      <c r="D162" s="228"/>
      <c r="E162" s="228"/>
      <c r="F162" s="228"/>
      <c r="G162" s="228"/>
      <c r="H162" s="228"/>
      <c r="I162" s="228"/>
      <c r="J162" s="228"/>
      <c r="K162" s="228"/>
      <c r="L162" s="228"/>
      <c r="M162" s="228"/>
      <c r="N162" s="228"/>
      <c r="O162" s="228"/>
      <c r="P162" s="228"/>
      <c r="Q162" s="228"/>
      <c r="R162" s="228"/>
      <c r="S162" s="228"/>
      <c r="T162" s="228"/>
      <c r="U162" s="228"/>
      <c r="V162" s="228"/>
      <c r="W162" s="228"/>
      <c r="X162" s="228"/>
      <c r="Y162" s="228"/>
      <c r="Z162" s="228"/>
      <c r="AA162" s="228"/>
      <c r="AB162" s="228"/>
      <c r="AC162" s="228"/>
      <c r="AD162" s="228"/>
    </row>
    <row r="163">
      <c r="A163" s="228"/>
      <c r="B163" s="228"/>
      <c r="C163" s="228"/>
      <c r="D163" s="228"/>
      <c r="E163" s="228"/>
      <c r="F163" s="228"/>
      <c r="G163" s="228"/>
      <c r="H163" s="228"/>
      <c r="I163" s="228"/>
      <c r="J163" s="228"/>
      <c r="K163" s="228"/>
      <c r="L163" s="228"/>
      <c r="M163" s="228"/>
      <c r="N163" s="228"/>
      <c r="O163" s="228"/>
      <c r="P163" s="228"/>
      <c r="Q163" s="228"/>
      <c r="R163" s="228"/>
      <c r="S163" s="228"/>
      <c r="T163" s="228"/>
      <c r="U163" s="228"/>
      <c r="V163" s="228"/>
      <c r="W163" s="228"/>
      <c r="X163" s="228"/>
      <c r="Y163" s="228"/>
      <c r="Z163" s="228"/>
      <c r="AA163" s="228"/>
      <c r="AB163" s="228"/>
      <c r="AC163" s="228"/>
      <c r="AD163" s="228"/>
    </row>
    <row r="164">
      <c r="A164" s="228"/>
      <c r="B164" s="228"/>
      <c r="C164" s="228"/>
      <c r="D164" s="228"/>
      <c r="E164" s="228"/>
      <c r="F164" s="228"/>
      <c r="G164" s="228"/>
      <c r="H164" s="228"/>
      <c r="I164" s="228"/>
      <c r="J164" s="228"/>
      <c r="K164" s="228"/>
      <c r="L164" s="228"/>
      <c r="M164" s="228"/>
      <c r="N164" s="228"/>
      <c r="O164" s="228"/>
      <c r="P164" s="228"/>
      <c r="Q164" s="228"/>
      <c r="R164" s="228"/>
      <c r="S164" s="228"/>
      <c r="T164" s="228"/>
      <c r="U164" s="228"/>
      <c r="V164" s="228"/>
      <c r="W164" s="228"/>
      <c r="X164" s="228"/>
      <c r="Y164" s="228"/>
      <c r="Z164" s="228"/>
      <c r="AA164" s="228"/>
      <c r="AB164" s="228"/>
      <c r="AC164" s="228"/>
      <c r="AD164" s="228"/>
    </row>
    <row r="165">
      <c r="A165" s="228"/>
      <c r="B165" s="228"/>
      <c r="C165" s="228"/>
      <c r="D165" s="228"/>
      <c r="E165" s="228"/>
      <c r="F165" s="228"/>
      <c r="G165" s="228"/>
      <c r="H165" s="228"/>
      <c r="I165" s="228"/>
      <c r="J165" s="228"/>
      <c r="K165" s="228"/>
      <c r="L165" s="228"/>
      <c r="M165" s="228"/>
      <c r="N165" s="228"/>
      <c r="O165" s="228"/>
      <c r="P165" s="228"/>
      <c r="Q165" s="228"/>
      <c r="R165" s="228"/>
      <c r="S165" s="228"/>
      <c r="T165" s="228"/>
      <c r="U165" s="228"/>
      <c r="V165" s="228"/>
      <c r="W165" s="228"/>
      <c r="X165" s="228"/>
      <c r="Y165" s="228"/>
      <c r="Z165" s="228"/>
      <c r="AA165" s="228"/>
      <c r="AB165" s="228"/>
      <c r="AC165" s="228"/>
      <c r="AD165" s="228"/>
    </row>
    <row r="166">
      <c r="A166" s="228"/>
      <c r="B166" s="228"/>
      <c r="C166" s="228"/>
      <c r="D166" s="228"/>
      <c r="E166" s="228"/>
      <c r="F166" s="228"/>
      <c r="G166" s="228"/>
      <c r="H166" s="228"/>
      <c r="I166" s="228"/>
      <c r="J166" s="228"/>
      <c r="K166" s="228"/>
      <c r="L166" s="228"/>
      <c r="M166" s="228"/>
      <c r="N166" s="228"/>
      <c r="O166" s="228"/>
      <c r="P166" s="228"/>
      <c r="Q166" s="228"/>
      <c r="R166" s="228"/>
      <c r="S166" s="228"/>
      <c r="T166" s="228"/>
      <c r="U166" s="228"/>
      <c r="V166" s="228"/>
      <c r="W166" s="228"/>
      <c r="X166" s="228"/>
      <c r="Y166" s="228"/>
      <c r="Z166" s="228"/>
      <c r="AA166" s="228"/>
      <c r="AB166" s="228"/>
      <c r="AC166" s="228"/>
      <c r="AD166" s="228"/>
    </row>
    <row r="167">
      <c r="A167" s="228"/>
      <c r="B167" s="228"/>
      <c r="C167" s="228"/>
      <c r="D167" s="228"/>
      <c r="E167" s="228"/>
      <c r="F167" s="228"/>
      <c r="G167" s="228"/>
      <c r="H167" s="228"/>
      <c r="I167" s="228"/>
      <c r="J167" s="228"/>
      <c r="K167" s="228"/>
      <c r="L167" s="228"/>
      <c r="M167" s="228"/>
      <c r="N167" s="228"/>
      <c r="O167" s="228"/>
      <c r="P167" s="228"/>
      <c r="Q167" s="228"/>
      <c r="R167" s="228"/>
      <c r="S167" s="228"/>
      <c r="T167" s="228"/>
      <c r="U167" s="228"/>
      <c r="V167" s="228"/>
      <c r="W167" s="228"/>
      <c r="X167" s="228"/>
      <c r="Y167" s="228"/>
      <c r="Z167" s="228"/>
      <c r="AA167" s="228"/>
      <c r="AB167" s="228"/>
      <c r="AC167" s="228"/>
      <c r="AD167" s="228"/>
    </row>
    <row r="168">
      <c r="A168" s="228"/>
      <c r="B168" s="228"/>
      <c r="C168" s="228"/>
      <c r="D168" s="228"/>
      <c r="E168" s="228"/>
      <c r="F168" s="228"/>
      <c r="G168" s="228"/>
      <c r="H168" s="228"/>
      <c r="I168" s="228"/>
      <c r="J168" s="228"/>
      <c r="K168" s="228"/>
      <c r="L168" s="228"/>
      <c r="M168" s="228"/>
      <c r="N168" s="228"/>
      <c r="O168" s="228"/>
      <c r="P168" s="228"/>
      <c r="Q168" s="228"/>
      <c r="R168" s="228"/>
      <c r="S168" s="228"/>
      <c r="T168" s="228"/>
      <c r="U168" s="228"/>
      <c r="V168" s="228"/>
      <c r="W168" s="228"/>
      <c r="X168" s="228"/>
      <c r="Y168" s="228"/>
      <c r="Z168" s="228"/>
      <c r="AA168" s="228"/>
      <c r="AB168" s="228"/>
      <c r="AC168" s="228"/>
      <c r="AD168" s="228"/>
    </row>
    <row r="169">
      <c r="A169" s="228"/>
      <c r="B169" s="228"/>
      <c r="C169" s="228"/>
      <c r="D169" s="228"/>
      <c r="E169" s="228"/>
      <c r="F169" s="228"/>
      <c r="G169" s="228"/>
      <c r="H169" s="228"/>
      <c r="I169" s="228"/>
      <c r="J169" s="228"/>
      <c r="K169" s="228"/>
      <c r="L169" s="228"/>
      <c r="M169" s="228"/>
      <c r="N169" s="228"/>
      <c r="O169" s="228"/>
      <c r="P169" s="228"/>
      <c r="Q169" s="228"/>
      <c r="R169" s="228"/>
      <c r="S169" s="228"/>
      <c r="T169" s="228"/>
      <c r="U169" s="228"/>
      <c r="V169" s="228"/>
      <c r="W169" s="228"/>
      <c r="X169" s="228"/>
      <c r="Y169" s="228"/>
      <c r="Z169" s="228"/>
      <c r="AA169" s="228"/>
      <c r="AB169" s="228"/>
      <c r="AC169" s="228"/>
      <c r="AD169" s="228"/>
    </row>
    <row r="170">
      <c r="A170" s="228"/>
      <c r="B170" s="228"/>
      <c r="C170" s="228"/>
      <c r="D170" s="228"/>
      <c r="E170" s="228"/>
      <c r="F170" s="228"/>
      <c r="G170" s="228"/>
      <c r="H170" s="228"/>
      <c r="I170" s="228"/>
      <c r="J170" s="228"/>
      <c r="K170" s="228"/>
      <c r="L170" s="228"/>
      <c r="M170" s="228"/>
      <c r="N170" s="228"/>
      <c r="O170" s="228"/>
      <c r="P170" s="228"/>
      <c r="Q170" s="228"/>
      <c r="R170" s="228"/>
      <c r="S170" s="228"/>
      <c r="T170" s="228"/>
      <c r="U170" s="228"/>
      <c r="V170" s="228"/>
      <c r="W170" s="228"/>
      <c r="X170" s="228"/>
      <c r="Y170" s="228"/>
      <c r="Z170" s="228"/>
      <c r="AA170" s="228"/>
      <c r="AB170" s="228"/>
      <c r="AC170" s="228"/>
      <c r="AD170" s="228"/>
    </row>
    <row r="171">
      <c r="A171" s="228"/>
      <c r="B171" s="228"/>
      <c r="C171" s="228"/>
      <c r="D171" s="228"/>
      <c r="E171" s="228"/>
      <c r="F171" s="228"/>
      <c r="G171" s="228"/>
      <c r="H171" s="228"/>
      <c r="I171" s="228"/>
      <c r="J171" s="228"/>
      <c r="K171" s="228"/>
      <c r="L171" s="228"/>
      <c r="M171" s="228"/>
      <c r="N171" s="228"/>
      <c r="O171" s="228"/>
      <c r="P171" s="228"/>
      <c r="Q171" s="228"/>
      <c r="R171" s="228"/>
      <c r="S171" s="228"/>
      <c r="T171" s="228"/>
      <c r="U171" s="228"/>
      <c r="V171" s="228"/>
      <c r="W171" s="228"/>
      <c r="X171" s="228"/>
      <c r="Y171" s="228"/>
      <c r="Z171" s="228"/>
      <c r="AA171" s="228"/>
      <c r="AB171" s="228"/>
      <c r="AC171" s="228"/>
      <c r="AD171" s="228"/>
    </row>
    <row r="172">
      <c r="A172" s="228"/>
      <c r="B172" s="228"/>
      <c r="C172" s="228"/>
      <c r="D172" s="228"/>
      <c r="E172" s="228"/>
      <c r="F172" s="228"/>
      <c r="G172" s="228"/>
      <c r="H172" s="228"/>
      <c r="I172" s="228"/>
      <c r="J172" s="228"/>
      <c r="K172" s="228"/>
      <c r="L172" s="228"/>
      <c r="M172" s="228"/>
      <c r="N172" s="228"/>
      <c r="O172" s="228"/>
      <c r="P172" s="228"/>
      <c r="Q172" s="228"/>
      <c r="R172" s="228"/>
      <c r="S172" s="228"/>
      <c r="T172" s="228"/>
      <c r="U172" s="228"/>
      <c r="V172" s="228"/>
      <c r="W172" s="228"/>
      <c r="X172" s="228"/>
      <c r="Y172" s="228"/>
      <c r="Z172" s="228"/>
      <c r="AA172" s="228"/>
      <c r="AB172" s="228"/>
      <c r="AC172" s="228"/>
      <c r="AD172" s="228"/>
    </row>
    <row r="173">
      <c r="A173" s="228"/>
      <c r="B173" s="228"/>
      <c r="C173" s="228"/>
      <c r="D173" s="228"/>
      <c r="E173" s="228"/>
      <c r="F173" s="228"/>
      <c r="G173" s="228"/>
      <c r="H173" s="228"/>
      <c r="I173" s="228"/>
      <c r="J173" s="228"/>
      <c r="K173" s="228"/>
      <c r="L173" s="228"/>
      <c r="M173" s="228"/>
      <c r="N173" s="228"/>
      <c r="O173" s="228"/>
      <c r="P173" s="228"/>
      <c r="Q173" s="228"/>
      <c r="R173" s="228"/>
      <c r="S173" s="228"/>
      <c r="T173" s="228"/>
      <c r="U173" s="228"/>
      <c r="V173" s="228"/>
      <c r="W173" s="228"/>
      <c r="X173" s="228"/>
      <c r="Y173" s="228"/>
      <c r="Z173" s="228"/>
      <c r="AA173" s="228"/>
      <c r="AB173" s="228"/>
      <c r="AC173" s="228"/>
      <c r="AD173" s="228"/>
    </row>
    <row r="174">
      <c r="A174" s="228"/>
      <c r="B174" s="228"/>
      <c r="C174" s="228"/>
      <c r="D174" s="228"/>
      <c r="E174" s="228"/>
      <c r="F174" s="228"/>
      <c r="G174" s="228"/>
      <c r="H174" s="228"/>
      <c r="I174" s="228"/>
      <c r="J174" s="228"/>
      <c r="K174" s="228"/>
      <c r="L174" s="228"/>
      <c r="M174" s="228"/>
      <c r="N174" s="228"/>
      <c r="O174" s="228"/>
      <c r="P174" s="228"/>
      <c r="Q174" s="228"/>
      <c r="R174" s="228"/>
      <c r="S174" s="228"/>
      <c r="T174" s="228"/>
      <c r="U174" s="228"/>
      <c r="V174" s="228"/>
      <c r="W174" s="228"/>
      <c r="X174" s="228"/>
      <c r="Y174" s="228"/>
      <c r="Z174" s="228"/>
      <c r="AA174" s="228"/>
      <c r="AB174" s="228"/>
      <c r="AC174" s="228"/>
      <c r="AD174" s="228"/>
    </row>
    <row r="175">
      <c r="A175" s="228"/>
      <c r="B175" s="228"/>
      <c r="C175" s="228"/>
      <c r="D175" s="228"/>
      <c r="E175" s="228"/>
      <c r="F175" s="228"/>
      <c r="G175" s="228"/>
      <c r="H175" s="228"/>
      <c r="I175" s="228"/>
      <c r="J175" s="228"/>
      <c r="K175" s="228"/>
      <c r="L175" s="228"/>
      <c r="M175" s="228"/>
      <c r="N175" s="228"/>
      <c r="O175" s="228"/>
      <c r="P175" s="228"/>
      <c r="Q175" s="228"/>
      <c r="R175" s="228"/>
      <c r="S175" s="228"/>
      <c r="T175" s="228"/>
      <c r="U175" s="228"/>
      <c r="V175" s="228"/>
      <c r="W175" s="228"/>
      <c r="X175" s="228"/>
      <c r="Y175" s="228"/>
      <c r="Z175" s="228"/>
      <c r="AA175" s="228"/>
      <c r="AB175" s="228"/>
      <c r="AC175" s="228"/>
      <c r="AD175" s="228"/>
    </row>
    <row r="176">
      <c r="A176" s="228"/>
      <c r="B176" s="228"/>
      <c r="C176" s="228"/>
      <c r="D176" s="228"/>
      <c r="E176" s="228"/>
      <c r="F176" s="228"/>
      <c r="G176" s="228"/>
      <c r="H176" s="228"/>
      <c r="I176" s="228"/>
      <c r="J176" s="228"/>
      <c r="K176" s="228"/>
      <c r="L176" s="228"/>
      <c r="M176" s="228"/>
      <c r="N176" s="228"/>
      <c r="O176" s="228"/>
      <c r="P176" s="228"/>
      <c r="Q176" s="228"/>
      <c r="R176" s="228"/>
      <c r="S176" s="228"/>
      <c r="T176" s="228"/>
      <c r="U176" s="228"/>
      <c r="V176" s="228"/>
      <c r="W176" s="228"/>
      <c r="X176" s="228"/>
      <c r="Y176" s="228"/>
      <c r="Z176" s="228"/>
      <c r="AA176" s="228"/>
      <c r="AB176" s="228"/>
      <c r="AC176" s="228"/>
      <c r="AD176" s="228"/>
    </row>
    <row r="177">
      <c r="A177" s="228"/>
      <c r="B177" s="228"/>
      <c r="C177" s="228"/>
      <c r="D177" s="228"/>
      <c r="E177" s="228"/>
      <c r="F177" s="228"/>
      <c r="G177" s="228"/>
      <c r="H177" s="228"/>
      <c r="I177" s="228"/>
      <c r="J177" s="228"/>
      <c r="K177" s="228"/>
      <c r="L177" s="228"/>
      <c r="M177" s="228"/>
      <c r="N177" s="228"/>
      <c r="O177" s="228"/>
      <c r="P177" s="228"/>
      <c r="Q177" s="228"/>
      <c r="R177" s="228"/>
      <c r="S177" s="228"/>
      <c r="T177" s="228"/>
      <c r="U177" s="228"/>
      <c r="V177" s="228"/>
      <c r="W177" s="228"/>
      <c r="X177" s="228"/>
      <c r="Y177" s="228"/>
      <c r="Z177" s="228"/>
      <c r="AA177" s="228"/>
      <c r="AB177" s="228"/>
      <c r="AC177" s="228"/>
      <c r="AD177" s="228"/>
    </row>
    <row r="178">
      <c r="A178" s="228"/>
      <c r="B178" s="228"/>
      <c r="C178" s="228"/>
      <c r="D178" s="228"/>
      <c r="E178" s="228"/>
      <c r="F178" s="228"/>
      <c r="G178" s="228"/>
      <c r="H178" s="228"/>
      <c r="I178" s="228"/>
      <c r="J178" s="228"/>
      <c r="K178" s="228"/>
      <c r="L178" s="228"/>
      <c r="M178" s="228"/>
      <c r="N178" s="228"/>
      <c r="O178" s="228"/>
      <c r="P178" s="228"/>
      <c r="Q178" s="228"/>
      <c r="R178" s="228"/>
      <c r="S178" s="228"/>
      <c r="T178" s="228"/>
      <c r="U178" s="228"/>
      <c r="V178" s="228"/>
      <c r="W178" s="228"/>
      <c r="X178" s="228"/>
      <c r="Y178" s="228"/>
      <c r="Z178" s="228"/>
      <c r="AA178" s="228"/>
      <c r="AB178" s="228"/>
      <c r="AC178" s="228"/>
      <c r="AD178" s="228"/>
    </row>
    <row r="179">
      <c r="A179" s="228"/>
      <c r="B179" s="228"/>
      <c r="C179" s="228"/>
      <c r="D179" s="228"/>
      <c r="E179" s="228"/>
      <c r="F179" s="228"/>
      <c r="G179" s="228"/>
      <c r="H179" s="228"/>
      <c r="I179" s="228"/>
      <c r="J179" s="228"/>
      <c r="K179" s="228"/>
      <c r="L179" s="228"/>
      <c r="M179" s="228"/>
      <c r="N179" s="228"/>
      <c r="O179" s="228"/>
      <c r="P179" s="228"/>
      <c r="Q179" s="228"/>
      <c r="R179" s="228"/>
      <c r="S179" s="228"/>
      <c r="T179" s="228"/>
      <c r="U179" s="228"/>
      <c r="V179" s="228"/>
      <c r="W179" s="228"/>
      <c r="X179" s="228"/>
      <c r="Y179" s="228"/>
      <c r="Z179" s="228"/>
      <c r="AA179" s="228"/>
      <c r="AB179" s="228"/>
      <c r="AC179" s="228"/>
      <c r="AD179" s="228"/>
    </row>
    <row r="180">
      <c r="A180" s="228"/>
      <c r="B180" s="228"/>
      <c r="C180" s="228"/>
      <c r="D180" s="228"/>
      <c r="E180" s="228"/>
      <c r="F180" s="228"/>
      <c r="G180" s="228"/>
      <c r="H180" s="228"/>
      <c r="I180" s="228"/>
      <c r="J180" s="228"/>
      <c r="K180" s="228"/>
      <c r="L180" s="228"/>
      <c r="M180" s="228"/>
      <c r="N180" s="228"/>
      <c r="O180" s="228"/>
      <c r="P180" s="228"/>
      <c r="Q180" s="228"/>
      <c r="R180" s="228"/>
      <c r="S180" s="228"/>
      <c r="T180" s="228"/>
      <c r="U180" s="228"/>
      <c r="V180" s="228"/>
      <c r="W180" s="228"/>
      <c r="X180" s="228"/>
      <c r="Y180" s="228"/>
      <c r="Z180" s="228"/>
      <c r="AA180" s="228"/>
      <c r="AB180" s="228"/>
      <c r="AC180" s="228"/>
      <c r="AD180" s="228"/>
    </row>
    <row r="181">
      <c r="A181" s="228"/>
      <c r="B181" s="228"/>
      <c r="C181" s="228"/>
      <c r="D181" s="228"/>
      <c r="E181" s="228"/>
      <c r="F181" s="228"/>
      <c r="G181" s="228"/>
      <c r="H181" s="228"/>
      <c r="I181" s="228"/>
      <c r="J181" s="228"/>
      <c r="K181" s="228"/>
      <c r="L181" s="228"/>
      <c r="M181" s="228"/>
      <c r="N181" s="228"/>
      <c r="O181" s="228"/>
      <c r="P181" s="228"/>
      <c r="Q181" s="228"/>
      <c r="R181" s="228"/>
      <c r="S181" s="228"/>
      <c r="T181" s="228"/>
      <c r="U181" s="228"/>
      <c r="V181" s="228"/>
      <c r="W181" s="228"/>
      <c r="X181" s="228"/>
      <c r="Y181" s="228"/>
      <c r="Z181" s="228"/>
      <c r="AA181" s="228"/>
      <c r="AB181" s="228"/>
      <c r="AC181" s="228"/>
      <c r="AD181" s="228"/>
    </row>
    <row r="182">
      <c r="A182" s="228"/>
      <c r="B182" s="228"/>
      <c r="C182" s="228"/>
      <c r="D182" s="228"/>
      <c r="E182" s="228"/>
      <c r="F182" s="228"/>
      <c r="G182" s="228"/>
      <c r="H182" s="228"/>
      <c r="I182" s="228"/>
      <c r="J182" s="228"/>
      <c r="K182" s="228"/>
      <c r="L182" s="228"/>
      <c r="M182" s="228"/>
      <c r="N182" s="228"/>
      <c r="O182" s="228"/>
      <c r="P182" s="228"/>
      <c r="Q182" s="228"/>
      <c r="R182" s="228"/>
      <c r="S182" s="228"/>
      <c r="T182" s="228"/>
      <c r="U182" s="228"/>
      <c r="V182" s="228"/>
      <c r="W182" s="228"/>
      <c r="X182" s="228"/>
      <c r="Y182" s="228"/>
      <c r="Z182" s="228"/>
      <c r="AA182" s="228"/>
      <c r="AB182" s="228"/>
      <c r="AC182" s="228"/>
      <c r="AD182" s="228"/>
    </row>
    <row r="183">
      <c r="A183" s="228"/>
      <c r="B183" s="228"/>
      <c r="C183" s="228"/>
      <c r="D183" s="228"/>
      <c r="E183" s="228"/>
      <c r="F183" s="228"/>
      <c r="G183" s="228"/>
      <c r="H183" s="228"/>
      <c r="I183" s="228"/>
      <c r="J183" s="228"/>
      <c r="K183" s="228"/>
      <c r="L183" s="228"/>
      <c r="M183" s="228"/>
      <c r="N183" s="228"/>
      <c r="O183" s="228"/>
      <c r="P183" s="228"/>
      <c r="Q183" s="228"/>
      <c r="R183" s="228"/>
      <c r="S183" s="228"/>
      <c r="T183" s="228"/>
      <c r="U183" s="228"/>
      <c r="V183" s="228"/>
      <c r="W183" s="228"/>
      <c r="X183" s="228"/>
      <c r="Y183" s="228"/>
      <c r="Z183" s="228"/>
      <c r="AA183" s="228"/>
      <c r="AB183" s="228"/>
      <c r="AC183" s="228"/>
      <c r="AD183" s="228"/>
    </row>
    <row r="184">
      <c r="A184" s="228"/>
      <c r="B184" s="228"/>
      <c r="C184" s="228"/>
      <c r="D184" s="228"/>
      <c r="E184" s="228"/>
      <c r="F184" s="228"/>
      <c r="G184" s="228"/>
      <c r="H184" s="228"/>
      <c r="I184" s="228"/>
      <c r="J184" s="228"/>
      <c r="K184" s="228"/>
      <c r="L184" s="228"/>
      <c r="M184" s="228"/>
      <c r="N184" s="228"/>
      <c r="O184" s="228"/>
      <c r="P184" s="228"/>
      <c r="Q184" s="228"/>
      <c r="R184" s="228"/>
      <c r="S184" s="228"/>
      <c r="T184" s="228"/>
      <c r="U184" s="228"/>
      <c r="V184" s="228"/>
      <c r="W184" s="228"/>
      <c r="X184" s="228"/>
      <c r="Y184" s="228"/>
      <c r="Z184" s="228"/>
      <c r="AA184" s="228"/>
      <c r="AB184" s="228"/>
      <c r="AC184" s="228"/>
      <c r="AD184" s="228"/>
    </row>
    <row r="185">
      <c r="A185" s="228"/>
      <c r="B185" s="228"/>
      <c r="C185" s="228"/>
      <c r="D185" s="228"/>
      <c r="E185" s="228"/>
      <c r="F185" s="228"/>
      <c r="G185" s="228"/>
      <c r="H185" s="228"/>
      <c r="I185" s="228"/>
      <c r="J185" s="228"/>
      <c r="K185" s="228"/>
      <c r="L185" s="228"/>
      <c r="M185" s="228"/>
      <c r="N185" s="228"/>
      <c r="O185" s="228"/>
      <c r="P185" s="228"/>
      <c r="Q185" s="228"/>
      <c r="R185" s="228"/>
      <c r="S185" s="228"/>
      <c r="T185" s="228"/>
      <c r="U185" s="228"/>
      <c r="V185" s="228"/>
      <c r="W185" s="228"/>
      <c r="X185" s="228"/>
      <c r="Y185" s="228"/>
      <c r="Z185" s="228"/>
      <c r="AA185" s="228"/>
      <c r="AB185" s="228"/>
      <c r="AC185" s="228"/>
      <c r="AD185" s="228"/>
    </row>
    <row r="186">
      <c r="A186" s="228"/>
      <c r="B186" s="228"/>
      <c r="C186" s="228"/>
      <c r="D186" s="228"/>
      <c r="E186" s="228"/>
      <c r="F186" s="228"/>
      <c r="G186" s="228"/>
      <c r="H186" s="228"/>
      <c r="I186" s="228"/>
      <c r="J186" s="228"/>
      <c r="K186" s="228"/>
      <c r="L186" s="228"/>
      <c r="M186" s="228"/>
      <c r="N186" s="228"/>
      <c r="O186" s="228"/>
      <c r="P186" s="228"/>
      <c r="Q186" s="228"/>
      <c r="R186" s="228"/>
      <c r="S186" s="228"/>
      <c r="T186" s="228"/>
      <c r="U186" s="228"/>
      <c r="V186" s="228"/>
      <c r="W186" s="228"/>
      <c r="X186" s="228"/>
      <c r="Y186" s="228"/>
      <c r="Z186" s="228"/>
      <c r="AA186" s="228"/>
      <c r="AB186" s="228"/>
      <c r="AC186" s="228"/>
      <c r="AD186" s="228"/>
    </row>
    <row r="187">
      <c r="A187" s="228"/>
      <c r="B187" s="228"/>
      <c r="C187" s="228"/>
      <c r="D187" s="228"/>
      <c r="E187" s="228"/>
      <c r="F187" s="228"/>
      <c r="G187" s="228"/>
      <c r="H187" s="228"/>
      <c r="I187" s="228"/>
      <c r="J187" s="228"/>
      <c r="K187" s="228"/>
      <c r="L187" s="228"/>
      <c r="M187" s="228"/>
      <c r="N187" s="228"/>
      <c r="O187" s="228"/>
      <c r="P187" s="228"/>
      <c r="Q187" s="228"/>
      <c r="R187" s="228"/>
      <c r="S187" s="228"/>
      <c r="T187" s="228"/>
      <c r="U187" s="228"/>
      <c r="V187" s="228"/>
      <c r="W187" s="228"/>
      <c r="X187" s="228"/>
      <c r="Y187" s="228"/>
      <c r="Z187" s="228"/>
      <c r="AA187" s="228"/>
      <c r="AB187" s="228"/>
      <c r="AC187" s="228"/>
      <c r="AD187" s="228"/>
    </row>
    <row r="188">
      <c r="A188" s="228"/>
      <c r="B188" s="228"/>
      <c r="C188" s="228"/>
      <c r="D188" s="228"/>
      <c r="E188" s="228"/>
      <c r="F188" s="228"/>
      <c r="G188" s="228"/>
      <c r="H188" s="228"/>
      <c r="I188" s="228"/>
      <c r="J188" s="228"/>
      <c r="K188" s="228"/>
      <c r="L188" s="228"/>
      <c r="M188" s="228"/>
      <c r="N188" s="228"/>
      <c r="O188" s="228"/>
      <c r="P188" s="228"/>
      <c r="Q188" s="228"/>
      <c r="R188" s="228"/>
      <c r="S188" s="228"/>
      <c r="T188" s="228"/>
      <c r="U188" s="228"/>
      <c r="V188" s="228"/>
      <c r="W188" s="228"/>
      <c r="X188" s="228"/>
      <c r="Y188" s="228"/>
      <c r="Z188" s="228"/>
      <c r="AA188" s="228"/>
      <c r="AB188" s="228"/>
      <c r="AC188" s="228"/>
      <c r="AD188" s="228"/>
    </row>
    <row r="189">
      <c r="A189" s="228"/>
      <c r="B189" s="228"/>
      <c r="C189" s="228"/>
      <c r="D189" s="228"/>
      <c r="E189" s="228"/>
      <c r="F189" s="228"/>
      <c r="G189" s="228"/>
      <c r="H189" s="228"/>
      <c r="I189" s="228"/>
      <c r="J189" s="228"/>
      <c r="K189" s="228"/>
      <c r="L189" s="228"/>
      <c r="M189" s="228"/>
      <c r="N189" s="228"/>
      <c r="O189" s="228"/>
      <c r="P189" s="228"/>
      <c r="Q189" s="228"/>
      <c r="R189" s="228"/>
      <c r="S189" s="228"/>
      <c r="T189" s="228"/>
      <c r="U189" s="228"/>
      <c r="V189" s="228"/>
      <c r="W189" s="228"/>
      <c r="X189" s="228"/>
      <c r="Y189" s="228"/>
      <c r="Z189" s="228"/>
      <c r="AA189" s="228"/>
      <c r="AB189" s="228"/>
      <c r="AC189" s="228"/>
      <c r="AD189" s="228"/>
    </row>
    <row r="190">
      <c r="A190" s="228"/>
      <c r="B190" s="228"/>
      <c r="C190" s="228"/>
      <c r="D190" s="228"/>
      <c r="E190" s="228"/>
      <c r="F190" s="228"/>
      <c r="G190" s="228"/>
      <c r="H190" s="228"/>
      <c r="I190" s="228"/>
      <c r="J190" s="228"/>
      <c r="K190" s="228"/>
      <c r="L190" s="228"/>
      <c r="M190" s="228"/>
      <c r="N190" s="228"/>
      <c r="O190" s="228"/>
      <c r="P190" s="228"/>
      <c r="Q190" s="228"/>
      <c r="R190" s="228"/>
      <c r="S190" s="228"/>
      <c r="T190" s="228"/>
      <c r="U190" s="228"/>
      <c r="V190" s="228"/>
      <c r="W190" s="228"/>
      <c r="X190" s="228"/>
      <c r="Y190" s="228"/>
      <c r="Z190" s="228"/>
      <c r="AA190" s="228"/>
      <c r="AB190" s="228"/>
      <c r="AC190" s="228"/>
      <c r="AD190" s="228"/>
    </row>
    <row r="191">
      <c r="A191" s="228"/>
      <c r="B191" s="228"/>
      <c r="C191" s="228"/>
      <c r="D191" s="228"/>
      <c r="E191" s="228"/>
      <c r="F191" s="228"/>
      <c r="G191" s="228"/>
      <c r="H191" s="228"/>
      <c r="I191" s="228"/>
      <c r="J191" s="228"/>
      <c r="K191" s="228"/>
      <c r="L191" s="228"/>
      <c r="M191" s="228"/>
      <c r="N191" s="228"/>
      <c r="O191" s="228"/>
      <c r="P191" s="228"/>
      <c r="Q191" s="228"/>
      <c r="R191" s="228"/>
      <c r="S191" s="228"/>
      <c r="T191" s="228"/>
      <c r="U191" s="228"/>
      <c r="V191" s="228"/>
      <c r="W191" s="228"/>
      <c r="X191" s="228"/>
      <c r="Y191" s="228"/>
      <c r="Z191" s="228"/>
      <c r="AA191" s="228"/>
      <c r="AB191" s="228"/>
      <c r="AC191" s="228"/>
      <c r="AD191" s="228"/>
    </row>
    <row r="192">
      <c r="A192" s="228"/>
      <c r="B192" s="228"/>
      <c r="C192" s="228"/>
      <c r="D192" s="228"/>
      <c r="E192" s="228"/>
      <c r="F192" s="228"/>
      <c r="G192" s="228"/>
      <c r="H192" s="228"/>
      <c r="I192" s="228"/>
      <c r="J192" s="228"/>
      <c r="K192" s="228"/>
      <c r="L192" s="228"/>
      <c r="M192" s="228"/>
      <c r="N192" s="228"/>
      <c r="O192" s="228"/>
      <c r="P192" s="228"/>
      <c r="Q192" s="228"/>
      <c r="R192" s="228"/>
      <c r="S192" s="228"/>
      <c r="T192" s="228"/>
      <c r="U192" s="228"/>
      <c r="V192" s="228"/>
      <c r="W192" s="228"/>
      <c r="X192" s="228"/>
      <c r="Y192" s="228"/>
      <c r="Z192" s="228"/>
      <c r="AA192" s="228"/>
      <c r="AB192" s="228"/>
      <c r="AC192" s="228"/>
      <c r="AD192" s="228"/>
    </row>
    <row r="193">
      <c r="A193" s="228"/>
      <c r="B193" s="228"/>
      <c r="C193" s="228"/>
      <c r="D193" s="228"/>
      <c r="E193" s="228"/>
      <c r="F193" s="228"/>
      <c r="G193" s="228"/>
      <c r="H193" s="228"/>
      <c r="I193" s="228"/>
      <c r="J193" s="228"/>
      <c r="K193" s="228"/>
      <c r="L193" s="228"/>
      <c r="M193" s="228"/>
      <c r="N193" s="228"/>
      <c r="O193" s="228"/>
      <c r="P193" s="228"/>
      <c r="Q193" s="228"/>
      <c r="R193" s="228"/>
      <c r="S193" s="228"/>
      <c r="T193" s="228"/>
      <c r="U193" s="228"/>
      <c r="V193" s="228"/>
      <c r="W193" s="228"/>
      <c r="X193" s="228"/>
      <c r="Y193" s="228"/>
      <c r="Z193" s="228"/>
      <c r="AA193" s="228"/>
      <c r="AB193" s="228"/>
      <c r="AC193" s="228"/>
      <c r="AD193" s="228"/>
    </row>
    <row r="194">
      <c r="A194" s="228"/>
      <c r="B194" s="228"/>
      <c r="C194" s="228"/>
      <c r="D194" s="228"/>
      <c r="E194" s="228"/>
      <c r="F194" s="228"/>
      <c r="G194" s="228"/>
      <c r="H194" s="228"/>
      <c r="I194" s="228"/>
      <c r="J194" s="228"/>
      <c r="K194" s="228"/>
      <c r="L194" s="228"/>
      <c r="M194" s="228"/>
      <c r="N194" s="228"/>
      <c r="O194" s="228"/>
      <c r="P194" s="228"/>
      <c r="Q194" s="228"/>
      <c r="R194" s="228"/>
      <c r="S194" s="228"/>
      <c r="T194" s="228"/>
      <c r="U194" s="228"/>
      <c r="V194" s="228"/>
      <c r="W194" s="228"/>
      <c r="X194" s="228"/>
      <c r="Y194" s="228"/>
      <c r="Z194" s="228"/>
      <c r="AA194" s="228"/>
      <c r="AB194" s="228"/>
      <c r="AC194" s="228"/>
      <c r="AD194" s="228"/>
    </row>
    <row r="195">
      <c r="A195" s="228"/>
      <c r="B195" s="228"/>
      <c r="C195" s="228"/>
      <c r="D195" s="228"/>
      <c r="E195" s="228"/>
      <c r="F195" s="228"/>
      <c r="G195" s="228"/>
      <c r="H195" s="228"/>
      <c r="I195" s="228"/>
      <c r="J195" s="228"/>
      <c r="K195" s="228"/>
      <c r="L195" s="228"/>
      <c r="M195" s="228"/>
      <c r="N195" s="228"/>
      <c r="O195" s="228"/>
      <c r="P195" s="228"/>
      <c r="Q195" s="228"/>
      <c r="R195" s="228"/>
      <c r="S195" s="228"/>
      <c r="T195" s="228"/>
      <c r="U195" s="228"/>
      <c r="V195" s="228"/>
      <c r="W195" s="228"/>
      <c r="X195" s="228"/>
      <c r="Y195" s="228"/>
      <c r="Z195" s="228"/>
      <c r="AA195" s="228"/>
      <c r="AB195" s="228"/>
      <c r="AC195" s="228"/>
      <c r="AD195" s="228"/>
    </row>
    <row r="196">
      <c r="A196" s="228"/>
      <c r="B196" s="228"/>
      <c r="C196" s="228"/>
      <c r="D196" s="228"/>
      <c r="E196" s="228"/>
      <c r="F196" s="228"/>
      <c r="G196" s="228"/>
      <c r="H196" s="228"/>
      <c r="I196" s="228"/>
      <c r="J196" s="228"/>
      <c r="K196" s="228"/>
      <c r="L196" s="228"/>
      <c r="M196" s="228"/>
      <c r="N196" s="228"/>
      <c r="O196" s="228"/>
      <c r="P196" s="228"/>
      <c r="Q196" s="228"/>
      <c r="R196" s="228"/>
      <c r="S196" s="228"/>
      <c r="T196" s="228"/>
      <c r="U196" s="228"/>
      <c r="V196" s="228"/>
      <c r="W196" s="228"/>
      <c r="X196" s="228"/>
      <c r="Y196" s="228"/>
      <c r="Z196" s="228"/>
      <c r="AA196" s="228"/>
      <c r="AB196" s="228"/>
      <c r="AC196" s="228"/>
      <c r="AD196" s="228"/>
    </row>
    <row r="197">
      <c r="A197" s="228"/>
      <c r="B197" s="228"/>
      <c r="C197" s="228"/>
      <c r="D197" s="228"/>
      <c r="E197" s="228"/>
      <c r="F197" s="228"/>
      <c r="G197" s="228"/>
      <c r="H197" s="228"/>
      <c r="I197" s="228"/>
      <c r="J197" s="228"/>
      <c r="K197" s="228"/>
      <c r="L197" s="228"/>
      <c r="M197" s="228"/>
      <c r="N197" s="228"/>
      <c r="O197" s="228"/>
      <c r="P197" s="228"/>
      <c r="Q197" s="228"/>
      <c r="R197" s="228"/>
      <c r="S197" s="228"/>
      <c r="T197" s="228"/>
      <c r="U197" s="228"/>
      <c r="V197" s="228"/>
      <c r="W197" s="228"/>
      <c r="X197" s="228"/>
      <c r="Y197" s="228"/>
      <c r="Z197" s="228"/>
      <c r="AA197" s="228"/>
      <c r="AB197" s="228"/>
      <c r="AC197" s="228"/>
      <c r="AD197" s="228"/>
    </row>
    <row r="198">
      <c r="A198" s="228"/>
      <c r="B198" s="228"/>
      <c r="C198" s="228"/>
      <c r="D198" s="228"/>
      <c r="E198" s="228"/>
      <c r="F198" s="228"/>
      <c r="G198" s="228"/>
      <c r="H198" s="228"/>
      <c r="I198" s="228"/>
      <c r="J198" s="228"/>
      <c r="K198" s="228"/>
      <c r="L198" s="228"/>
      <c r="M198" s="228"/>
      <c r="N198" s="228"/>
      <c r="O198" s="228"/>
      <c r="P198" s="228"/>
      <c r="Q198" s="228"/>
      <c r="R198" s="228"/>
      <c r="S198" s="228"/>
      <c r="T198" s="228"/>
      <c r="U198" s="228"/>
      <c r="V198" s="228"/>
      <c r="W198" s="228"/>
      <c r="X198" s="228"/>
      <c r="Y198" s="228"/>
      <c r="Z198" s="228"/>
      <c r="AA198" s="228"/>
      <c r="AB198" s="228"/>
      <c r="AC198" s="228"/>
      <c r="AD198" s="228"/>
    </row>
    <row r="199">
      <c r="A199" s="228"/>
      <c r="B199" s="228"/>
      <c r="C199" s="228"/>
      <c r="D199" s="228"/>
      <c r="E199" s="228"/>
      <c r="F199" s="228"/>
      <c r="G199" s="228"/>
      <c r="H199" s="228"/>
      <c r="I199" s="228"/>
      <c r="J199" s="228"/>
      <c r="K199" s="228"/>
      <c r="L199" s="228"/>
      <c r="M199" s="228"/>
      <c r="N199" s="228"/>
      <c r="O199" s="228"/>
      <c r="P199" s="228"/>
      <c r="Q199" s="228"/>
      <c r="R199" s="228"/>
      <c r="S199" s="228"/>
      <c r="T199" s="228"/>
      <c r="U199" s="228"/>
      <c r="V199" s="228"/>
      <c r="W199" s="228"/>
      <c r="X199" s="228"/>
      <c r="Y199" s="228"/>
      <c r="Z199" s="228"/>
      <c r="AA199" s="228"/>
      <c r="AB199" s="228"/>
      <c r="AC199" s="228"/>
      <c r="AD199" s="228"/>
    </row>
    <row r="200">
      <c r="A200" s="228"/>
      <c r="B200" s="228"/>
      <c r="C200" s="228"/>
      <c r="D200" s="228"/>
      <c r="E200" s="228"/>
      <c r="F200" s="228"/>
      <c r="G200" s="228"/>
      <c r="H200" s="228"/>
      <c r="I200" s="228"/>
      <c r="J200" s="228"/>
      <c r="K200" s="228"/>
      <c r="L200" s="228"/>
      <c r="M200" s="228"/>
      <c r="N200" s="228"/>
      <c r="O200" s="228"/>
      <c r="P200" s="228"/>
      <c r="Q200" s="228"/>
      <c r="R200" s="228"/>
      <c r="S200" s="228"/>
      <c r="T200" s="228"/>
      <c r="U200" s="228"/>
      <c r="V200" s="228"/>
      <c r="W200" s="228"/>
      <c r="X200" s="228"/>
      <c r="Y200" s="228"/>
      <c r="Z200" s="228"/>
      <c r="AA200" s="228"/>
      <c r="AB200" s="228"/>
      <c r="AC200" s="228"/>
      <c r="AD200" s="228"/>
    </row>
    <row r="201">
      <c r="A201" s="228"/>
      <c r="B201" s="228"/>
      <c r="C201" s="228"/>
      <c r="D201" s="228"/>
      <c r="E201" s="228"/>
      <c r="F201" s="228"/>
      <c r="G201" s="228"/>
      <c r="H201" s="228"/>
      <c r="I201" s="228"/>
      <c r="J201" s="228"/>
      <c r="K201" s="228"/>
      <c r="L201" s="228"/>
      <c r="M201" s="228"/>
      <c r="N201" s="228"/>
      <c r="O201" s="228"/>
      <c r="P201" s="228"/>
      <c r="Q201" s="228"/>
      <c r="R201" s="228"/>
      <c r="S201" s="228"/>
      <c r="T201" s="228"/>
      <c r="U201" s="228"/>
      <c r="V201" s="228"/>
      <c r="W201" s="228"/>
      <c r="X201" s="228"/>
      <c r="Y201" s="228"/>
      <c r="Z201" s="228"/>
      <c r="AA201" s="228"/>
      <c r="AB201" s="228"/>
      <c r="AC201" s="228"/>
      <c r="AD201" s="228"/>
    </row>
    <row r="202">
      <c r="A202" s="228"/>
      <c r="B202" s="228"/>
      <c r="C202" s="228"/>
      <c r="D202" s="228"/>
      <c r="E202" s="228"/>
      <c r="F202" s="228"/>
      <c r="G202" s="228"/>
      <c r="H202" s="228"/>
      <c r="I202" s="228"/>
      <c r="J202" s="228"/>
      <c r="K202" s="228"/>
      <c r="L202" s="228"/>
      <c r="M202" s="228"/>
      <c r="N202" s="228"/>
      <c r="O202" s="228"/>
      <c r="P202" s="228"/>
      <c r="Q202" s="228"/>
      <c r="R202" s="228"/>
      <c r="S202" s="228"/>
      <c r="T202" s="228"/>
      <c r="U202" s="228"/>
      <c r="V202" s="228"/>
      <c r="W202" s="228"/>
      <c r="X202" s="228"/>
      <c r="Y202" s="228"/>
      <c r="Z202" s="228"/>
      <c r="AA202" s="228"/>
      <c r="AB202" s="228"/>
      <c r="AC202" s="228"/>
      <c r="AD202" s="228"/>
    </row>
    <row r="203">
      <c r="A203" s="228"/>
      <c r="B203" s="228"/>
      <c r="C203" s="228"/>
      <c r="D203" s="228"/>
      <c r="E203" s="228"/>
      <c r="F203" s="228"/>
      <c r="G203" s="228"/>
      <c r="H203" s="228"/>
      <c r="I203" s="228"/>
      <c r="J203" s="228"/>
      <c r="K203" s="228"/>
      <c r="L203" s="228"/>
      <c r="M203" s="228"/>
      <c r="N203" s="228"/>
      <c r="O203" s="228"/>
      <c r="P203" s="228"/>
      <c r="Q203" s="228"/>
      <c r="R203" s="228"/>
      <c r="S203" s="228"/>
      <c r="T203" s="228"/>
      <c r="U203" s="228"/>
      <c r="V203" s="228"/>
      <c r="W203" s="228"/>
      <c r="X203" s="228"/>
      <c r="Y203" s="228"/>
      <c r="Z203" s="228"/>
      <c r="AA203" s="228"/>
      <c r="AB203" s="228"/>
      <c r="AC203" s="228"/>
      <c r="AD203" s="228"/>
    </row>
    <row r="204">
      <c r="A204" s="228"/>
      <c r="B204" s="228"/>
      <c r="C204" s="228"/>
      <c r="D204" s="228"/>
      <c r="E204" s="228"/>
      <c r="F204" s="228"/>
      <c r="G204" s="228"/>
      <c r="H204" s="228"/>
      <c r="I204" s="228"/>
      <c r="J204" s="228"/>
      <c r="K204" s="228"/>
      <c r="L204" s="228"/>
      <c r="M204" s="228"/>
      <c r="N204" s="228"/>
      <c r="O204" s="228"/>
      <c r="P204" s="228"/>
      <c r="Q204" s="228"/>
      <c r="R204" s="228"/>
      <c r="S204" s="228"/>
      <c r="T204" s="228"/>
      <c r="U204" s="228"/>
      <c r="V204" s="228"/>
      <c r="W204" s="228"/>
      <c r="X204" s="228"/>
      <c r="Y204" s="228"/>
      <c r="Z204" s="228"/>
      <c r="AA204" s="228"/>
      <c r="AB204" s="228"/>
      <c r="AC204" s="228"/>
      <c r="AD204" s="228"/>
    </row>
    <row r="205">
      <c r="A205" s="228"/>
      <c r="B205" s="228"/>
      <c r="C205" s="228"/>
      <c r="D205" s="228"/>
      <c r="E205" s="228"/>
      <c r="F205" s="228"/>
      <c r="G205" s="228"/>
      <c r="H205" s="228"/>
      <c r="I205" s="228"/>
      <c r="J205" s="228"/>
      <c r="K205" s="228"/>
      <c r="L205" s="228"/>
      <c r="M205" s="228"/>
      <c r="N205" s="228"/>
      <c r="O205" s="228"/>
      <c r="P205" s="228"/>
      <c r="Q205" s="228"/>
      <c r="R205" s="228"/>
      <c r="S205" s="228"/>
      <c r="T205" s="228"/>
      <c r="U205" s="228"/>
      <c r="V205" s="228"/>
      <c r="W205" s="228"/>
      <c r="X205" s="228"/>
      <c r="Y205" s="228"/>
      <c r="Z205" s="228"/>
      <c r="AA205" s="228"/>
      <c r="AB205" s="228"/>
      <c r="AC205" s="228"/>
      <c r="AD205" s="228"/>
    </row>
    <row r="206">
      <c r="A206" s="228"/>
      <c r="B206" s="228"/>
      <c r="C206" s="228"/>
      <c r="D206" s="228"/>
      <c r="E206" s="228"/>
      <c r="F206" s="228"/>
      <c r="G206" s="228"/>
      <c r="H206" s="228"/>
      <c r="I206" s="228"/>
      <c r="J206" s="228"/>
      <c r="K206" s="228"/>
      <c r="L206" s="228"/>
      <c r="M206" s="228"/>
      <c r="N206" s="228"/>
      <c r="O206" s="228"/>
      <c r="P206" s="228"/>
      <c r="Q206" s="228"/>
      <c r="R206" s="228"/>
      <c r="S206" s="228"/>
      <c r="T206" s="228"/>
      <c r="U206" s="228"/>
      <c r="V206" s="228"/>
      <c r="W206" s="228"/>
      <c r="X206" s="228"/>
      <c r="Y206" s="228"/>
      <c r="Z206" s="228"/>
      <c r="AA206" s="228"/>
      <c r="AB206" s="228"/>
      <c r="AC206" s="228"/>
      <c r="AD206" s="228"/>
    </row>
    <row r="207">
      <c r="A207" s="228"/>
      <c r="B207" s="228"/>
      <c r="C207" s="228"/>
      <c r="D207" s="228"/>
      <c r="E207" s="228"/>
      <c r="F207" s="228"/>
      <c r="G207" s="228"/>
      <c r="H207" s="228"/>
      <c r="I207" s="228"/>
      <c r="J207" s="228"/>
      <c r="K207" s="228"/>
      <c r="L207" s="228"/>
      <c r="M207" s="228"/>
      <c r="N207" s="228"/>
      <c r="O207" s="228"/>
      <c r="P207" s="228"/>
      <c r="Q207" s="228"/>
      <c r="R207" s="228"/>
      <c r="S207" s="228"/>
      <c r="T207" s="228"/>
      <c r="U207" s="228"/>
      <c r="V207" s="228"/>
      <c r="W207" s="228"/>
      <c r="X207" s="228"/>
      <c r="Y207" s="228"/>
      <c r="Z207" s="228"/>
      <c r="AA207" s="228"/>
      <c r="AB207" s="228"/>
      <c r="AC207" s="228"/>
      <c r="AD207" s="228"/>
    </row>
    <row r="208">
      <c r="A208" s="228"/>
      <c r="B208" s="228"/>
      <c r="C208" s="228"/>
      <c r="D208" s="228"/>
      <c r="E208" s="228"/>
      <c r="F208" s="228"/>
      <c r="G208" s="228"/>
      <c r="H208" s="228"/>
      <c r="I208" s="228"/>
      <c r="J208" s="228"/>
      <c r="K208" s="228"/>
      <c r="L208" s="228"/>
      <c r="M208" s="228"/>
      <c r="N208" s="228"/>
      <c r="O208" s="228"/>
      <c r="P208" s="228"/>
      <c r="Q208" s="228"/>
      <c r="R208" s="228"/>
      <c r="S208" s="228"/>
      <c r="T208" s="228"/>
      <c r="U208" s="228"/>
      <c r="V208" s="228"/>
      <c r="W208" s="228"/>
      <c r="X208" s="228"/>
      <c r="Y208" s="228"/>
      <c r="Z208" s="228"/>
      <c r="AA208" s="228"/>
      <c r="AB208" s="228"/>
      <c r="AC208" s="228"/>
      <c r="AD208" s="228"/>
    </row>
    <row r="209">
      <c r="A209" s="228"/>
      <c r="B209" s="228"/>
      <c r="C209" s="228"/>
      <c r="D209" s="228"/>
      <c r="E209" s="228"/>
      <c r="F209" s="228"/>
      <c r="G209" s="228"/>
      <c r="H209" s="228"/>
      <c r="I209" s="228"/>
      <c r="J209" s="228"/>
      <c r="K209" s="228"/>
      <c r="L209" s="228"/>
      <c r="M209" s="228"/>
      <c r="N209" s="228"/>
      <c r="O209" s="228"/>
      <c r="P209" s="228"/>
      <c r="Q209" s="228"/>
      <c r="R209" s="228"/>
      <c r="S209" s="228"/>
      <c r="T209" s="228"/>
      <c r="U209" s="228"/>
      <c r="V209" s="228"/>
      <c r="W209" s="228"/>
      <c r="X209" s="228"/>
      <c r="Y209" s="228"/>
      <c r="Z209" s="228"/>
      <c r="AA209" s="228"/>
      <c r="AB209" s="228"/>
      <c r="AC209" s="228"/>
      <c r="AD209" s="228"/>
    </row>
    <row r="210">
      <c r="A210" s="228"/>
      <c r="B210" s="228"/>
      <c r="C210" s="228"/>
      <c r="D210" s="228"/>
      <c r="E210" s="228"/>
      <c r="F210" s="228"/>
      <c r="G210" s="228"/>
      <c r="H210" s="228"/>
      <c r="I210" s="228"/>
      <c r="J210" s="228"/>
      <c r="K210" s="228"/>
      <c r="L210" s="228"/>
      <c r="M210" s="228"/>
      <c r="N210" s="228"/>
      <c r="O210" s="228"/>
      <c r="P210" s="228"/>
      <c r="Q210" s="228"/>
      <c r="R210" s="228"/>
      <c r="S210" s="228"/>
      <c r="T210" s="228"/>
      <c r="U210" s="228"/>
      <c r="V210" s="228"/>
      <c r="W210" s="228"/>
      <c r="X210" s="228"/>
      <c r="Y210" s="228"/>
      <c r="Z210" s="228"/>
      <c r="AA210" s="228"/>
      <c r="AB210" s="228"/>
      <c r="AC210" s="228"/>
      <c r="AD210" s="228"/>
    </row>
    <row r="211">
      <c r="A211" s="228"/>
      <c r="B211" s="228"/>
      <c r="C211" s="228"/>
      <c r="D211" s="228"/>
      <c r="E211" s="228"/>
      <c r="F211" s="228"/>
      <c r="G211" s="228"/>
      <c r="H211" s="228"/>
      <c r="I211" s="228"/>
      <c r="J211" s="228"/>
      <c r="K211" s="228"/>
      <c r="L211" s="228"/>
      <c r="M211" s="228"/>
      <c r="N211" s="228"/>
      <c r="O211" s="228"/>
      <c r="P211" s="228"/>
      <c r="Q211" s="228"/>
      <c r="R211" s="228"/>
      <c r="S211" s="228"/>
      <c r="T211" s="228"/>
      <c r="U211" s="228"/>
      <c r="V211" s="228"/>
      <c r="W211" s="228"/>
      <c r="X211" s="228"/>
      <c r="Y211" s="228"/>
      <c r="Z211" s="228"/>
      <c r="AA211" s="228"/>
      <c r="AB211" s="228"/>
      <c r="AC211" s="228"/>
      <c r="AD211" s="228"/>
    </row>
    <row r="212">
      <c r="A212" s="228"/>
      <c r="B212" s="228"/>
      <c r="C212" s="228"/>
      <c r="D212" s="228"/>
      <c r="E212" s="228"/>
      <c r="F212" s="228"/>
      <c r="G212" s="228"/>
      <c r="H212" s="228"/>
      <c r="I212" s="228"/>
      <c r="J212" s="228"/>
      <c r="K212" s="228"/>
      <c r="L212" s="228"/>
      <c r="M212" s="228"/>
      <c r="N212" s="228"/>
      <c r="O212" s="228"/>
      <c r="P212" s="228"/>
      <c r="Q212" s="228"/>
      <c r="R212" s="228"/>
      <c r="S212" s="228"/>
      <c r="T212" s="228"/>
      <c r="U212" s="228"/>
      <c r="V212" s="228"/>
      <c r="W212" s="228"/>
      <c r="X212" s="228"/>
      <c r="Y212" s="228"/>
      <c r="Z212" s="228"/>
      <c r="AA212" s="228"/>
      <c r="AB212" s="228"/>
      <c r="AC212" s="228"/>
      <c r="AD212" s="228"/>
    </row>
    <row r="213">
      <c r="A213" s="228"/>
      <c r="B213" s="228"/>
      <c r="C213" s="228"/>
      <c r="D213" s="228"/>
      <c r="E213" s="228"/>
      <c r="F213" s="228"/>
      <c r="G213" s="228"/>
      <c r="H213" s="228"/>
      <c r="I213" s="228"/>
      <c r="J213" s="228"/>
      <c r="K213" s="228"/>
      <c r="L213" s="228"/>
      <c r="M213" s="228"/>
      <c r="N213" s="228"/>
      <c r="O213" s="228"/>
      <c r="P213" s="228"/>
      <c r="Q213" s="228"/>
      <c r="R213" s="228"/>
      <c r="S213" s="228"/>
      <c r="T213" s="228"/>
      <c r="U213" s="228"/>
      <c r="V213" s="228"/>
      <c r="W213" s="228"/>
      <c r="X213" s="228"/>
      <c r="Y213" s="228"/>
      <c r="Z213" s="228"/>
      <c r="AA213" s="228"/>
      <c r="AB213" s="228"/>
      <c r="AC213" s="228"/>
      <c r="AD213" s="228"/>
    </row>
    <row r="214">
      <c r="A214" s="228"/>
      <c r="B214" s="228"/>
      <c r="C214" s="228"/>
      <c r="D214" s="228"/>
      <c r="E214" s="228"/>
      <c r="F214" s="228"/>
      <c r="G214" s="228"/>
      <c r="H214" s="228"/>
      <c r="I214" s="228"/>
      <c r="J214" s="228"/>
      <c r="K214" s="228"/>
      <c r="L214" s="228"/>
      <c r="M214" s="228"/>
      <c r="N214" s="228"/>
      <c r="O214" s="228"/>
      <c r="P214" s="228"/>
      <c r="Q214" s="228"/>
      <c r="R214" s="228"/>
      <c r="S214" s="228"/>
      <c r="T214" s="228"/>
      <c r="U214" s="228"/>
      <c r="V214" s="228"/>
      <c r="W214" s="228"/>
      <c r="X214" s="228"/>
      <c r="Y214" s="228"/>
      <c r="Z214" s="228"/>
      <c r="AA214" s="228"/>
      <c r="AB214" s="228"/>
      <c r="AC214" s="228"/>
      <c r="AD214" s="228"/>
    </row>
    <row r="215">
      <c r="A215" s="228"/>
      <c r="B215" s="228"/>
      <c r="C215" s="228"/>
      <c r="D215" s="228"/>
      <c r="E215" s="228"/>
      <c r="F215" s="228"/>
      <c r="G215" s="228"/>
      <c r="H215" s="228"/>
      <c r="I215" s="228"/>
      <c r="J215" s="228"/>
      <c r="K215" s="228"/>
      <c r="L215" s="228"/>
      <c r="M215" s="228"/>
      <c r="N215" s="228"/>
      <c r="O215" s="228"/>
      <c r="P215" s="228"/>
      <c r="Q215" s="228"/>
      <c r="R215" s="228"/>
      <c r="S215" s="228"/>
      <c r="T215" s="228"/>
      <c r="U215" s="228"/>
      <c r="V215" s="228"/>
      <c r="W215" s="228"/>
      <c r="X215" s="228"/>
      <c r="Y215" s="228"/>
      <c r="Z215" s="228"/>
      <c r="AA215" s="228"/>
      <c r="AB215" s="228"/>
      <c r="AC215" s="228"/>
      <c r="AD215" s="228"/>
    </row>
    <row r="216">
      <c r="A216" s="228"/>
      <c r="B216" s="228"/>
      <c r="C216" s="228"/>
      <c r="D216" s="228"/>
      <c r="E216" s="228"/>
      <c r="F216" s="228"/>
      <c r="G216" s="228"/>
      <c r="H216" s="228"/>
      <c r="I216" s="228"/>
      <c r="J216" s="228"/>
      <c r="K216" s="228"/>
      <c r="L216" s="228"/>
      <c r="M216" s="228"/>
      <c r="N216" s="228"/>
      <c r="O216" s="228"/>
      <c r="P216" s="228"/>
      <c r="Q216" s="228"/>
      <c r="R216" s="228"/>
      <c r="S216" s="228"/>
      <c r="T216" s="228"/>
      <c r="U216" s="228"/>
      <c r="V216" s="228"/>
      <c r="W216" s="228"/>
      <c r="X216" s="228"/>
      <c r="Y216" s="228"/>
      <c r="Z216" s="228"/>
      <c r="AA216" s="228"/>
      <c r="AB216" s="228"/>
      <c r="AC216" s="228"/>
      <c r="AD216" s="228"/>
    </row>
    <row r="217">
      <c r="A217" s="228"/>
      <c r="B217" s="228"/>
      <c r="C217" s="228"/>
      <c r="D217" s="228"/>
      <c r="E217" s="228"/>
      <c r="F217" s="228"/>
      <c r="G217" s="228"/>
      <c r="H217" s="228"/>
      <c r="I217" s="228"/>
      <c r="J217" s="228"/>
      <c r="K217" s="228"/>
      <c r="L217" s="228"/>
      <c r="M217" s="228"/>
      <c r="N217" s="228"/>
      <c r="O217" s="228"/>
      <c r="P217" s="228"/>
      <c r="Q217" s="228"/>
      <c r="R217" s="228"/>
      <c r="S217" s="228"/>
      <c r="T217" s="228"/>
      <c r="U217" s="228"/>
      <c r="V217" s="228"/>
      <c r="W217" s="228"/>
      <c r="X217" s="228"/>
      <c r="Y217" s="228"/>
      <c r="Z217" s="228"/>
      <c r="AA217" s="228"/>
      <c r="AB217" s="228"/>
      <c r="AC217" s="228"/>
      <c r="AD217" s="228"/>
    </row>
    <row r="218">
      <c r="A218" s="228"/>
      <c r="B218" s="228"/>
      <c r="C218" s="228"/>
      <c r="D218" s="228"/>
      <c r="E218" s="228"/>
      <c r="F218" s="228"/>
      <c r="G218" s="228"/>
      <c r="H218" s="228"/>
      <c r="I218" s="228"/>
      <c r="J218" s="228"/>
      <c r="K218" s="228"/>
      <c r="L218" s="228"/>
      <c r="M218" s="228"/>
      <c r="N218" s="228"/>
      <c r="O218" s="228"/>
      <c r="P218" s="228"/>
      <c r="Q218" s="228"/>
      <c r="R218" s="228"/>
      <c r="S218" s="228"/>
      <c r="T218" s="228"/>
      <c r="U218" s="228"/>
      <c r="V218" s="228"/>
      <c r="W218" s="228"/>
      <c r="X218" s="228"/>
      <c r="Y218" s="228"/>
      <c r="Z218" s="228"/>
      <c r="AA218" s="228"/>
      <c r="AB218" s="228"/>
      <c r="AC218" s="228"/>
      <c r="AD218" s="228"/>
    </row>
    <row r="219">
      <c r="A219" s="228"/>
      <c r="B219" s="228"/>
      <c r="C219" s="228"/>
      <c r="D219" s="228"/>
      <c r="E219" s="228"/>
      <c r="F219" s="228"/>
      <c r="G219" s="228"/>
      <c r="H219" s="228"/>
      <c r="I219" s="228"/>
      <c r="J219" s="228"/>
      <c r="K219" s="228"/>
      <c r="L219" s="228"/>
      <c r="M219" s="228"/>
      <c r="N219" s="228"/>
      <c r="O219" s="228"/>
      <c r="P219" s="228"/>
      <c r="Q219" s="228"/>
      <c r="R219" s="228"/>
      <c r="S219" s="228"/>
      <c r="T219" s="228"/>
      <c r="U219" s="228"/>
      <c r="V219" s="228"/>
      <c r="W219" s="228"/>
      <c r="X219" s="228"/>
      <c r="Y219" s="228"/>
      <c r="Z219" s="228"/>
      <c r="AA219" s="228"/>
      <c r="AB219" s="228"/>
      <c r="AC219" s="228"/>
      <c r="AD219" s="228"/>
    </row>
    <row r="220">
      <c r="A220" s="228"/>
      <c r="B220" s="228"/>
      <c r="C220" s="228"/>
      <c r="D220" s="228"/>
      <c r="E220" s="228"/>
      <c r="F220" s="228"/>
      <c r="G220" s="228"/>
      <c r="H220" s="228"/>
      <c r="I220" s="228"/>
      <c r="J220" s="228"/>
      <c r="K220" s="228"/>
      <c r="L220" s="228"/>
      <c r="M220" s="228"/>
      <c r="N220" s="228"/>
      <c r="O220" s="228"/>
      <c r="P220" s="228"/>
      <c r="Q220" s="228"/>
      <c r="R220" s="228"/>
      <c r="S220" s="228"/>
      <c r="T220" s="228"/>
      <c r="U220" s="228"/>
      <c r="V220" s="228"/>
      <c r="W220" s="228"/>
      <c r="X220" s="228"/>
      <c r="Y220" s="228"/>
      <c r="Z220" s="228"/>
      <c r="AA220" s="228"/>
      <c r="AB220" s="228"/>
      <c r="AC220" s="228"/>
      <c r="AD220" s="228"/>
    </row>
    <row r="221">
      <c r="A221" s="228"/>
      <c r="B221" s="228"/>
      <c r="C221" s="228"/>
      <c r="D221" s="228"/>
      <c r="E221" s="228"/>
      <c r="F221" s="228"/>
      <c r="G221" s="228"/>
      <c r="H221" s="228"/>
      <c r="I221" s="228"/>
      <c r="J221" s="228"/>
      <c r="K221" s="228"/>
      <c r="L221" s="228"/>
      <c r="M221" s="228"/>
      <c r="N221" s="228"/>
      <c r="O221" s="228"/>
      <c r="P221" s="228"/>
      <c r="Q221" s="228"/>
      <c r="R221" s="228"/>
      <c r="S221" s="228"/>
      <c r="T221" s="228"/>
      <c r="U221" s="228"/>
      <c r="V221" s="228"/>
      <c r="W221" s="228"/>
      <c r="X221" s="228"/>
      <c r="Y221" s="228"/>
      <c r="Z221" s="228"/>
      <c r="AA221" s="228"/>
      <c r="AB221" s="228"/>
      <c r="AC221" s="228"/>
      <c r="AD221" s="228"/>
    </row>
    <row r="222">
      <c r="A222" s="228"/>
      <c r="B222" s="228"/>
      <c r="C222" s="228"/>
      <c r="D222" s="228"/>
      <c r="E222" s="228"/>
      <c r="F222" s="228"/>
      <c r="G222" s="228"/>
      <c r="H222" s="228"/>
      <c r="I222" s="228"/>
      <c r="J222" s="228"/>
      <c r="K222" s="228"/>
      <c r="L222" s="228"/>
      <c r="M222" s="228"/>
      <c r="N222" s="228"/>
      <c r="O222" s="228"/>
      <c r="P222" s="228"/>
      <c r="Q222" s="228"/>
      <c r="R222" s="228"/>
      <c r="S222" s="228"/>
      <c r="T222" s="228"/>
      <c r="U222" s="228"/>
      <c r="V222" s="228"/>
      <c r="W222" s="228"/>
      <c r="X222" s="228"/>
      <c r="Y222" s="228"/>
      <c r="Z222" s="228"/>
      <c r="AA222" s="228"/>
      <c r="AB222" s="228"/>
      <c r="AC222" s="228"/>
      <c r="AD222" s="228"/>
    </row>
    <row r="223">
      <c r="A223" s="228"/>
      <c r="B223" s="228"/>
      <c r="C223" s="228"/>
      <c r="D223" s="228"/>
      <c r="E223" s="228"/>
      <c r="F223" s="228"/>
      <c r="G223" s="228"/>
      <c r="H223" s="228"/>
      <c r="I223" s="228"/>
      <c r="J223" s="228"/>
      <c r="K223" s="228"/>
      <c r="L223" s="228"/>
      <c r="M223" s="228"/>
      <c r="N223" s="228"/>
      <c r="O223" s="228"/>
      <c r="P223" s="228"/>
      <c r="Q223" s="228"/>
      <c r="R223" s="228"/>
      <c r="S223" s="228"/>
      <c r="T223" s="228"/>
      <c r="U223" s="228"/>
      <c r="V223" s="228"/>
      <c r="W223" s="228"/>
      <c r="X223" s="228"/>
      <c r="Y223" s="228"/>
      <c r="Z223" s="228"/>
      <c r="AA223" s="228"/>
      <c r="AB223" s="228"/>
      <c r="AC223" s="228"/>
      <c r="AD223" s="228"/>
    </row>
    <row r="224">
      <c r="A224" s="228"/>
      <c r="B224" s="228"/>
      <c r="C224" s="228"/>
      <c r="D224" s="228"/>
      <c r="E224" s="228"/>
      <c r="F224" s="228"/>
      <c r="G224" s="228"/>
      <c r="H224" s="228"/>
      <c r="I224" s="228"/>
      <c r="J224" s="228"/>
      <c r="K224" s="228"/>
      <c r="L224" s="228"/>
      <c r="M224" s="228"/>
      <c r="N224" s="228"/>
      <c r="O224" s="228"/>
      <c r="P224" s="228"/>
      <c r="Q224" s="228"/>
      <c r="R224" s="228"/>
      <c r="S224" s="228"/>
      <c r="T224" s="228"/>
      <c r="U224" s="228"/>
      <c r="V224" s="228"/>
      <c r="W224" s="228"/>
      <c r="X224" s="228"/>
      <c r="Y224" s="228"/>
      <c r="Z224" s="228"/>
      <c r="AA224" s="228"/>
      <c r="AB224" s="228"/>
      <c r="AC224" s="228"/>
      <c r="AD224" s="228"/>
    </row>
    <row r="225">
      <c r="A225" s="228"/>
      <c r="B225" s="228"/>
      <c r="C225" s="228"/>
      <c r="D225" s="228"/>
      <c r="E225" s="228"/>
      <c r="F225" s="228"/>
      <c r="G225" s="228"/>
      <c r="H225" s="228"/>
      <c r="I225" s="228"/>
      <c r="J225" s="228"/>
      <c r="K225" s="228"/>
      <c r="L225" s="228"/>
      <c r="M225" s="228"/>
      <c r="N225" s="228"/>
      <c r="O225" s="228"/>
      <c r="P225" s="228"/>
      <c r="Q225" s="228"/>
      <c r="R225" s="228"/>
      <c r="S225" s="228"/>
      <c r="T225" s="228"/>
      <c r="U225" s="228"/>
      <c r="V225" s="228"/>
      <c r="W225" s="228"/>
      <c r="X225" s="228"/>
      <c r="Y225" s="228"/>
      <c r="Z225" s="228"/>
      <c r="AA225" s="228"/>
      <c r="AB225" s="228"/>
      <c r="AC225" s="228"/>
      <c r="AD225" s="228"/>
    </row>
    <row r="226">
      <c r="A226" s="228"/>
      <c r="B226" s="228"/>
      <c r="C226" s="228"/>
      <c r="D226" s="228"/>
      <c r="E226" s="228"/>
      <c r="F226" s="228"/>
      <c r="G226" s="228"/>
      <c r="H226" s="228"/>
      <c r="I226" s="228"/>
      <c r="J226" s="228"/>
      <c r="K226" s="228"/>
      <c r="L226" s="228"/>
      <c r="M226" s="228"/>
      <c r="N226" s="228"/>
      <c r="O226" s="228"/>
      <c r="P226" s="228"/>
      <c r="Q226" s="228"/>
      <c r="R226" s="228"/>
      <c r="S226" s="228"/>
      <c r="T226" s="228"/>
      <c r="U226" s="228"/>
      <c r="V226" s="228"/>
      <c r="W226" s="228"/>
      <c r="X226" s="228"/>
      <c r="Y226" s="228"/>
      <c r="Z226" s="228"/>
      <c r="AA226" s="228"/>
      <c r="AB226" s="228"/>
      <c r="AC226" s="228"/>
      <c r="AD226" s="228"/>
    </row>
    <row r="227">
      <c r="A227" s="228"/>
      <c r="B227" s="228"/>
      <c r="C227" s="228"/>
      <c r="D227" s="228"/>
      <c r="E227" s="228"/>
      <c r="F227" s="228"/>
      <c r="G227" s="228"/>
      <c r="H227" s="228"/>
      <c r="I227" s="228"/>
      <c r="J227" s="228"/>
      <c r="K227" s="228"/>
      <c r="L227" s="228"/>
      <c r="M227" s="228"/>
      <c r="N227" s="228"/>
      <c r="O227" s="228"/>
      <c r="P227" s="228"/>
      <c r="Q227" s="228"/>
      <c r="R227" s="228"/>
      <c r="S227" s="228"/>
      <c r="T227" s="228"/>
      <c r="U227" s="228"/>
      <c r="V227" s="228"/>
      <c r="W227" s="228"/>
      <c r="X227" s="228"/>
      <c r="Y227" s="228"/>
      <c r="Z227" s="228"/>
      <c r="AA227" s="228"/>
      <c r="AB227" s="228"/>
      <c r="AC227" s="228"/>
      <c r="AD227" s="228"/>
    </row>
    <row r="228">
      <c r="A228" s="228"/>
      <c r="B228" s="228"/>
      <c r="C228" s="228"/>
      <c r="D228" s="228"/>
      <c r="E228" s="228"/>
      <c r="F228" s="228"/>
      <c r="G228" s="228"/>
      <c r="H228" s="228"/>
      <c r="I228" s="228"/>
      <c r="J228" s="228"/>
      <c r="K228" s="228"/>
      <c r="L228" s="228"/>
      <c r="M228" s="228"/>
      <c r="N228" s="228"/>
      <c r="O228" s="228"/>
      <c r="P228" s="228"/>
      <c r="Q228" s="228"/>
      <c r="R228" s="228"/>
      <c r="S228" s="228"/>
      <c r="T228" s="228"/>
      <c r="U228" s="228"/>
      <c r="V228" s="228"/>
      <c r="W228" s="228"/>
      <c r="X228" s="228"/>
      <c r="Y228" s="228"/>
      <c r="Z228" s="228"/>
      <c r="AA228" s="228"/>
      <c r="AB228" s="228"/>
      <c r="AC228" s="228"/>
      <c r="AD228" s="228"/>
    </row>
    <row r="229">
      <c r="A229" s="228"/>
      <c r="B229" s="228"/>
      <c r="C229" s="228"/>
      <c r="D229" s="228"/>
      <c r="E229" s="228"/>
      <c r="F229" s="228"/>
      <c r="G229" s="228"/>
      <c r="H229" s="228"/>
      <c r="I229" s="228"/>
      <c r="J229" s="228"/>
      <c r="K229" s="228"/>
      <c r="L229" s="228"/>
      <c r="M229" s="228"/>
      <c r="N229" s="228"/>
      <c r="O229" s="228"/>
      <c r="P229" s="228"/>
      <c r="Q229" s="228"/>
      <c r="R229" s="228"/>
      <c r="S229" s="228"/>
      <c r="T229" s="228"/>
      <c r="U229" s="228"/>
      <c r="V229" s="228"/>
      <c r="W229" s="228"/>
      <c r="X229" s="228"/>
      <c r="Y229" s="228"/>
      <c r="Z229" s="228"/>
      <c r="AA229" s="228"/>
      <c r="AB229" s="228"/>
      <c r="AC229" s="228"/>
      <c r="AD229" s="228"/>
    </row>
    <row r="230">
      <c r="A230" s="228"/>
      <c r="B230" s="228"/>
      <c r="C230" s="228"/>
      <c r="D230" s="228"/>
      <c r="E230" s="228"/>
      <c r="F230" s="228"/>
      <c r="G230" s="228"/>
      <c r="H230" s="228"/>
      <c r="I230" s="228"/>
      <c r="J230" s="228"/>
      <c r="K230" s="228"/>
      <c r="L230" s="228"/>
      <c r="M230" s="228"/>
      <c r="N230" s="228"/>
      <c r="O230" s="228"/>
      <c r="P230" s="228"/>
      <c r="Q230" s="228"/>
      <c r="R230" s="228"/>
      <c r="S230" s="228"/>
      <c r="T230" s="228"/>
      <c r="U230" s="228"/>
      <c r="V230" s="228"/>
      <c r="W230" s="228"/>
      <c r="X230" s="228"/>
      <c r="Y230" s="228"/>
      <c r="Z230" s="228"/>
      <c r="AA230" s="228"/>
      <c r="AB230" s="228"/>
      <c r="AC230" s="228"/>
      <c r="AD230" s="228"/>
    </row>
    <row r="231">
      <c r="A231" s="228"/>
      <c r="B231" s="228"/>
      <c r="C231" s="228"/>
      <c r="D231" s="228"/>
      <c r="E231" s="228"/>
      <c r="F231" s="228"/>
      <c r="G231" s="228"/>
      <c r="H231" s="228"/>
      <c r="I231" s="228"/>
      <c r="J231" s="228"/>
      <c r="K231" s="228"/>
      <c r="L231" s="228"/>
      <c r="M231" s="228"/>
      <c r="N231" s="228"/>
      <c r="O231" s="228"/>
      <c r="P231" s="228"/>
      <c r="Q231" s="228"/>
      <c r="R231" s="228"/>
      <c r="S231" s="228"/>
      <c r="T231" s="228"/>
      <c r="U231" s="228"/>
      <c r="V231" s="228"/>
      <c r="W231" s="228"/>
      <c r="X231" s="228"/>
      <c r="Y231" s="228"/>
      <c r="Z231" s="228"/>
      <c r="AA231" s="228"/>
      <c r="AB231" s="228"/>
      <c r="AC231" s="228"/>
      <c r="AD231" s="228"/>
    </row>
    <row r="232">
      <c r="A232" s="228"/>
      <c r="B232" s="228"/>
      <c r="C232" s="228"/>
      <c r="D232" s="228"/>
      <c r="E232" s="228"/>
      <c r="F232" s="228"/>
      <c r="G232" s="228"/>
      <c r="H232" s="228"/>
      <c r="I232" s="228"/>
      <c r="J232" s="228"/>
      <c r="K232" s="228"/>
      <c r="L232" s="228"/>
      <c r="M232" s="228"/>
      <c r="N232" s="228"/>
      <c r="O232" s="228"/>
      <c r="P232" s="228"/>
      <c r="Q232" s="228"/>
      <c r="R232" s="228"/>
      <c r="S232" s="228"/>
      <c r="T232" s="228"/>
      <c r="U232" s="228"/>
      <c r="V232" s="228"/>
      <c r="W232" s="228"/>
      <c r="X232" s="228"/>
      <c r="Y232" s="228"/>
      <c r="Z232" s="228"/>
      <c r="AA232" s="228"/>
      <c r="AB232" s="228"/>
      <c r="AC232" s="228"/>
      <c r="AD232" s="228"/>
    </row>
    <row r="233">
      <c r="A233" s="228"/>
      <c r="B233" s="228"/>
      <c r="C233" s="228"/>
      <c r="D233" s="228"/>
      <c r="E233" s="228"/>
      <c r="F233" s="228"/>
      <c r="G233" s="228"/>
      <c r="H233" s="228"/>
      <c r="I233" s="228"/>
      <c r="J233" s="228"/>
      <c r="K233" s="228"/>
      <c r="L233" s="228"/>
      <c r="M233" s="228"/>
      <c r="N233" s="228"/>
      <c r="O233" s="228"/>
      <c r="P233" s="228"/>
      <c r="Q233" s="228"/>
      <c r="R233" s="228"/>
      <c r="S233" s="228"/>
      <c r="T233" s="228"/>
      <c r="U233" s="228"/>
      <c r="V233" s="228"/>
      <c r="W233" s="228"/>
      <c r="X233" s="228"/>
      <c r="Y233" s="228"/>
      <c r="Z233" s="228"/>
      <c r="AA233" s="228"/>
      <c r="AB233" s="228"/>
      <c r="AC233" s="228"/>
      <c r="AD233" s="228"/>
    </row>
    <row r="234">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c r="AA234" s="228"/>
      <c r="AB234" s="228"/>
      <c r="AC234" s="228"/>
      <c r="AD234" s="228"/>
    </row>
    <row r="235">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c r="AA235" s="228"/>
      <c r="AB235" s="228"/>
      <c r="AC235" s="228"/>
      <c r="AD235" s="228"/>
    </row>
    <row r="236">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c r="AA236" s="228"/>
      <c r="AB236" s="228"/>
      <c r="AC236" s="228"/>
      <c r="AD236" s="228"/>
    </row>
    <row r="237">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c r="AA237" s="228"/>
      <c r="AB237" s="228"/>
      <c r="AC237" s="228"/>
      <c r="AD237" s="228"/>
    </row>
    <row r="238">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c r="AA238" s="228"/>
      <c r="AB238" s="228"/>
      <c r="AC238" s="228"/>
      <c r="AD238" s="228"/>
    </row>
    <row r="239">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c r="AA239" s="228"/>
      <c r="AB239" s="228"/>
      <c r="AC239" s="228"/>
      <c r="AD239" s="228"/>
    </row>
    <row r="240">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c r="AA240" s="228"/>
      <c r="AB240" s="228"/>
      <c r="AC240" s="228"/>
      <c r="AD240" s="228"/>
    </row>
    <row r="24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c r="AA241" s="228"/>
      <c r="AB241" s="228"/>
      <c r="AC241" s="228"/>
      <c r="AD241" s="228"/>
    </row>
    <row r="242">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c r="AA242" s="228"/>
      <c r="AB242" s="228"/>
      <c r="AC242" s="228"/>
      <c r="AD242" s="228"/>
    </row>
    <row r="243">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c r="AA243" s="228"/>
      <c r="AB243" s="228"/>
      <c r="AC243" s="228"/>
      <c r="AD243" s="228"/>
    </row>
    <row r="244">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c r="AA244" s="228"/>
      <c r="AB244" s="228"/>
      <c r="AC244" s="228"/>
      <c r="AD244" s="228"/>
    </row>
    <row r="245">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c r="AA245" s="228"/>
      <c r="AB245" s="228"/>
      <c r="AC245" s="228"/>
      <c r="AD245" s="228"/>
    </row>
    <row r="246">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c r="AA246" s="228"/>
      <c r="AB246" s="228"/>
      <c r="AC246" s="228"/>
      <c r="AD246" s="228"/>
    </row>
    <row r="247">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c r="AA247" s="228"/>
      <c r="AB247" s="228"/>
      <c r="AC247" s="228"/>
      <c r="AD247" s="228"/>
    </row>
    <row r="248">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c r="AA248" s="228"/>
      <c r="AB248" s="228"/>
      <c r="AC248" s="228"/>
      <c r="AD248" s="228"/>
    </row>
    <row r="249">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c r="AA249" s="228"/>
      <c r="AB249" s="228"/>
      <c r="AC249" s="228"/>
      <c r="AD249" s="228"/>
    </row>
    <row r="250">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c r="AA250" s="228"/>
      <c r="AB250" s="228"/>
      <c r="AC250" s="228"/>
      <c r="AD250" s="228"/>
    </row>
    <row r="25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c r="AA251" s="228"/>
      <c r="AB251" s="228"/>
      <c r="AC251" s="228"/>
      <c r="AD251" s="228"/>
    </row>
    <row r="252">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c r="AA252" s="228"/>
      <c r="AB252" s="228"/>
      <c r="AC252" s="228"/>
      <c r="AD252" s="228"/>
    </row>
    <row r="253">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c r="AA253" s="228"/>
      <c r="AB253" s="228"/>
      <c r="AC253" s="228"/>
      <c r="AD253" s="228"/>
    </row>
    <row r="254">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c r="AA254" s="228"/>
      <c r="AB254" s="228"/>
      <c r="AC254" s="228"/>
      <c r="AD254" s="228"/>
    </row>
    <row r="255">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c r="AA255" s="228"/>
      <c r="AB255" s="228"/>
      <c r="AC255" s="228"/>
      <c r="AD255" s="228"/>
    </row>
    <row r="256">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c r="AA256" s="228"/>
      <c r="AB256" s="228"/>
      <c r="AC256" s="228"/>
      <c r="AD256" s="228"/>
    </row>
    <row r="257">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c r="AA257" s="228"/>
      <c r="AB257" s="228"/>
      <c r="AC257" s="228"/>
      <c r="AD257" s="228"/>
    </row>
    <row r="258">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c r="AA258" s="228"/>
      <c r="AB258" s="228"/>
      <c r="AC258" s="228"/>
      <c r="AD258" s="228"/>
    </row>
    <row r="259">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c r="AA259" s="228"/>
      <c r="AB259" s="228"/>
      <c r="AC259" s="228"/>
      <c r="AD259" s="228"/>
    </row>
    <row r="260">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c r="AA260" s="228"/>
      <c r="AB260" s="228"/>
      <c r="AC260" s="228"/>
      <c r="AD260" s="228"/>
    </row>
    <row r="26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c r="AA261" s="228"/>
      <c r="AB261" s="228"/>
      <c r="AC261" s="228"/>
      <c r="AD261" s="228"/>
    </row>
    <row r="262">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c r="AA262" s="228"/>
      <c r="AB262" s="228"/>
      <c r="AC262" s="228"/>
      <c r="AD262" s="228"/>
    </row>
    <row r="263">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c r="AA263" s="228"/>
      <c r="AB263" s="228"/>
      <c r="AC263" s="228"/>
      <c r="AD263" s="228"/>
    </row>
    <row r="264">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c r="AA264" s="228"/>
      <c r="AB264" s="228"/>
      <c r="AC264" s="228"/>
      <c r="AD264" s="228"/>
    </row>
    <row r="265">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c r="AA265" s="228"/>
      <c r="AB265" s="228"/>
      <c r="AC265" s="228"/>
      <c r="AD265" s="228"/>
    </row>
    <row r="266">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c r="AA266" s="228"/>
      <c r="AB266" s="228"/>
      <c r="AC266" s="228"/>
      <c r="AD266" s="228"/>
    </row>
    <row r="267">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c r="AA267" s="228"/>
      <c r="AB267" s="228"/>
      <c r="AC267" s="228"/>
      <c r="AD267" s="228"/>
    </row>
    <row r="268">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c r="AA268" s="228"/>
      <c r="AB268" s="228"/>
      <c r="AC268" s="228"/>
      <c r="AD268" s="228"/>
    </row>
    <row r="269">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c r="AA269" s="228"/>
      <c r="AB269" s="228"/>
      <c r="AC269" s="228"/>
      <c r="AD269" s="228"/>
    </row>
    <row r="270">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c r="AA270" s="228"/>
      <c r="AB270" s="228"/>
      <c r="AC270" s="228"/>
      <c r="AD270" s="228"/>
    </row>
    <row r="27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c r="AA271" s="228"/>
      <c r="AB271" s="228"/>
      <c r="AC271" s="228"/>
      <c r="AD271" s="228"/>
    </row>
    <row r="272">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c r="AA272" s="228"/>
      <c r="AB272" s="228"/>
      <c r="AC272" s="228"/>
      <c r="AD272" s="228"/>
    </row>
    <row r="273">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c r="AA273" s="228"/>
      <c r="AB273" s="228"/>
      <c r="AC273" s="228"/>
      <c r="AD273" s="228"/>
    </row>
    <row r="274">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c r="AA274" s="228"/>
      <c r="AB274" s="228"/>
      <c r="AC274" s="228"/>
      <c r="AD274" s="228"/>
    </row>
    <row r="275">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c r="AA275" s="228"/>
      <c r="AB275" s="228"/>
      <c r="AC275" s="228"/>
      <c r="AD275" s="228"/>
    </row>
    <row r="276">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c r="AA276" s="228"/>
      <c r="AB276" s="228"/>
      <c r="AC276" s="228"/>
      <c r="AD276" s="228"/>
    </row>
    <row r="277">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c r="AA277" s="228"/>
      <c r="AB277" s="228"/>
      <c r="AC277" s="228"/>
      <c r="AD277" s="228"/>
    </row>
    <row r="278">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c r="AA278" s="228"/>
      <c r="AB278" s="228"/>
      <c r="AC278" s="228"/>
      <c r="AD278" s="228"/>
    </row>
    <row r="279">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c r="AA279" s="228"/>
      <c r="AB279" s="228"/>
      <c r="AC279" s="228"/>
      <c r="AD279" s="228"/>
    </row>
    <row r="280">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c r="AA280" s="228"/>
      <c r="AB280" s="228"/>
      <c r="AC280" s="228"/>
      <c r="AD280" s="228"/>
    </row>
    <row r="28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c r="AA281" s="228"/>
      <c r="AB281" s="228"/>
      <c r="AC281" s="228"/>
      <c r="AD281" s="228"/>
    </row>
    <row r="282">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c r="AA282" s="228"/>
      <c r="AB282" s="228"/>
      <c r="AC282" s="228"/>
      <c r="AD282" s="228"/>
    </row>
    <row r="283">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c r="AA283" s="228"/>
      <c r="AB283" s="228"/>
      <c r="AC283" s="228"/>
      <c r="AD283" s="228"/>
    </row>
    <row r="284">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c r="AA284" s="228"/>
      <c r="AB284" s="228"/>
      <c r="AC284" s="228"/>
      <c r="AD284" s="228"/>
    </row>
    <row r="285">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c r="AA285" s="228"/>
      <c r="AB285" s="228"/>
      <c r="AC285" s="228"/>
      <c r="AD285" s="228"/>
    </row>
    <row r="286">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c r="AA286" s="228"/>
      <c r="AB286" s="228"/>
      <c r="AC286" s="228"/>
      <c r="AD286" s="228"/>
    </row>
    <row r="287">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c r="AA287" s="228"/>
      <c r="AB287" s="228"/>
      <c r="AC287" s="228"/>
      <c r="AD287" s="228"/>
    </row>
    <row r="288">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c r="AA288" s="228"/>
      <c r="AB288" s="228"/>
      <c r="AC288" s="228"/>
      <c r="AD288" s="228"/>
    </row>
    <row r="289">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c r="AA289" s="228"/>
      <c r="AB289" s="228"/>
      <c r="AC289" s="228"/>
      <c r="AD289" s="228"/>
    </row>
    <row r="290">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c r="AA290" s="228"/>
      <c r="AB290" s="228"/>
      <c r="AC290" s="228"/>
      <c r="AD290" s="228"/>
    </row>
    <row r="29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c r="AA291" s="228"/>
      <c r="AB291" s="228"/>
      <c r="AC291" s="228"/>
      <c r="AD291" s="228"/>
    </row>
    <row r="292">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c r="AA292" s="228"/>
      <c r="AB292" s="228"/>
      <c r="AC292" s="228"/>
      <c r="AD292" s="228"/>
    </row>
    <row r="293">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c r="AA293" s="228"/>
      <c r="AB293" s="228"/>
      <c r="AC293" s="228"/>
      <c r="AD293" s="228"/>
    </row>
    <row r="294">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c r="AA294" s="228"/>
      <c r="AB294" s="228"/>
      <c r="AC294" s="228"/>
      <c r="AD294" s="228"/>
    </row>
    <row r="295">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c r="AA295" s="228"/>
      <c r="AB295" s="228"/>
      <c r="AC295" s="228"/>
      <c r="AD295" s="228"/>
    </row>
    <row r="296">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c r="AA296" s="228"/>
      <c r="AB296" s="228"/>
      <c r="AC296" s="228"/>
      <c r="AD296" s="228"/>
    </row>
    <row r="297">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c r="AA297" s="228"/>
      <c r="AB297" s="228"/>
      <c r="AC297" s="228"/>
      <c r="AD297" s="228"/>
    </row>
    <row r="298">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c r="AA298" s="228"/>
      <c r="AB298" s="228"/>
      <c r="AC298" s="228"/>
      <c r="AD298" s="228"/>
    </row>
    <row r="299">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c r="AA299" s="228"/>
      <c r="AB299" s="228"/>
      <c r="AC299" s="228"/>
      <c r="AD299" s="228"/>
    </row>
    <row r="300">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c r="AA300" s="228"/>
      <c r="AB300" s="228"/>
      <c r="AC300" s="228"/>
      <c r="AD300" s="228"/>
    </row>
    <row r="30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c r="AA301" s="228"/>
      <c r="AB301" s="228"/>
      <c r="AC301" s="228"/>
      <c r="AD301" s="228"/>
    </row>
    <row r="302">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c r="AA302" s="228"/>
      <c r="AB302" s="228"/>
      <c r="AC302" s="228"/>
      <c r="AD302" s="228"/>
    </row>
    <row r="303">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c r="AA303" s="228"/>
      <c r="AB303" s="228"/>
      <c r="AC303" s="228"/>
      <c r="AD303" s="228"/>
    </row>
    <row r="304">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c r="AA304" s="228"/>
      <c r="AB304" s="228"/>
      <c r="AC304" s="228"/>
      <c r="AD304" s="228"/>
    </row>
    <row r="305">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c r="AA305" s="228"/>
      <c r="AB305" s="228"/>
      <c r="AC305" s="228"/>
      <c r="AD305" s="228"/>
    </row>
    <row r="306">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c r="AA306" s="228"/>
      <c r="AB306" s="228"/>
      <c r="AC306" s="228"/>
      <c r="AD306" s="228"/>
    </row>
    <row r="307">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c r="AA307" s="228"/>
      <c r="AB307" s="228"/>
      <c r="AC307" s="228"/>
      <c r="AD307" s="228"/>
    </row>
    <row r="308">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c r="AA308" s="228"/>
      <c r="AB308" s="228"/>
      <c r="AC308" s="228"/>
      <c r="AD308" s="228"/>
    </row>
    <row r="309">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c r="AA309" s="228"/>
      <c r="AB309" s="228"/>
      <c r="AC309" s="228"/>
      <c r="AD309" s="228"/>
    </row>
    <row r="310">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c r="AA310" s="228"/>
      <c r="AB310" s="228"/>
      <c r="AC310" s="228"/>
      <c r="AD310" s="228"/>
    </row>
    <row r="31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c r="AA311" s="228"/>
      <c r="AB311" s="228"/>
      <c r="AC311" s="228"/>
      <c r="AD311" s="228"/>
    </row>
    <row r="312">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c r="AA312" s="228"/>
      <c r="AB312" s="228"/>
      <c r="AC312" s="228"/>
      <c r="AD312" s="228"/>
    </row>
    <row r="313">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c r="AA313" s="228"/>
      <c r="AB313" s="228"/>
      <c r="AC313" s="228"/>
      <c r="AD313" s="228"/>
    </row>
    <row r="314">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c r="AA314" s="228"/>
      <c r="AB314" s="228"/>
      <c r="AC314" s="228"/>
      <c r="AD314" s="228"/>
    </row>
    <row r="315">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c r="AA315" s="228"/>
      <c r="AB315" s="228"/>
      <c r="AC315" s="228"/>
      <c r="AD315" s="228"/>
    </row>
    <row r="316">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c r="AA316" s="228"/>
      <c r="AB316" s="228"/>
      <c r="AC316" s="228"/>
      <c r="AD316" s="228"/>
    </row>
    <row r="317">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c r="AA317" s="228"/>
      <c r="AB317" s="228"/>
      <c r="AC317" s="228"/>
      <c r="AD317" s="228"/>
    </row>
    <row r="318">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c r="AA318" s="228"/>
      <c r="AB318" s="228"/>
      <c r="AC318" s="228"/>
      <c r="AD318" s="228"/>
    </row>
    <row r="319">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c r="AA319" s="228"/>
      <c r="AB319" s="228"/>
      <c r="AC319" s="228"/>
      <c r="AD319" s="228"/>
    </row>
    <row r="320">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c r="AA320" s="228"/>
      <c r="AB320" s="228"/>
      <c r="AC320" s="228"/>
      <c r="AD320" s="228"/>
    </row>
    <row r="32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c r="AA321" s="228"/>
      <c r="AB321" s="228"/>
      <c r="AC321" s="228"/>
      <c r="AD321" s="228"/>
    </row>
    <row r="322">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c r="AA322" s="228"/>
      <c r="AB322" s="228"/>
      <c r="AC322" s="228"/>
      <c r="AD322" s="228"/>
    </row>
    <row r="323">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c r="AA323" s="228"/>
      <c r="AB323" s="228"/>
      <c r="AC323" s="228"/>
      <c r="AD323" s="228"/>
    </row>
    <row r="324">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c r="AA324" s="228"/>
      <c r="AB324" s="228"/>
      <c r="AC324" s="228"/>
      <c r="AD324" s="228"/>
    </row>
    <row r="325">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c r="AA325" s="228"/>
      <c r="AB325" s="228"/>
      <c r="AC325" s="228"/>
      <c r="AD325" s="228"/>
    </row>
    <row r="326">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c r="AA326" s="228"/>
      <c r="AB326" s="228"/>
      <c r="AC326" s="228"/>
      <c r="AD326" s="228"/>
    </row>
    <row r="327">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c r="AA327" s="228"/>
      <c r="AB327" s="228"/>
      <c r="AC327" s="228"/>
      <c r="AD327" s="228"/>
    </row>
    <row r="328">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c r="AA328" s="228"/>
      <c r="AB328" s="228"/>
      <c r="AC328" s="228"/>
      <c r="AD328" s="228"/>
    </row>
    <row r="329">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c r="AA329" s="228"/>
      <c r="AB329" s="228"/>
      <c r="AC329" s="228"/>
      <c r="AD329" s="228"/>
    </row>
    <row r="330">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c r="AA330" s="228"/>
      <c r="AB330" s="228"/>
      <c r="AC330" s="228"/>
      <c r="AD330" s="228"/>
    </row>
    <row r="33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c r="AA331" s="228"/>
      <c r="AB331" s="228"/>
      <c r="AC331" s="228"/>
      <c r="AD331" s="228"/>
    </row>
    <row r="332">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c r="AA332" s="228"/>
      <c r="AB332" s="228"/>
      <c r="AC332" s="228"/>
      <c r="AD332" s="228"/>
    </row>
    <row r="333">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c r="AA333" s="228"/>
      <c r="AB333" s="228"/>
      <c r="AC333" s="228"/>
      <c r="AD333" s="228"/>
    </row>
    <row r="334">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c r="AA334" s="228"/>
      <c r="AB334" s="228"/>
      <c r="AC334" s="228"/>
      <c r="AD334" s="228"/>
    </row>
    <row r="335">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c r="AA335" s="228"/>
      <c r="AB335" s="228"/>
      <c r="AC335" s="228"/>
      <c r="AD335" s="228"/>
    </row>
    <row r="336">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c r="AA336" s="228"/>
      <c r="AB336" s="228"/>
      <c r="AC336" s="228"/>
      <c r="AD336" s="228"/>
    </row>
    <row r="337">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c r="AA337" s="228"/>
      <c r="AB337" s="228"/>
      <c r="AC337" s="228"/>
      <c r="AD337" s="228"/>
    </row>
    <row r="338">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c r="AA338" s="228"/>
      <c r="AB338" s="228"/>
      <c r="AC338" s="228"/>
      <c r="AD338" s="228"/>
    </row>
    <row r="339">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c r="AA339" s="228"/>
      <c r="AB339" s="228"/>
      <c r="AC339" s="228"/>
      <c r="AD339" s="228"/>
    </row>
    <row r="340">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c r="AA340" s="228"/>
      <c r="AB340" s="228"/>
      <c r="AC340" s="228"/>
      <c r="AD340" s="228"/>
    </row>
    <row r="34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c r="AA341" s="228"/>
      <c r="AB341" s="228"/>
      <c r="AC341" s="228"/>
      <c r="AD341" s="228"/>
    </row>
    <row r="342">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c r="AA342" s="228"/>
      <c r="AB342" s="228"/>
      <c r="AC342" s="228"/>
      <c r="AD342" s="228"/>
    </row>
    <row r="343">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c r="AA343" s="228"/>
      <c r="AB343" s="228"/>
      <c r="AC343" s="228"/>
      <c r="AD343" s="228"/>
    </row>
    <row r="344">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c r="AA344" s="228"/>
      <c r="AB344" s="228"/>
      <c r="AC344" s="228"/>
      <c r="AD344" s="228"/>
    </row>
    <row r="345">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c r="AA345" s="228"/>
      <c r="AB345" s="228"/>
      <c r="AC345" s="228"/>
      <c r="AD345" s="228"/>
    </row>
    <row r="346">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c r="AA346" s="228"/>
      <c r="AB346" s="228"/>
      <c r="AC346" s="228"/>
      <c r="AD346" s="228"/>
    </row>
    <row r="347">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c r="AA347" s="228"/>
      <c r="AB347" s="228"/>
      <c r="AC347" s="228"/>
      <c r="AD347" s="228"/>
    </row>
    <row r="348">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c r="AA348" s="228"/>
      <c r="AB348" s="228"/>
      <c r="AC348" s="228"/>
      <c r="AD348" s="228"/>
    </row>
    <row r="349">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c r="AA349" s="228"/>
      <c r="AB349" s="228"/>
      <c r="AC349" s="228"/>
      <c r="AD349" s="228"/>
    </row>
    <row r="350">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c r="AA350" s="228"/>
      <c r="AB350" s="228"/>
      <c r="AC350" s="228"/>
      <c r="AD350" s="228"/>
    </row>
    <row r="35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c r="AA351" s="228"/>
      <c r="AB351" s="228"/>
      <c r="AC351" s="228"/>
      <c r="AD351" s="228"/>
    </row>
    <row r="352">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c r="AA352" s="228"/>
      <c r="AB352" s="228"/>
      <c r="AC352" s="228"/>
      <c r="AD352" s="228"/>
    </row>
    <row r="353">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c r="AA353" s="228"/>
      <c r="AB353" s="228"/>
      <c r="AC353" s="228"/>
      <c r="AD353" s="228"/>
    </row>
    <row r="354">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c r="AA354" s="228"/>
      <c r="AB354" s="228"/>
      <c r="AC354" s="228"/>
      <c r="AD354" s="228"/>
    </row>
    <row r="355">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c r="AA355" s="228"/>
      <c r="AB355" s="228"/>
      <c r="AC355" s="228"/>
      <c r="AD355" s="228"/>
    </row>
    <row r="356">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c r="AA356" s="228"/>
      <c r="AB356" s="228"/>
      <c r="AC356" s="228"/>
      <c r="AD356" s="228"/>
    </row>
    <row r="357">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c r="AA357" s="228"/>
      <c r="AB357" s="228"/>
      <c r="AC357" s="228"/>
      <c r="AD357" s="228"/>
    </row>
    <row r="358">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c r="AA358" s="228"/>
      <c r="AB358" s="228"/>
      <c r="AC358" s="228"/>
      <c r="AD358" s="228"/>
    </row>
    <row r="359">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c r="AA359" s="228"/>
      <c r="AB359" s="228"/>
      <c r="AC359" s="228"/>
      <c r="AD359" s="228"/>
    </row>
    <row r="360">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c r="AA360" s="228"/>
      <c r="AB360" s="228"/>
      <c r="AC360" s="228"/>
      <c r="AD360" s="228"/>
    </row>
    <row r="36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c r="AA361" s="228"/>
      <c r="AB361" s="228"/>
      <c r="AC361" s="228"/>
      <c r="AD361" s="228"/>
    </row>
    <row r="362">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c r="AA362" s="228"/>
      <c r="AB362" s="228"/>
      <c r="AC362" s="228"/>
      <c r="AD362" s="228"/>
    </row>
    <row r="363">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c r="AA363" s="228"/>
      <c r="AB363" s="228"/>
      <c r="AC363" s="228"/>
      <c r="AD363" s="228"/>
    </row>
    <row r="364">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c r="AA364" s="228"/>
      <c r="AB364" s="228"/>
      <c r="AC364" s="228"/>
      <c r="AD364" s="228"/>
    </row>
    <row r="365">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c r="AA365" s="228"/>
      <c r="AB365" s="228"/>
      <c r="AC365" s="228"/>
      <c r="AD365" s="228"/>
    </row>
    <row r="366">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c r="AA366" s="228"/>
      <c r="AB366" s="228"/>
      <c r="AC366" s="228"/>
      <c r="AD366" s="228"/>
    </row>
    <row r="367">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c r="AA367" s="228"/>
      <c r="AB367" s="228"/>
      <c r="AC367" s="228"/>
      <c r="AD367" s="228"/>
    </row>
    <row r="368">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c r="AA368" s="228"/>
      <c r="AB368" s="228"/>
      <c r="AC368" s="228"/>
      <c r="AD368" s="228"/>
    </row>
    <row r="369">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c r="AA369" s="228"/>
      <c r="AB369" s="228"/>
      <c r="AC369" s="228"/>
      <c r="AD369" s="228"/>
    </row>
    <row r="370">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c r="AA370" s="228"/>
      <c r="AB370" s="228"/>
      <c r="AC370" s="228"/>
      <c r="AD370" s="228"/>
    </row>
    <row r="37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c r="AA371" s="228"/>
      <c r="AB371" s="228"/>
      <c r="AC371" s="228"/>
      <c r="AD371" s="228"/>
    </row>
    <row r="372">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c r="AA372" s="228"/>
      <c r="AB372" s="228"/>
      <c r="AC372" s="228"/>
      <c r="AD372" s="228"/>
    </row>
    <row r="373">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c r="AA373" s="228"/>
      <c r="AB373" s="228"/>
      <c r="AC373" s="228"/>
      <c r="AD373" s="228"/>
    </row>
    <row r="374">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c r="AA374" s="228"/>
      <c r="AB374" s="228"/>
      <c r="AC374" s="228"/>
      <c r="AD374" s="228"/>
    </row>
    <row r="375">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c r="AA375" s="228"/>
      <c r="AB375" s="228"/>
      <c r="AC375" s="228"/>
      <c r="AD375" s="228"/>
    </row>
    <row r="376">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c r="AA376" s="228"/>
      <c r="AB376" s="228"/>
      <c r="AC376" s="228"/>
      <c r="AD376" s="228"/>
    </row>
    <row r="377">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c r="AA377" s="228"/>
      <c r="AB377" s="228"/>
      <c r="AC377" s="228"/>
      <c r="AD377" s="228"/>
    </row>
    <row r="378">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c r="AA378" s="228"/>
      <c r="AB378" s="228"/>
      <c r="AC378" s="228"/>
      <c r="AD378" s="228"/>
    </row>
    <row r="379">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c r="AA379" s="228"/>
      <c r="AB379" s="228"/>
      <c r="AC379" s="228"/>
      <c r="AD379" s="228"/>
    </row>
    <row r="380">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c r="AA380" s="228"/>
      <c r="AB380" s="228"/>
      <c r="AC380" s="228"/>
      <c r="AD380" s="228"/>
    </row>
    <row r="38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c r="AA381" s="228"/>
      <c r="AB381" s="228"/>
      <c r="AC381" s="228"/>
      <c r="AD381" s="228"/>
    </row>
    <row r="382">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c r="AA382" s="228"/>
      <c r="AB382" s="228"/>
      <c r="AC382" s="228"/>
      <c r="AD382" s="228"/>
    </row>
    <row r="383">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c r="AA383" s="228"/>
      <c r="AB383" s="228"/>
      <c r="AC383" s="228"/>
      <c r="AD383" s="228"/>
    </row>
    <row r="384">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c r="AA384" s="228"/>
      <c r="AB384" s="228"/>
      <c r="AC384" s="228"/>
      <c r="AD384" s="228"/>
    </row>
    <row r="385">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c r="AA385" s="228"/>
      <c r="AB385" s="228"/>
      <c r="AC385" s="228"/>
      <c r="AD385" s="228"/>
    </row>
    <row r="386">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c r="AA386" s="228"/>
      <c r="AB386" s="228"/>
      <c r="AC386" s="228"/>
      <c r="AD386" s="228"/>
    </row>
    <row r="387">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228"/>
      <c r="AD387" s="228"/>
    </row>
    <row r="388">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c r="AA388" s="228"/>
      <c r="AB388" s="228"/>
      <c r="AC388" s="228"/>
      <c r="AD388" s="228"/>
    </row>
    <row r="389">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228"/>
      <c r="AD389" s="228"/>
    </row>
    <row r="390">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c r="AA390" s="228"/>
      <c r="AB390" s="228"/>
      <c r="AC390" s="228"/>
      <c r="AD390" s="228"/>
    </row>
    <row r="39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c r="AA391" s="228"/>
      <c r="AB391" s="228"/>
      <c r="AC391" s="228"/>
      <c r="AD391" s="228"/>
    </row>
    <row r="392">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c r="AA392" s="228"/>
      <c r="AB392" s="228"/>
      <c r="AC392" s="228"/>
      <c r="AD392" s="228"/>
    </row>
    <row r="393">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c r="AA393" s="228"/>
      <c r="AB393" s="228"/>
      <c r="AC393" s="228"/>
      <c r="AD393" s="228"/>
    </row>
    <row r="394">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c r="AA394" s="228"/>
      <c r="AB394" s="228"/>
      <c r="AC394" s="228"/>
      <c r="AD394" s="228"/>
    </row>
    <row r="395">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c r="AA395" s="228"/>
      <c r="AB395" s="228"/>
      <c r="AC395" s="228"/>
      <c r="AD395" s="228"/>
    </row>
    <row r="396">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c r="AA396" s="228"/>
      <c r="AB396" s="228"/>
      <c r="AC396" s="228"/>
      <c r="AD396" s="228"/>
    </row>
    <row r="397">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c r="AA397" s="228"/>
      <c r="AB397" s="228"/>
      <c r="AC397" s="228"/>
      <c r="AD397" s="228"/>
    </row>
    <row r="398">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c r="AA398" s="228"/>
      <c r="AB398" s="228"/>
      <c r="AC398" s="228"/>
      <c r="AD398" s="228"/>
    </row>
    <row r="399">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c r="AA399" s="228"/>
      <c r="AB399" s="228"/>
      <c r="AC399" s="228"/>
      <c r="AD399" s="228"/>
    </row>
    <row r="400">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c r="AA400" s="228"/>
      <c r="AB400" s="228"/>
      <c r="AC400" s="228"/>
      <c r="AD400" s="228"/>
    </row>
    <row r="40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c r="AA401" s="228"/>
      <c r="AB401" s="228"/>
      <c r="AC401" s="228"/>
      <c r="AD401" s="228"/>
    </row>
    <row r="402">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c r="AA402" s="228"/>
      <c r="AB402" s="228"/>
      <c r="AC402" s="228"/>
      <c r="AD402" s="228"/>
    </row>
    <row r="403">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c r="AA403" s="228"/>
      <c r="AB403" s="228"/>
      <c r="AC403" s="228"/>
      <c r="AD403" s="228"/>
    </row>
    <row r="404">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c r="AA404" s="228"/>
      <c r="AB404" s="228"/>
      <c r="AC404" s="228"/>
      <c r="AD404" s="228"/>
    </row>
    <row r="405">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c r="AA405" s="228"/>
      <c r="AB405" s="228"/>
      <c r="AC405" s="228"/>
      <c r="AD405" s="228"/>
    </row>
    <row r="406">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c r="AA406" s="228"/>
      <c r="AB406" s="228"/>
      <c r="AC406" s="228"/>
      <c r="AD406" s="228"/>
    </row>
    <row r="407">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c r="AA407" s="228"/>
      <c r="AB407" s="228"/>
      <c r="AC407" s="228"/>
      <c r="AD407" s="228"/>
    </row>
    <row r="408">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c r="AA408" s="228"/>
      <c r="AB408" s="228"/>
      <c r="AC408" s="228"/>
      <c r="AD408" s="228"/>
    </row>
    <row r="409">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c r="AA409" s="228"/>
      <c r="AB409" s="228"/>
      <c r="AC409" s="228"/>
      <c r="AD409" s="228"/>
    </row>
    <row r="410">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c r="AA410" s="228"/>
      <c r="AB410" s="228"/>
      <c r="AC410" s="228"/>
      <c r="AD410" s="228"/>
    </row>
    <row r="41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c r="AA411" s="228"/>
      <c r="AB411" s="228"/>
      <c r="AC411" s="228"/>
      <c r="AD411" s="228"/>
    </row>
    <row r="412">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c r="AA412" s="228"/>
      <c r="AB412" s="228"/>
      <c r="AC412" s="228"/>
      <c r="AD412" s="228"/>
    </row>
    <row r="413">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c r="AA413" s="228"/>
      <c r="AB413" s="228"/>
      <c r="AC413" s="228"/>
      <c r="AD413" s="228"/>
    </row>
    <row r="414">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c r="AA414" s="228"/>
      <c r="AB414" s="228"/>
      <c r="AC414" s="228"/>
      <c r="AD414" s="228"/>
    </row>
    <row r="415">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c r="AA415" s="228"/>
      <c r="AB415" s="228"/>
      <c r="AC415" s="228"/>
      <c r="AD415" s="228"/>
    </row>
    <row r="416">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c r="AA416" s="228"/>
      <c r="AB416" s="228"/>
      <c r="AC416" s="228"/>
      <c r="AD416" s="228"/>
    </row>
    <row r="417">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c r="AA417" s="228"/>
      <c r="AB417" s="228"/>
      <c r="AC417" s="228"/>
      <c r="AD417" s="228"/>
    </row>
    <row r="418">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c r="AA418" s="228"/>
      <c r="AB418" s="228"/>
      <c r="AC418" s="228"/>
      <c r="AD418" s="228"/>
    </row>
    <row r="419">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c r="AA419" s="228"/>
      <c r="AB419" s="228"/>
      <c r="AC419" s="228"/>
      <c r="AD419" s="228"/>
    </row>
    <row r="420">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c r="AA420" s="228"/>
      <c r="AB420" s="228"/>
      <c r="AC420" s="228"/>
      <c r="AD420" s="228"/>
    </row>
    <row r="42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c r="AA421" s="228"/>
      <c r="AB421" s="228"/>
      <c r="AC421" s="228"/>
      <c r="AD421" s="228"/>
    </row>
    <row r="422">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c r="AA422" s="228"/>
      <c r="AB422" s="228"/>
      <c r="AC422" s="228"/>
      <c r="AD422" s="228"/>
    </row>
    <row r="423">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c r="AA423" s="228"/>
      <c r="AB423" s="228"/>
      <c r="AC423" s="228"/>
      <c r="AD423" s="228"/>
    </row>
    <row r="424">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c r="AA424" s="228"/>
      <c r="AB424" s="228"/>
      <c r="AC424" s="228"/>
      <c r="AD424" s="228"/>
    </row>
    <row r="425">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c r="AA425" s="228"/>
      <c r="AB425" s="228"/>
      <c r="AC425" s="228"/>
      <c r="AD425" s="228"/>
    </row>
    <row r="426">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c r="AA426" s="228"/>
      <c r="AB426" s="228"/>
      <c r="AC426" s="228"/>
      <c r="AD426" s="228"/>
    </row>
    <row r="427">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c r="AA427" s="228"/>
      <c r="AB427" s="228"/>
      <c r="AC427" s="228"/>
      <c r="AD427" s="228"/>
    </row>
    <row r="428">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c r="AA428" s="228"/>
      <c r="AB428" s="228"/>
      <c r="AC428" s="228"/>
      <c r="AD428" s="228"/>
    </row>
    <row r="429">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c r="AA429" s="228"/>
      <c r="AB429" s="228"/>
      <c r="AC429" s="228"/>
      <c r="AD429" s="228"/>
    </row>
    <row r="430">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c r="AA430" s="228"/>
      <c r="AB430" s="228"/>
      <c r="AC430" s="228"/>
      <c r="AD430" s="228"/>
    </row>
    <row r="43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c r="AA431" s="228"/>
      <c r="AB431" s="228"/>
      <c r="AC431" s="228"/>
      <c r="AD431" s="228"/>
    </row>
    <row r="432">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c r="AA432" s="228"/>
      <c r="AB432" s="228"/>
      <c r="AC432" s="228"/>
      <c r="AD432" s="228"/>
    </row>
    <row r="433">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c r="AA433" s="228"/>
      <c r="AB433" s="228"/>
      <c r="AC433" s="228"/>
      <c r="AD433" s="228"/>
    </row>
    <row r="434">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c r="AA434" s="228"/>
      <c r="AB434" s="228"/>
      <c r="AC434" s="228"/>
      <c r="AD434" s="228"/>
    </row>
    <row r="435">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c r="AA435" s="228"/>
      <c r="AB435" s="228"/>
      <c r="AC435" s="228"/>
      <c r="AD435" s="228"/>
    </row>
    <row r="436">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c r="AA436" s="228"/>
      <c r="AB436" s="228"/>
      <c r="AC436" s="228"/>
      <c r="AD436" s="228"/>
    </row>
    <row r="437">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c r="AA437" s="228"/>
      <c r="AB437" s="228"/>
      <c r="AC437" s="228"/>
      <c r="AD437" s="228"/>
    </row>
    <row r="438">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c r="AA438" s="228"/>
      <c r="AB438" s="228"/>
      <c r="AC438" s="228"/>
      <c r="AD438" s="228"/>
    </row>
    <row r="439">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c r="AA439" s="228"/>
      <c r="AB439" s="228"/>
      <c r="AC439" s="228"/>
      <c r="AD439" s="228"/>
    </row>
    <row r="440">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c r="AA440" s="228"/>
      <c r="AB440" s="228"/>
      <c r="AC440" s="228"/>
      <c r="AD440" s="228"/>
    </row>
    <row r="44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c r="AA441" s="228"/>
      <c r="AB441" s="228"/>
      <c r="AC441" s="228"/>
      <c r="AD441" s="228"/>
    </row>
    <row r="442">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c r="AA442" s="228"/>
      <c r="AB442" s="228"/>
      <c r="AC442" s="228"/>
      <c r="AD442" s="228"/>
    </row>
    <row r="443">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c r="AA443" s="228"/>
      <c r="AB443" s="228"/>
      <c r="AC443" s="228"/>
      <c r="AD443" s="228"/>
    </row>
    <row r="444">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c r="AA444" s="228"/>
      <c r="AB444" s="228"/>
      <c r="AC444" s="228"/>
      <c r="AD444" s="228"/>
    </row>
    <row r="445">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c r="AA445" s="228"/>
      <c r="AB445" s="228"/>
      <c r="AC445" s="228"/>
      <c r="AD445" s="228"/>
    </row>
    <row r="446">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c r="AA446" s="228"/>
      <c r="AB446" s="228"/>
      <c r="AC446" s="228"/>
      <c r="AD446" s="228"/>
    </row>
    <row r="447">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c r="AA447" s="228"/>
      <c r="AB447" s="228"/>
      <c r="AC447" s="228"/>
      <c r="AD447" s="228"/>
    </row>
    <row r="448">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c r="AA448" s="228"/>
      <c r="AB448" s="228"/>
      <c r="AC448" s="228"/>
      <c r="AD448" s="228"/>
    </row>
    <row r="449">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c r="AA449" s="228"/>
      <c r="AB449" s="228"/>
      <c r="AC449" s="228"/>
      <c r="AD449" s="228"/>
    </row>
    <row r="450">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c r="AA450" s="228"/>
      <c r="AB450" s="228"/>
      <c r="AC450" s="228"/>
      <c r="AD450" s="228"/>
    </row>
    <row r="45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c r="AA451" s="228"/>
      <c r="AB451" s="228"/>
      <c r="AC451" s="228"/>
      <c r="AD451" s="228"/>
    </row>
    <row r="452">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c r="AA452" s="228"/>
      <c r="AB452" s="228"/>
      <c r="AC452" s="228"/>
      <c r="AD452" s="228"/>
    </row>
    <row r="453">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c r="AA453" s="228"/>
      <c r="AB453" s="228"/>
      <c r="AC453" s="228"/>
      <c r="AD453" s="228"/>
    </row>
    <row r="454">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c r="AA454" s="228"/>
      <c r="AB454" s="228"/>
      <c r="AC454" s="228"/>
      <c r="AD454" s="228"/>
    </row>
    <row r="455">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c r="AA455" s="228"/>
      <c r="AB455" s="228"/>
      <c r="AC455" s="228"/>
      <c r="AD455" s="228"/>
    </row>
    <row r="456">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c r="AA456" s="228"/>
      <c r="AB456" s="228"/>
      <c r="AC456" s="228"/>
      <c r="AD456" s="228"/>
    </row>
    <row r="457">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c r="AA457" s="228"/>
      <c r="AB457" s="228"/>
      <c r="AC457" s="228"/>
      <c r="AD457" s="228"/>
    </row>
    <row r="458">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c r="AA458" s="228"/>
      <c r="AB458" s="228"/>
      <c r="AC458" s="228"/>
      <c r="AD458" s="228"/>
    </row>
    <row r="459">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c r="AA459" s="228"/>
      <c r="AB459" s="228"/>
      <c r="AC459" s="228"/>
      <c r="AD459" s="228"/>
    </row>
    <row r="460">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c r="AA460" s="228"/>
      <c r="AB460" s="228"/>
      <c r="AC460" s="228"/>
      <c r="AD460" s="228"/>
    </row>
    <row r="46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c r="AA461" s="228"/>
      <c r="AB461" s="228"/>
      <c r="AC461" s="228"/>
      <c r="AD461" s="228"/>
    </row>
    <row r="462">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c r="AA462" s="228"/>
      <c r="AB462" s="228"/>
      <c r="AC462" s="228"/>
      <c r="AD462" s="228"/>
    </row>
    <row r="463">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c r="AA463" s="228"/>
      <c r="AB463" s="228"/>
      <c r="AC463" s="228"/>
      <c r="AD463" s="228"/>
    </row>
    <row r="464">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c r="AA464" s="228"/>
      <c r="AB464" s="228"/>
      <c r="AC464" s="228"/>
      <c r="AD464" s="228"/>
    </row>
    <row r="465">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c r="AA465" s="228"/>
      <c r="AB465" s="228"/>
      <c r="AC465" s="228"/>
      <c r="AD465" s="228"/>
    </row>
    <row r="466">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c r="AA466" s="228"/>
      <c r="AB466" s="228"/>
      <c r="AC466" s="228"/>
      <c r="AD466" s="228"/>
    </row>
    <row r="467">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c r="AA467" s="228"/>
      <c r="AB467" s="228"/>
      <c r="AC467" s="228"/>
      <c r="AD467" s="228"/>
    </row>
    <row r="468">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c r="AA468" s="228"/>
      <c r="AB468" s="228"/>
      <c r="AC468" s="228"/>
      <c r="AD468" s="228"/>
    </row>
    <row r="469">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c r="AA469" s="228"/>
      <c r="AB469" s="228"/>
      <c r="AC469" s="228"/>
      <c r="AD469" s="228"/>
    </row>
    <row r="470">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c r="AA470" s="228"/>
      <c r="AB470" s="228"/>
      <c r="AC470" s="228"/>
      <c r="AD470" s="228"/>
    </row>
    <row r="47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c r="AA471" s="228"/>
      <c r="AB471" s="228"/>
      <c r="AC471" s="228"/>
      <c r="AD471" s="228"/>
    </row>
    <row r="472">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c r="AA472" s="228"/>
      <c r="AB472" s="228"/>
      <c r="AC472" s="228"/>
      <c r="AD472" s="228"/>
    </row>
    <row r="473">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c r="AA473" s="228"/>
      <c r="AB473" s="228"/>
      <c r="AC473" s="228"/>
      <c r="AD473" s="228"/>
    </row>
    <row r="474">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c r="AA474" s="228"/>
      <c r="AB474" s="228"/>
      <c r="AC474" s="228"/>
      <c r="AD474" s="228"/>
    </row>
    <row r="475">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c r="AA475" s="228"/>
      <c r="AB475" s="228"/>
      <c r="AC475" s="228"/>
      <c r="AD475" s="228"/>
    </row>
    <row r="476">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c r="AA476" s="228"/>
      <c r="AB476" s="228"/>
      <c r="AC476" s="228"/>
      <c r="AD476" s="228"/>
    </row>
    <row r="477">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c r="AA477" s="228"/>
      <c r="AB477" s="228"/>
      <c r="AC477" s="228"/>
      <c r="AD477" s="228"/>
    </row>
    <row r="478">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c r="AA478" s="228"/>
      <c r="AB478" s="228"/>
      <c r="AC478" s="228"/>
      <c r="AD478" s="228"/>
    </row>
    <row r="479">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c r="AA479" s="228"/>
      <c r="AB479" s="228"/>
      <c r="AC479" s="228"/>
      <c r="AD479" s="228"/>
    </row>
    <row r="480">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c r="AA480" s="228"/>
      <c r="AB480" s="228"/>
      <c r="AC480" s="228"/>
      <c r="AD480" s="228"/>
    </row>
    <row r="48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c r="AA481" s="228"/>
      <c r="AB481" s="228"/>
      <c r="AC481" s="228"/>
      <c r="AD481" s="228"/>
    </row>
    <row r="482">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c r="AA482" s="228"/>
      <c r="AB482" s="228"/>
      <c r="AC482" s="228"/>
      <c r="AD482" s="228"/>
    </row>
    <row r="483">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c r="AA483" s="228"/>
      <c r="AB483" s="228"/>
      <c r="AC483" s="228"/>
      <c r="AD483" s="228"/>
    </row>
    <row r="484">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c r="AA484" s="228"/>
      <c r="AB484" s="228"/>
      <c r="AC484" s="228"/>
      <c r="AD484" s="228"/>
    </row>
    <row r="485">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c r="AA485" s="228"/>
      <c r="AB485" s="228"/>
      <c r="AC485" s="228"/>
      <c r="AD485" s="228"/>
    </row>
    <row r="486">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c r="AA486" s="228"/>
      <c r="AB486" s="228"/>
      <c r="AC486" s="228"/>
      <c r="AD486" s="228"/>
    </row>
    <row r="487">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c r="AA487" s="228"/>
      <c r="AB487" s="228"/>
      <c r="AC487" s="228"/>
      <c r="AD487" s="228"/>
    </row>
    <row r="488">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c r="AA488" s="228"/>
      <c r="AB488" s="228"/>
      <c r="AC488" s="228"/>
      <c r="AD488" s="228"/>
    </row>
    <row r="489">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c r="AA489" s="228"/>
      <c r="AB489" s="228"/>
      <c r="AC489" s="228"/>
      <c r="AD489" s="228"/>
    </row>
    <row r="490">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c r="AA490" s="228"/>
      <c r="AB490" s="228"/>
      <c r="AC490" s="228"/>
      <c r="AD490" s="228"/>
    </row>
    <row r="49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c r="AA491" s="228"/>
      <c r="AB491" s="228"/>
      <c r="AC491" s="228"/>
      <c r="AD491" s="228"/>
    </row>
    <row r="492">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c r="AA492" s="228"/>
      <c r="AB492" s="228"/>
      <c r="AC492" s="228"/>
      <c r="AD492" s="228"/>
    </row>
    <row r="493">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c r="AA493" s="228"/>
      <c r="AB493" s="228"/>
      <c r="AC493" s="228"/>
      <c r="AD493" s="228"/>
    </row>
    <row r="494">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c r="AA494" s="228"/>
      <c r="AB494" s="228"/>
      <c r="AC494" s="228"/>
      <c r="AD494" s="228"/>
    </row>
    <row r="495">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c r="AA495" s="228"/>
      <c r="AB495" s="228"/>
      <c r="AC495" s="228"/>
      <c r="AD495" s="228"/>
    </row>
    <row r="496">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c r="AA496" s="228"/>
      <c r="AB496" s="228"/>
      <c r="AC496" s="228"/>
      <c r="AD496" s="228"/>
    </row>
    <row r="497">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c r="AA497" s="228"/>
      <c r="AB497" s="228"/>
      <c r="AC497" s="228"/>
      <c r="AD497" s="228"/>
    </row>
    <row r="498">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c r="AA498" s="228"/>
      <c r="AB498" s="228"/>
      <c r="AC498" s="228"/>
      <c r="AD498" s="228"/>
    </row>
    <row r="499">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c r="AA499" s="228"/>
      <c r="AB499" s="228"/>
      <c r="AC499" s="228"/>
      <c r="AD499" s="228"/>
    </row>
    <row r="500">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c r="AA500" s="228"/>
      <c r="AB500" s="228"/>
      <c r="AC500" s="228"/>
      <c r="AD500" s="228"/>
    </row>
    <row r="50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c r="AA501" s="228"/>
      <c r="AB501" s="228"/>
      <c r="AC501" s="228"/>
      <c r="AD501" s="228"/>
    </row>
    <row r="502">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c r="AA502" s="228"/>
      <c r="AB502" s="228"/>
      <c r="AC502" s="228"/>
      <c r="AD502" s="228"/>
    </row>
    <row r="503">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c r="AA503" s="228"/>
      <c r="AB503" s="228"/>
      <c r="AC503" s="228"/>
      <c r="AD503" s="228"/>
    </row>
    <row r="504">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c r="AA504" s="228"/>
      <c r="AB504" s="228"/>
      <c r="AC504" s="228"/>
      <c r="AD504" s="228"/>
    </row>
    <row r="505">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c r="AA505" s="228"/>
      <c r="AB505" s="228"/>
      <c r="AC505" s="228"/>
      <c r="AD505" s="228"/>
    </row>
    <row r="506">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c r="AA506" s="228"/>
      <c r="AB506" s="228"/>
      <c r="AC506" s="228"/>
      <c r="AD506" s="228"/>
    </row>
    <row r="507">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c r="AA507" s="228"/>
      <c r="AB507" s="228"/>
      <c r="AC507" s="228"/>
      <c r="AD507" s="228"/>
    </row>
    <row r="508">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c r="AA508" s="228"/>
      <c r="AB508" s="228"/>
      <c r="AC508" s="228"/>
      <c r="AD508" s="228"/>
    </row>
    <row r="509">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c r="AA509" s="228"/>
      <c r="AB509" s="228"/>
      <c r="AC509" s="228"/>
      <c r="AD509" s="228"/>
    </row>
    <row r="510">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c r="AA510" s="228"/>
      <c r="AB510" s="228"/>
      <c r="AC510" s="228"/>
      <c r="AD510" s="228"/>
    </row>
    <row r="51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c r="AA511" s="228"/>
      <c r="AB511" s="228"/>
      <c r="AC511" s="228"/>
      <c r="AD511" s="228"/>
    </row>
    <row r="512">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c r="AA512" s="228"/>
      <c r="AB512" s="228"/>
      <c r="AC512" s="228"/>
      <c r="AD512" s="228"/>
    </row>
    <row r="513">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c r="AA513" s="228"/>
      <c r="AB513" s="228"/>
      <c r="AC513" s="228"/>
      <c r="AD513" s="228"/>
    </row>
    <row r="514">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c r="AA514" s="228"/>
      <c r="AB514" s="228"/>
      <c r="AC514" s="228"/>
      <c r="AD514" s="228"/>
    </row>
    <row r="515">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c r="AA515" s="228"/>
      <c r="AB515" s="228"/>
      <c r="AC515" s="228"/>
      <c r="AD515" s="228"/>
    </row>
    <row r="516">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c r="AA516" s="228"/>
      <c r="AB516" s="228"/>
      <c r="AC516" s="228"/>
      <c r="AD516" s="228"/>
    </row>
    <row r="517">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c r="AA517" s="228"/>
      <c r="AB517" s="228"/>
      <c r="AC517" s="228"/>
      <c r="AD517" s="228"/>
    </row>
    <row r="518">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c r="AA518" s="228"/>
      <c r="AB518" s="228"/>
      <c r="AC518" s="228"/>
      <c r="AD518" s="228"/>
    </row>
    <row r="519">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c r="AA519" s="228"/>
      <c r="AB519" s="228"/>
      <c r="AC519" s="228"/>
      <c r="AD519" s="228"/>
    </row>
    <row r="520">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c r="AA520" s="228"/>
      <c r="AB520" s="228"/>
      <c r="AC520" s="228"/>
      <c r="AD520" s="228"/>
    </row>
    <row r="52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c r="AA521" s="228"/>
      <c r="AB521" s="228"/>
      <c r="AC521" s="228"/>
      <c r="AD521" s="228"/>
    </row>
    <row r="522">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c r="AA522" s="228"/>
      <c r="AB522" s="228"/>
      <c r="AC522" s="228"/>
      <c r="AD522" s="228"/>
    </row>
    <row r="523">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c r="AA523" s="228"/>
      <c r="AB523" s="228"/>
      <c r="AC523" s="228"/>
      <c r="AD523" s="228"/>
    </row>
    <row r="524">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c r="AA524" s="228"/>
      <c r="AB524" s="228"/>
      <c r="AC524" s="228"/>
      <c r="AD524" s="228"/>
    </row>
    <row r="525">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c r="AA525" s="228"/>
      <c r="AB525" s="228"/>
      <c r="AC525" s="228"/>
      <c r="AD525" s="228"/>
    </row>
    <row r="526">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c r="AA526" s="228"/>
      <c r="AB526" s="228"/>
      <c r="AC526" s="228"/>
      <c r="AD526" s="228"/>
    </row>
    <row r="527">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c r="AA527" s="228"/>
      <c r="AB527" s="228"/>
      <c r="AC527" s="228"/>
      <c r="AD527" s="228"/>
    </row>
    <row r="528">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c r="AA528" s="228"/>
      <c r="AB528" s="228"/>
      <c r="AC528" s="228"/>
      <c r="AD528" s="228"/>
    </row>
    <row r="529">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c r="AA529" s="228"/>
      <c r="AB529" s="228"/>
      <c r="AC529" s="228"/>
      <c r="AD529" s="228"/>
    </row>
    <row r="530">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c r="AA530" s="228"/>
      <c r="AB530" s="228"/>
      <c r="AC530" s="228"/>
      <c r="AD530" s="228"/>
    </row>
    <row r="53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c r="AA531" s="228"/>
      <c r="AB531" s="228"/>
      <c r="AC531" s="228"/>
      <c r="AD531" s="228"/>
    </row>
    <row r="532">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c r="AA532" s="228"/>
      <c r="AB532" s="228"/>
      <c r="AC532" s="228"/>
      <c r="AD532" s="228"/>
    </row>
    <row r="533">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c r="AA533" s="228"/>
      <c r="AB533" s="228"/>
      <c r="AC533" s="228"/>
      <c r="AD533" s="228"/>
    </row>
    <row r="534">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c r="AA534" s="228"/>
      <c r="AB534" s="228"/>
      <c r="AC534" s="228"/>
      <c r="AD534" s="228"/>
    </row>
    <row r="535">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c r="AA535" s="228"/>
      <c r="AB535" s="228"/>
      <c r="AC535" s="228"/>
      <c r="AD535" s="228"/>
    </row>
    <row r="536">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c r="AA536" s="228"/>
      <c r="AB536" s="228"/>
      <c r="AC536" s="228"/>
      <c r="AD536" s="228"/>
    </row>
    <row r="537">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c r="AA537" s="228"/>
      <c r="AB537" s="228"/>
      <c r="AC537" s="228"/>
      <c r="AD537" s="228"/>
    </row>
    <row r="538">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c r="AA538" s="228"/>
      <c r="AB538" s="228"/>
      <c r="AC538" s="228"/>
      <c r="AD538" s="228"/>
    </row>
    <row r="539">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c r="AA539" s="228"/>
      <c r="AB539" s="228"/>
      <c r="AC539" s="228"/>
      <c r="AD539" s="228"/>
    </row>
    <row r="540">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c r="AA540" s="228"/>
      <c r="AB540" s="228"/>
      <c r="AC540" s="228"/>
      <c r="AD540" s="228"/>
    </row>
    <row r="54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c r="AA541" s="228"/>
      <c r="AB541" s="228"/>
      <c r="AC541" s="228"/>
      <c r="AD541" s="228"/>
    </row>
    <row r="542">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c r="AA542" s="228"/>
      <c r="AB542" s="228"/>
      <c r="AC542" s="228"/>
      <c r="AD542" s="228"/>
    </row>
    <row r="543">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c r="AA543" s="228"/>
      <c r="AB543" s="228"/>
      <c r="AC543" s="228"/>
      <c r="AD543" s="228"/>
    </row>
    <row r="544">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c r="AA544" s="228"/>
      <c r="AB544" s="228"/>
      <c r="AC544" s="228"/>
      <c r="AD544" s="228"/>
    </row>
    <row r="545">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c r="AA545" s="228"/>
      <c r="AB545" s="228"/>
      <c r="AC545" s="228"/>
      <c r="AD545" s="228"/>
    </row>
    <row r="546">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c r="AA546" s="228"/>
      <c r="AB546" s="228"/>
      <c r="AC546" s="228"/>
      <c r="AD546" s="228"/>
    </row>
    <row r="547">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c r="AA547" s="228"/>
      <c r="AB547" s="228"/>
      <c r="AC547" s="228"/>
      <c r="AD547" s="228"/>
    </row>
    <row r="548">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c r="AA548" s="228"/>
      <c r="AB548" s="228"/>
      <c r="AC548" s="228"/>
      <c r="AD548" s="228"/>
    </row>
    <row r="549">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c r="AA549" s="228"/>
      <c r="AB549" s="228"/>
      <c r="AC549" s="228"/>
      <c r="AD549" s="228"/>
    </row>
    <row r="550">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c r="AA550" s="228"/>
      <c r="AB550" s="228"/>
      <c r="AC550" s="228"/>
      <c r="AD550" s="228"/>
    </row>
    <row r="55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c r="AA551" s="228"/>
      <c r="AB551" s="228"/>
      <c r="AC551" s="228"/>
      <c r="AD551" s="228"/>
    </row>
    <row r="552">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c r="AA552" s="228"/>
      <c r="AB552" s="228"/>
      <c r="AC552" s="228"/>
      <c r="AD552" s="228"/>
    </row>
    <row r="553">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c r="AA553" s="228"/>
      <c r="AB553" s="228"/>
      <c r="AC553" s="228"/>
      <c r="AD553" s="228"/>
    </row>
    <row r="554">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row>
    <row r="555">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c r="AA555" s="228"/>
      <c r="AB555" s="228"/>
      <c r="AC555" s="228"/>
      <c r="AD555" s="228"/>
    </row>
    <row r="556">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row>
    <row r="557">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c r="AA557" s="228"/>
      <c r="AB557" s="228"/>
      <c r="AC557" s="228"/>
      <c r="AD557" s="228"/>
    </row>
    <row r="558">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c r="AA558" s="228"/>
      <c r="AB558" s="228"/>
      <c r="AC558" s="228"/>
      <c r="AD558" s="228"/>
    </row>
    <row r="559">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row>
    <row r="560">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c r="AA560" s="228"/>
      <c r="AB560" s="228"/>
      <c r="AC560" s="228"/>
      <c r="AD560" s="228"/>
    </row>
    <row r="56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c r="AA561" s="228"/>
      <c r="AB561" s="228"/>
      <c r="AC561" s="228"/>
      <c r="AD561" s="228"/>
    </row>
    <row r="562">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row>
    <row r="563">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c r="AA563" s="228"/>
      <c r="AB563" s="228"/>
      <c r="AC563" s="228"/>
      <c r="AD563" s="228"/>
    </row>
    <row r="564">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c r="AA564" s="228"/>
      <c r="AB564" s="228"/>
      <c r="AC564" s="228"/>
      <c r="AD564" s="228"/>
    </row>
    <row r="565">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c r="AA565" s="228"/>
      <c r="AB565" s="228"/>
      <c r="AC565" s="228"/>
      <c r="AD565" s="228"/>
    </row>
    <row r="566">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c r="AA566" s="228"/>
      <c r="AB566" s="228"/>
      <c r="AC566" s="228"/>
      <c r="AD566" s="228"/>
    </row>
    <row r="567">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row>
    <row r="568">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c r="AA568" s="228"/>
      <c r="AB568" s="228"/>
      <c r="AC568" s="228"/>
      <c r="AD568" s="228"/>
    </row>
    <row r="569">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c r="AA569" s="228"/>
      <c r="AB569" s="228"/>
      <c r="AC569" s="228"/>
      <c r="AD569" s="228"/>
    </row>
    <row r="570">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c r="AA570" s="228"/>
      <c r="AB570" s="228"/>
      <c r="AC570" s="228"/>
      <c r="AD570" s="228"/>
    </row>
    <row r="57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c r="AA571" s="228"/>
      <c r="AB571" s="228"/>
      <c r="AC571" s="228"/>
      <c r="AD571" s="228"/>
    </row>
    <row r="572">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c r="AA572" s="228"/>
      <c r="AB572" s="228"/>
      <c r="AC572" s="228"/>
      <c r="AD572" s="228"/>
    </row>
    <row r="573">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c r="AA573" s="228"/>
      <c r="AB573" s="228"/>
      <c r="AC573" s="228"/>
      <c r="AD573" s="228"/>
    </row>
    <row r="574">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c r="AA574" s="228"/>
      <c r="AB574" s="228"/>
      <c r="AC574" s="228"/>
      <c r="AD574" s="228"/>
    </row>
    <row r="575">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c r="AA575" s="228"/>
      <c r="AB575" s="228"/>
      <c r="AC575" s="228"/>
      <c r="AD575" s="228"/>
    </row>
    <row r="576">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c r="AA576" s="228"/>
      <c r="AB576" s="228"/>
      <c r="AC576" s="228"/>
      <c r="AD576" s="228"/>
    </row>
    <row r="577">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c r="AA577" s="228"/>
      <c r="AB577" s="228"/>
      <c r="AC577" s="228"/>
      <c r="AD577" s="228"/>
    </row>
    <row r="578">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c r="AA578" s="228"/>
      <c r="AB578" s="228"/>
      <c r="AC578" s="228"/>
      <c r="AD578" s="228"/>
    </row>
    <row r="579">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c r="AA579" s="228"/>
      <c r="AB579" s="228"/>
      <c r="AC579" s="228"/>
      <c r="AD579" s="228"/>
    </row>
    <row r="580">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c r="AA580" s="228"/>
      <c r="AB580" s="228"/>
      <c r="AC580" s="228"/>
      <c r="AD580" s="228"/>
    </row>
    <row r="58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c r="AA581" s="228"/>
      <c r="AB581" s="228"/>
      <c r="AC581" s="228"/>
      <c r="AD581" s="228"/>
    </row>
    <row r="582">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c r="AA582" s="228"/>
      <c r="AB582" s="228"/>
      <c r="AC582" s="228"/>
      <c r="AD582" s="228"/>
    </row>
    <row r="583">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c r="AA583" s="228"/>
      <c r="AB583" s="228"/>
      <c r="AC583" s="228"/>
      <c r="AD583" s="228"/>
    </row>
    <row r="584">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c r="AA584" s="228"/>
      <c r="AB584" s="228"/>
      <c r="AC584" s="228"/>
      <c r="AD584" s="228"/>
    </row>
    <row r="585">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c r="AA585" s="228"/>
      <c r="AB585" s="228"/>
      <c r="AC585" s="228"/>
      <c r="AD585" s="228"/>
    </row>
    <row r="586">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c r="AA586" s="228"/>
      <c r="AB586" s="228"/>
      <c r="AC586" s="228"/>
      <c r="AD586" s="228"/>
    </row>
    <row r="587">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c r="AA587" s="228"/>
      <c r="AB587" s="228"/>
      <c r="AC587" s="228"/>
      <c r="AD587" s="228"/>
    </row>
    <row r="588">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c r="AA588" s="228"/>
      <c r="AB588" s="228"/>
      <c r="AC588" s="228"/>
      <c r="AD588" s="228"/>
    </row>
    <row r="589">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c r="AA589" s="228"/>
      <c r="AB589" s="228"/>
      <c r="AC589" s="228"/>
      <c r="AD589" s="228"/>
    </row>
    <row r="590">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c r="AA590" s="228"/>
      <c r="AB590" s="228"/>
      <c r="AC590" s="228"/>
      <c r="AD590" s="228"/>
    </row>
    <row r="59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c r="AA591" s="228"/>
      <c r="AB591" s="228"/>
      <c r="AC591" s="228"/>
      <c r="AD591" s="228"/>
    </row>
    <row r="592">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c r="AA592" s="228"/>
      <c r="AB592" s="228"/>
      <c r="AC592" s="228"/>
      <c r="AD592" s="228"/>
    </row>
    <row r="593">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c r="AA593" s="228"/>
      <c r="AB593" s="228"/>
      <c r="AC593" s="228"/>
      <c r="AD593" s="228"/>
    </row>
    <row r="594">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c r="AA594" s="228"/>
      <c r="AB594" s="228"/>
      <c r="AC594" s="228"/>
      <c r="AD594" s="228"/>
    </row>
    <row r="595">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c r="AA595" s="228"/>
      <c r="AB595" s="228"/>
      <c r="AC595" s="228"/>
      <c r="AD595" s="228"/>
    </row>
    <row r="596">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c r="AA596" s="228"/>
      <c r="AB596" s="228"/>
      <c r="AC596" s="228"/>
      <c r="AD596" s="228"/>
    </row>
    <row r="597">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c r="AA597" s="228"/>
      <c r="AB597" s="228"/>
      <c r="AC597" s="228"/>
      <c r="AD597" s="228"/>
    </row>
    <row r="598">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c r="AA598" s="228"/>
      <c r="AB598" s="228"/>
      <c r="AC598" s="228"/>
      <c r="AD598" s="228"/>
    </row>
    <row r="599">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c r="AA599" s="228"/>
      <c r="AB599" s="228"/>
      <c r="AC599" s="228"/>
      <c r="AD599" s="228"/>
    </row>
    <row r="600">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c r="AA600" s="228"/>
      <c r="AB600" s="228"/>
      <c r="AC600" s="228"/>
      <c r="AD600" s="228"/>
    </row>
    <row r="60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c r="AA601" s="228"/>
      <c r="AB601" s="228"/>
      <c r="AC601" s="228"/>
      <c r="AD601" s="228"/>
    </row>
    <row r="602">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c r="AA602" s="228"/>
      <c r="AB602" s="228"/>
      <c r="AC602" s="228"/>
      <c r="AD602" s="228"/>
    </row>
    <row r="603">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c r="AA603" s="228"/>
      <c r="AB603" s="228"/>
      <c r="AC603" s="228"/>
      <c r="AD603" s="228"/>
    </row>
    <row r="604">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c r="AA604" s="228"/>
      <c r="AB604" s="228"/>
      <c r="AC604" s="228"/>
      <c r="AD604" s="228"/>
    </row>
    <row r="605">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c r="AA605" s="228"/>
      <c r="AB605" s="228"/>
      <c r="AC605" s="228"/>
      <c r="AD605" s="228"/>
    </row>
    <row r="606">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c r="AA606" s="228"/>
      <c r="AB606" s="228"/>
      <c r="AC606" s="228"/>
      <c r="AD606" s="228"/>
    </row>
    <row r="607">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c r="AA607" s="228"/>
      <c r="AB607" s="228"/>
      <c r="AC607" s="228"/>
      <c r="AD607" s="228"/>
    </row>
    <row r="608">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c r="AA608" s="228"/>
      <c r="AB608" s="228"/>
      <c r="AC608" s="228"/>
      <c r="AD608" s="228"/>
    </row>
    <row r="609">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c r="AA609" s="228"/>
      <c r="AB609" s="228"/>
      <c r="AC609" s="228"/>
      <c r="AD609" s="228"/>
    </row>
    <row r="610">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228"/>
      <c r="AD610" s="228"/>
    </row>
    <row r="61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c r="AA611" s="228"/>
      <c r="AB611" s="228"/>
      <c r="AC611" s="228"/>
      <c r="AD611" s="228"/>
    </row>
    <row r="612">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c r="AA612" s="228"/>
      <c r="AB612" s="228"/>
      <c r="AC612" s="228"/>
      <c r="AD612" s="228"/>
    </row>
    <row r="613">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c r="AA613" s="228"/>
      <c r="AB613" s="228"/>
      <c r="AC613" s="228"/>
      <c r="AD613" s="228"/>
    </row>
    <row r="614">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c r="AA614" s="228"/>
      <c r="AB614" s="228"/>
      <c r="AC614" s="228"/>
      <c r="AD614" s="228"/>
    </row>
    <row r="615">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c r="AA615" s="228"/>
      <c r="AB615" s="228"/>
      <c r="AC615" s="228"/>
      <c r="AD615" s="228"/>
    </row>
    <row r="616">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c r="AA616" s="228"/>
      <c r="AB616" s="228"/>
      <c r="AC616" s="228"/>
      <c r="AD616" s="228"/>
    </row>
    <row r="617">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c r="AA617" s="228"/>
      <c r="AB617" s="228"/>
      <c r="AC617" s="228"/>
      <c r="AD617" s="228"/>
    </row>
    <row r="618">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c r="AA618" s="228"/>
      <c r="AB618" s="228"/>
      <c r="AC618" s="228"/>
      <c r="AD618" s="228"/>
    </row>
    <row r="619">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c r="AA619" s="228"/>
      <c r="AB619" s="228"/>
      <c r="AC619" s="228"/>
      <c r="AD619" s="228"/>
    </row>
    <row r="620">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c r="AA620" s="228"/>
      <c r="AB620" s="228"/>
      <c r="AC620" s="228"/>
      <c r="AD620" s="228"/>
    </row>
    <row r="62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c r="AA621" s="228"/>
      <c r="AB621" s="228"/>
      <c r="AC621" s="228"/>
      <c r="AD621" s="228"/>
    </row>
    <row r="622">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c r="AA622" s="228"/>
      <c r="AB622" s="228"/>
      <c r="AC622" s="228"/>
      <c r="AD622" s="228"/>
    </row>
    <row r="623">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c r="AA623" s="228"/>
      <c r="AB623" s="228"/>
      <c r="AC623" s="228"/>
      <c r="AD623" s="228"/>
    </row>
    <row r="624">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c r="AA624" s="228"/>
      <c r="AB624" s="228"/>
      <c r="AC624" s="228"/>
      <c r="AD624" s="228"/>
    </row>
    <row r="625">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c r="AA625" s="228"/>
      <c r="AB625" s="228"/>
      <c r="AC625" s="228"/>
      <c r="AD625" s="228"/>
    </row>
    <row r="626">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c r="AA626" s="228"/>
      <c r="AB626" s="228"/>
      <c r="AC626" s="228"/>
      <c r="AD626" s="228"/>
    </row>
    <row r="627">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c r="AA627" s="228"/>
      <c r="AB627" s="228"/>
      <c r="AC627" s="228"/>
      <c r="AD627" s="228"/>
    </row>
    <row r="628">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c r="AA628" s="228"/>
      <c r="AB628" s="228"/>
      <c r="AC628" s="228"/>
      <c r="AD628" s="228"/>
    </row>
    <row r="629">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c r="AA629" s="228"/>
      <c r="AB629" s="228"/>
      <c r="AC629" s="228"/>
      <c r="AD629" s="228"/>
    </row>
    <row r="630">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c r="AA630" s="228"/>
      <c r="AB630" s="228"/>
      <c r="AC630" s="228"/>
      <c r="AD630" s="228"/>
    </row>
    <row r="63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c r="AA631" s="228"/>
      <c r="AB631" s="228"/>
      <c r="AC631" s="228"/>
      <c r="AD631" s="228"/>
    </row>
    <row r="632">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c r="AA632" s="228"/>
      <c r="AB632" s="228"/>
      <c r="AC632" s="228"/>
      <c r="AD632" s="228"/>
    </row>
    <row r="633">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c r="AA633" s="228"/>
      <c r="AB633" s="228"/>
      <c r="AC633" s="228"/>
      <c r="AD633" s="228"/>
    </row>
    <row r="634">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c r="AA634" s="228"/>
      <c r="AB634" s="228"/>
      <c r="AC634" s="228"/>
      <c r="AD634" s="228"/>
    </row>
    <row r="635">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c r="AA635" s="228"/>
      <c r="AB635" s="228"/>
      <c r="AC635" s="228"/>
      <c r="AD635" s="228"/>
    </row>
    <row r="636">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c r="AA636" s="228"/>
      <c r="AB636" s="228"/>
      <c r="AC636" s="228"/>
      <c r="AD636" s="228"/>
    </row>
    <row r="637">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c r="AA637" s="228"/>
      <c r="AB637" s="228"/>
      <c r="AC637" s="228"/>
      <c r="AD637" s="228"/>
    </row>
    <row r="638">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c r="AA638" s="228"/>
      <c r="AB638" s="228"/>
      <c r="AC638" s="228"/>
      <c r="AD638" s="228"/>
    </row>
    <row r="639">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c r="AA639" s="228"/>
      <c r="AB639" s="228"/>
      <c r="AC639" s="228"/>
      <c r="AD639" s="228"/>
    </row>
    <row r="640">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c r="AA640" s="228"/>
      <c r="AB640" s="228"/>
      <c r="AC640" s="228"/>
      <c r="AD640" s="228"/>
    </row>
    <row r="64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c r="AA641" s="228"/>
      <c r="AB641" s="228"/>
      <c r="AC641" s="228"/>
      <c r="AD641" s="228"/>
    </row>
    <row r="642">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c r="AA642" s="228"/>
      <c r="AB642" s="228"/>
      <c r="AC642" s="228"/>
      <c r="AD642" s="228"/>
    </row>
    <row r="643">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c r="AA643" s="228"/>
      <c r="AB643" s="228"/>
      <c r="AC643" s="228"/>
      <c r="AD643" s="228"/>
    </row>
    <row r="644">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c r="AA644" s="228"/>
      <c r="AB644" s="228"/>
      <c r="AC644" s="228"/>
      <c r="AD644" s="228"/>
    </row>
    <row r="645">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c r="AA645" s="228"/>
      <c r="AB645" s="228"/>
      <c r="AC645" s="228"/>
      <c r="AD645" s="228"/>
    </row>
    <row r="646">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c r="AA646" s="228"/>
      <c r="AB646" s="228"/>
      <c r="AC646" s="228"/>
      <c r="AD646" s="228"/>
    </row>
    <row r="647">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c r="AA647" s="228"/>
      <c r="AB647" s="228"/>
      <c r="AC647" s="228"/>
      <c r="AD647" s="228"/>
    </row>
    <row r="648">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c r="AA648" s="228"/>
      <c r="AB648" s="228"/>
      <c r="AC648" s="228"/>
      <c r="AD648" s="228"/>
    </row>
    <row r="649">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c r="AA649" s="228"/>
      <c r="AB649" s="228"/>
      <c r="AC649" s="228"/>
      <c r="AD649" s="228"/>
    </row>
    <row r="650">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c r="AA650" s="228"/>
      <c r="AB650" s="228"/>
      <c r="AC650" s="228"/>
      <c r="AD650" s="228"/>
    </row>
    <row r="65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c r="AA651" s="228"/>
      <c r="AB651" s="228"/>
      <c r="AC651" s="228"/>
      <c r="AD651" s="228"/>
    </row>
    <row r="652">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c r="AA652" s="228"/>
      <c r="AB652" s="228"/>
      <c r="AC652" s="228"/>
      <c r="AD652" s="228"/>
    </row>
    <row r="653">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c r="AA653" s="228"/>
      <c r="AB653" s="228"/>
      <c r="AC653" s="228"/>
      <c r="AD653" s="228"/>
    </row>
    <row r="654">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c r="AA654" s="228"/>
      <c r="AB654" s="228"/>
      <c r="AC654" s="228"/>
      <c r="AD654" s="228"/>
    </row>
    <row r="655">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c r="AA655" s="228"/>
      <c r="AB655" s="228"/>
      <c r="AC655" s="228"/>
      <c r="AD655" s="228"/>
    </row>
    <row r="656">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c r="AA656" s="228"/>
      <c r="AB656" s="228"/>
      <c r="AC656" s="228"/>
      <c r="AD656" s="228"/>
    </row>
    <row r="657">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c r="AA657" s="228"/>
      <c r="AB657" s="228"/>
      <c r="AC657" s="228"/>
      <c r="AD657" s="228"/>
    </row>
    <row r="658">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c r="AA658" s="228"/>
      <c r="AB658" s="228"/>
      <c r="AC658" s="228"/>
      <c r="AD658" s="228"/>
    </row>
    <row r="659">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c r="AA659" s="228"/>
      <c r="AB659" s="228"/>
      <c r="AC659" s="228"/>
      <c r="AD659" s="228"/>
    </row>
    <row r="660">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c r="AA660" s="228"/>
      <c r="AB660" s="228"/>
      <c r="AC660" s="228"/>
      <c r="AD660" s="228"/>
    </row>
    <row r="66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c r="AA661" s="228"/>
      <c r="AB661" s="228"/>
      <c r="AC661" s="228"/>
      <c r="AD661" s="228"/>
    </row>
    <row r="662">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c r="AA662" s="228"/>
      <c r="AB662" s="228"/>
      <c r="AC662" s="228"/>
      <c r="AD662" s="228"/>
    </row>
    <row r="663">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c r="AA663" s="228"/>
      <c r="AB663" s="228"/>
      <c r="AC663" s="228"/>
      <c r="AD663" s="228"/>
    </row>
    <row r="664">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c r="AA664" s="228"/>
      <c r="AB664" s="228"/>
      <c r="AC664" s="228"/>
      <c r="AD664" s="228"/>
    </row>
    <row r="665">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c r="AA665" s="228"/>
      <c r="AB665" s="228"/>
      <c r="AC665" s="228"/>
      <c r="AD665" s="228"/>
    </row>
    <row r="666">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c r="AA666" s="228"/>
      <c r="AB666" s="228"/>
      <c r="AC666" s="228"/>
      <c r="AD666" s="228"/>
    </row>
    <row r="667">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c r="AA667" s="228"/>
      <c r="AB667" s="228"/>
      <c r="AC667" s="228"/>
      <c r="AD667" s="228"/>
    </row>
    <row r="668">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c r="AA668" s="228"/>
      <c r="AB668" s="228"/>
      <c r="AC668" s="228"/>
      <c r="AD668" s="228"/>
    </row>
    <row r="669">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c r="AA669" s="228"/>
      <c r="AB669" s="228"/>
      <c r="AC669" s="228"/>
      <c r="AD669" s="228"/>
    </row>
    <row r="670">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c r="AA670" s="228"/>
      <c r="AB670" s="228"/>
      <c r="AC670" s="228"/>
      <c r="AD670" s="228"/>
    </row>
    <row r="67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c r="AA671" s="228"/>
      <c r="AB671" s="228"/>
      <c r="AC671" s="228"/>
      <c r="AD671" s="228"/>
    </row>
    <row r="672">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c r="AA672" s="228"/>
      <c r="AB672" s="228"/>
      <c r="AC672" s="228"/>
      <c r="AD672" s="228"/>
    </row>
    <row r="673">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c r="AA673" s="228"/>
      <c r="AB673" s="228"/>
      <c r="AC673" s="228"/>
      <c r="AD673" s="228"/>
    </row>
    <row r="674">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c r="AA674" s="228"/>
      <c r="AB674" s="228"/>
      <c r="AC674" s="228"/>
      <c r="AD674" s="228"/>
    </row>
    <row r="675">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c r="AA675" s="228"/>
      <c r="AB675" s="228"/>
      <c r="AC675" s="228"/>
      <c r="AD675" s="228"/>
    </row>
    <row r="676">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c r="AA676" s="228"/>
      <c r="AB676" s="228"/>
      <c r="AC676" s="228"/>
      <c r="AD676" s="228"/>
    </row>
    <row r="677">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c r="AA677" s="228"/>
      <c r="AB677" s="228"/>
      <c r="AC677" s="228"/>
      <c r="AD677" s="228"/>
    </row>
    <row r="678">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c r="AA678" s="228"/>
      <c r="AB678" s="228"/>
      <c r="AC678" s="228"/>
      <c r="AD678" s="228"/>
    </row>
    <row r="679">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c r="AA679" s="228"/>
      <c r="AB679" s="228"/>
      <c r="AC679" s="228"/>
      <c r="AD679" s="228"/>
    </row>
    <row r="680">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c r="AA680" s="228"/>
      <c r="AB680" s="228"/>
      <c r="AC680" s="228"/>
      <c r="AD680" s="228"/>
    </row>
    <row r="68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c r="AA681" s="228"/>
      <c r="AB681" s="228"/>
      <c r="AC681" s="228"/>
      <c r="AD681" s="228"/>
    </row>
    <row r="682">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c r="AA682" s="228"/>
      <c r="AB682" s="228"/>
      <c r="AC682" s="228"/>
      <c r="AD682" s="228"/>
    </row>
    <row r="683">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c r="AA683" s="228"/>
      <c r="AB683" s="228"/>
      <c r="AC683" s="228"/>
      <c r="AD683" s="228"/>
    </row>
    <row r="684">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c r="AA684" s="228"/>
      <c r="AB684" s="228"/>
      <c r="AC684" s="228"/>
      <c r="AD684" s="228"/>
    </row>
    <row r="685">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c r="AA685" s="228"/>
      <c r="AB685" s="228"/>
      <c r="AC685" s="228"/>
      <c r="AD685" s="228"/>
    </row>
    <row r="686">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c r="AA686" s="228"/>
      <c r="AB686" s="228"/>
      <c r="AC686" s="228"/>
      <c r="AD686" s="228"/>
    </row>
    <row r="687">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c r="AA687" s="228"/>
      <c r="AB687" s="228"/>
      <c r="AC687" s="228"/>
      <c r="AD687" s="228"/>
    </row>
    <row r="688">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c r="AA688" s="228"/>
      <c r="AB688" s="228"/>
      <c r="AC688" s="228"/>
      <c r="AD688" s="228"/>
    </row>
    <row r="689">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c r="AA689" s="228"/>
      <c r="AB689" s="228"/>
      <c r="AC689" s="228"/>
      <c r="AD689" s="228"/>
    </row>
    <row r="690">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c r="AA690" s="228"/>
      <c r="AB690" s="228"/>
      <c r="AC690" s="228"/>
      <c r="AD690" s="228"/>
    </row>
    <row r="69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c r="AA691" s="228"/>
      <c r="AB691" s="228"/>
      <c r="AC691" s="228"/>
      <c r="AD691" s="228"/>
    </row>
    <row r="692">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c r="AA692" s="228"/>
      <c r="AB692" s="228"/>
      <c r="AC692" s="228"/>
      <c r="AD692" s="228"/>
    </row>
    <row r="693">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c r="AA693" s="228"/>
      <c r="AB693" s="228"/>
      <c r="AC693" s="228"/>
      <c r="AD693" s="228"/>
    </row>
    <row r="694">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c r="AA694" s="228"/>
      <c r="AB694" s="228"/>
      <c r="AC694" s="228"/>
      <c r="AD694" s="228"/>
    </row>
    <row r="695">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c r="AA695" s="228"/>
      <c r="AB695" s="228"/>
      <c r="AC695" s="228"/>
      <c r="AD695" s="228"/>
    </row>
    <row r="696">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c r="AA696" s="228"/>
      <c r="AB696" s="228"/>
      <c r="AC696" s="228"/>
      <c r="AD696" s="228"/>
    </row>
    <row r="697">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c r="AA697" s="228"/>
      <c r="AB697" s="228"/>
      <c r="AC697" s="228"/>
      <c r="AD697" s="228"/>
    </row>
    <row r="698">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c r="AA698" s="228"/>
      <c r="AB698" s="228"/>
      <c r="AC698" s="228"/>
      <c r="AD698" s="228"/>
    </row>
    <row r="699">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c r="AA699" s="228"/>
      <c r="AB699" s="228"/>
      <c r="AC699" s="228"/>
      <c r="AD699" s="228"/>
    </row>
    <row r="700">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c r="AA700" s="228"/>
      <c r="AB700" s="228"/>
      <c r="AC700" s="228"/>
      <c r="AD700" s="228"/>
    </row>
    <row r="70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c r="AA701" s="228"/>
      <c r="AB701" s="228"/>
      <c r="AC701" s="228"/>
      <c r="AD701" s="228"/>
    </row>
    <row r="702">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c r="AA702" s="228"/>
      <c r="AB702" s="228"/>
      <c r="AC702" s="228"/>
      <c r="AD702" s="228"/>
    </row>
    <row r="703">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c r="AA703" s="228"/>
      <c r="AB703" s="228"/>
      <c r="AC703" s="228"/>
      <c r="AD703" s="228"/>
    </row>
    <row r="704">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c r="AA704" s="228"/>
      <c r="AB704" s="228"/>
      <c r="AC704" s="228"/>
      <c r="AD704" s="228"/>
    </row>
    <row r="705">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c r="AA705" s="228"/>
      <c r="AB705" s="228"/>
      <c r="AC705" s="228"/>
      <c r="AD705" s="228"/>
    </row>
    <row r="706">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c r="AA706" s="228"/>
      <c r="AB706" s="228"/>
      <c r="AC706" s="228"/>
      <c r="AD706" s="228"/>
    </row>
    <row r="707">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c r="AA707" s="228"/>
      <c r="AB707" s="228"/>
      <c r="AC707" s="228"/>
      <c r="AD707" s="228"/>
    </row>
    <row r="708">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c r="AA708" s="228"/>
      <c r="AB708" s="228"/>
      <c r="AC708" s="228"/>
      <c r="AD708" s="228"/>
    </row>
    <row r="709">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c r="AA709" s="228"/>
      <c r="AB709" s="228"/>
      <c r="AC709" s="228"/>
      <c r="AD709" s="228"/>
    </row>
    <row r="710">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c r="AA710" s="228"/>
      <c r="AB710" s="228"/>
      <c r="AC710" s="228"/>
      <c r="AD710" s="228"/>
    </row>
    <row r="71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c r="AA711" s="228"/>
      <c r="AB711" s="228"/>
      <c r="AC711" s="228"/>
      <c r="AD711" s="228"/>
    </row>
    <row r="712">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c r="AA712" s="228"/>
      <c r="AB712" s="228"/>
      <c r="AC712" s="228"/>
      <c r="AD712" s="228"/>
    </row>
    <row r="713">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c r="AA713" s="228"/>
      <c r="AB713" s="228"/>
      <c r="AC713" s="228"/>
      <c r="AD713" s="228"/>
    </row>
    <row r="714">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c r="AA714" s="228"/>
      <c r="AB714" s="228"/>
      <c r="AC714" s="228"/>
      <c r="AD714" s="228"/>
    </row>
    <row r="715">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c r="AA715" s="228"/>
      <c r="AB715" s="228"/>
      <c r="AC715" s="228"/>
      <c r="AD715" s="228"/>
    </row>
    <row r="716">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c r="AA716" s="228"/>
      <c r="AB716" s="228"/>
      <c r="AC716" s="228"/>
      <c r="AD716" s="228"/>
    </row>
    <row r="717">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c r="AA717" s="228"/>
      <c r="AB717" s="228"/>
      <c r="AC717" s="228"/>
      <c r="AD717" s="228"/>
    </row>
    <row r="718">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c r="AA718" s="228"/>
      <c r="AB718" s="228"/>
      <c r="AC718" s="228"/>
      <c r="AD718" s="228"/>
    </row>
    <row r="719">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c r="AA719" s="228"/>
      <c r="AB719" s="228"/>
      <c r="AC719" s="228"/>
      <c r="AD719" s="228"/>
    </row>
    <row r="720">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c r="AA720" s="228"/>
      <c r="AB720" s="228"/>
      <c r="AC720" s="228"/>
      <c r="AD720" s="228"/>
    </row>
    <row r="72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c r="AA721" s="228"/>
      <c r="AB721" s="228"/>
      <c r="AC721" s="228"/>
      <c r="AD721" s="228"/>
    </row>
    <row r="722">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c r="AA722" s="228"/>
      <c r="AB722" s="228"/>
      <c r="AC722" s="228"/>
      <c r="AD722" s="228"/>
    </row>
    <row r="723">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c r="AA723" s="228"/>
      <c r="AB723" s="228"/>
      <c r="AC723" s="228"/>
      <c r="AD723" s="228"/>
    </row>
    <row r="724">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c r="AA724" s="228"/>
      <c r="AB724" s="228"/>
      <c r="AC724" s="228"/>
      <c r="AD724" s="228"/>
    </row>
    <row r="725">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c r="AA725" s="228"/>
      <c r="AB725" s="228"/>
      <c r="AC725" s="228"/>
      <c r="AD725" s="228"/>
    </row>
    <row r="726">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c r="AA726" s="228"/>
      <c r="AB726" s="228"/>
      <c r="AC726" s="228"/>
      <c r="AD726" s="228"/>
    </row>
    <row r="727">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c r="AA727" s="228"/>
      <c r="AB727" s="228"/>
      <c r="AC727" s="228"/>
      <c r="AD727" s="228"/>
    </row>
    <row r="728">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c r="AA728" s="228"/>
      <c r="AB728" s="228"/>
      <c r="AC728" s="228"/>
      <c r="AD728" s="228"/>
    </row>
    <row r="729">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c r="AA729" s="228"/>
      <c r="AB729" s="228"/>
      <c r="AC729" s="228"/>
      <c r="AD729" s="228"/>
    </row>
    <row r="730">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c r="AA730" s="228"/>
      <c r="AB730" s="228"/>
      <c r="AC730" s="228"/>
      <c r="AD730" s="228"/>
    </row>
    <row r="73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c r="AA731" s="228"/>
      <c r="AB731" s="228"/>
      <c r="AC731" s="228"/>
      <c r="AD731" s="228"/>
    </row>
    <row r="732">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c r="AA732" s="228"/>
      <c r="AB732" s="228"/>
      <c r="AC732" s="228"/>
      <c r="AD732" s="228"/>
    </row>
    <row r="733">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c r="AA733" s="228"/>
      <c r="AB733" s="228"/>
      <c r="AC733" s="228"/>
      <c r="AD733" s="228"/>
    </row>
    <row r="734">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c r="AA734" s="228"/>
      <c r="AB734" s="228"/>
      <c r="AC734" s="228"/>
      <c r="AD734" s="228"/>
    </row>
    <row r="735">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c r="AA735" s="228"/>
      <c r="AB735" s="228"/>
      <c r="AC735" s="228"/>
      <c r="AD735" s="228"/>
    </row>
    <row r="736">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c r="AA736" s="228"/>
      <c r="AB736" s="228"/>
      <c r="AC736" s="228"/>
      <c r="AD736" s="228"/>
    </row>
    <row r="737">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c r="AA737" s="228"/>
      <c r="AB737" s="228"/>
      <c r="AC737" s="228"/>
      <c r="AD737" s="228"/>
    </row>
    <row r="738">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c r="AA738" s="228"/>
      <c r="AB738" s="228"/>
      <c r="AC738" s="228"/>
      <c r="AD738" s="228"/>
    </row>
    <row r="739">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c r="AA739" s="228"/>
      <c r="AB739" s="228"/>
      <c r="AC739" s="228"/>
      <c r="AD739" s="228"/>
    </row>
    <row r="740">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c r="AA740" s="228"/>
      <c r="AB740" s="228"/>
      <c r="AC740" s="228"/>
      <c r="AD740" s="228"/>
    </row>
    <row r="74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c r="AA741" s="228"/>
      <c r="AB741" s="228"/>
      <c r="AC741" s="228"/>
      <c r="AD741" s="228"/>
    </row>
    <row r="742">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c r="AA742" s="228"/>
      <c r="AB742" s="228"/>
      <c r="AC742" s="228"/>
      <c r="AD742" s="228"/>
    </row>
    <row r="743">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c r="AA743" s="228"/>
      <c r="AB743" s="228"/>
      <c r="AC743" s="228"/>
      <c r="AD743" s="228"/>
    </row>
    <row r="744">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c r="AA744" s="228"/>
      <c r="AB744" s="228"/>
      <c r="AC744" s="228"/>
      <c r="AD744" s="228"/>
    </row>
    <row r="745">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c r="AA745" s="228"/>
      <c r="AB745" s="228"/>
      <c r="AC745" s="228"/>
      <c r="AD745" s="228"/>
    </row>
    <row r="746">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c r="AA746" s="228"/>
      <c r="AB746" s="228"/>
      <c r="AC746" s="228"/>
      <c r="AD746" s="228"/>
    </row>
    <row r="747">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c r="AA747" s="228"/>
      <c r="AB747" s="228"/>
      <c r="AC747" s="228"/>
      <c r="AD747" s="228"/>
    </row>
    <row r="748">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c r="AA748" s="228"/>
      <c r="AB748" s="228"/>
      <c r="AC748" s="228"/>
      <c r="AD748" s="228"/>
    </row>
    <row r="749">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c r="AA749" s="228"/>
      <c r="AB749" s="228"/>
      <c r="AC749" s="228"/>
      <c r="AD749" s="228"/>
    </row>
    <row r="750">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c r="AA750" s="228"/>
      <c r="AB750" s="228"/>
      <c r="AC750" s="228"/>
      <c r="AD750" s="228"/>
    </row>
    <row r="75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c r="AA751" s="228"/>
      <c r="AB751" s="228"/>
      <c r="AC751" s="228"/>
      <c r="AD751" s="228"/>
    </row>
    <row r="752">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c r="AA752" s="228"/>
      <c r="AB752" s="228"/>
      <c r="AC752" s="228"/>
      <c r="AD752" s="228"/>
    </row>
    <row r="753">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c r="AA753" s="228"/>
      <c r="AB753" s="228"/>
      <c r="AC753" s="228"/>
      <c r="AD753" s="228"/>
    </row>
    <row r="754">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c r="AA754" s="228"/>
      <c r="AB754" s="228"/>
      <c r="AC754" s="228"/>
      <c r="AD754" s="228"/>
    </row>
    <row r="755">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c r="AA755" s="228"/>
      <c r="AB755" s="228"/>
      <c r="AC755" s="228"/>
      <c r="AD755" s="228"/>
    </row>
    <row r="756">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c r="AA756" s="228"/>
      <c r="AB756" s="228"/>
      <c r="AC756" s="228"/>
      <c r="AD756" s="228"/>
    </row>
    <row r="757">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c r="AA757" s="228"/>
      <c r="AB757" s="228"/>
      <c r="AC757" s="228"/>
      <c r="AD757" s="228"/>
    </row>
    <row r="758">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c r="AA758" s="228"/>
      <c r="AB758" s="228"/>
      <c r="AC758" s="228"/>
      <c r="AD758" s="228"/>
    </row>
    <row r="759">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c r="AA759" s="228"/>
      <c r="AB759" s="228"/>
      <c r="AC759" s="228"/>
      <c r="AD759" s="228"/>
    </row>
    <row r="760">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c r="AA760" s="228"/>
      <c r="AB760" s="228"/>
      <c r="AC760" s="228"/>
      <c r="AD760" s="228"/>
    </row>
    <row r="76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c r="AA761" s="228"/>
      <c r="AB761" s="228"/>
      <c r="AC761" s="228"/>
      <c r="AD761" s="228"/>
    </row>
    <row r="762">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c r="AA762" s="228"/>
      <c r="AB762" s="228"/>
      <c r="AC762" s="228"/>
      <c r="AD762" s="228"/>
    </row>
    <row r="763">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c r="AA763" s="228"/>
      <c r="AB763" s="228"/>
      <c r="AC763" s="228"/>
      <c r="AD763" s="228"/>
    </row>
    <row r="764">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c r="AA764" s="228"/>
      <c r="AB764" s="228"/>
      <c r="AC764" s="228"/>
      <c r="AD764" s="228"/>
    </row>
    <row r="765">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c r="AA765" s="228"/>
      <c r="AB765" s="228"/>
      <c r="AC765" s="228"/>
      <c r="AD765" s="228"/>
    </row>
    <row r="766">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c r="AA766" s="228"/>
      <c r="AB766" s="228"/>
      <c r="AC766" s="228"/>
      <c r="AD766" s="228"/>
    </row>
    <row r="767">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c r="AA767" s="228"/>
      <c r="AB767" s="228"/>
      <c r="AC767" s="228"/>
      <c r="AD767" s="228"/>
    </row>
    <row r="768">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c r="AA768" s="228"/>
      <c r="AB768" s="228"/>
      <c r="AC768" s="228"/>
      <c r="AD768" s="228"/>
    </row>
    <row r="769">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c r="AA769" s="228"/>
      <c r="AB769" s="228"/>
      <c r="AC769" s="228"/>
      <c r="AD769" s="228"/>
    </row>
    <row r="770">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c r="AA770" s="228"/>
      <c r="AB770" s="228"/>
      <c r="AC770" s="228"/>
      <c r="AD770" s="228"/>
    </row>
    <row r="77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c r="AA771" s="228"/>
      <c r="AB771" s="228"/>
      <c r="AC771" s="228"/>
      <c r="AD771" s="228"/>
    </row>
    <row r="772">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c r="AA772" s="228"/>
      <c r="AB772" s="228"/>
      <c r="AC772" s="228"/>
      <c r="AD772" s="228"/>
    </row>
    <row r="773">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c r="AA773" s="228"/>
      <c r="AB773" s="228"/>
      <c r="AC773" s="228"/>
      <c r="AD773" s="228"/>
    </row>
    <row r="774">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c r="AA774" s="228"/>
      <c r="AB774" s="228"/>
      <c r="AC774" s="228"/>
      <c r="AD774" s="228"/>
    </row>
    <row r="775">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c r="AA775" s="228"/>
      <c r="AB775" s="228"/>
      <c r="AC775" s="228"/>
      <c r="AD775" s="228"/>
    </row>
    <row r="776">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c r="AA776" s="228"/>
      <c r="AB776" s="228"/>
      <c r="AC776" s="228"/>
      <c r="AD776" s="228"/>
    </row>
    <row r="777">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c r="AA777" s="228"/>
      <c r="AB777" s="228"/>
      <c r="AC777" s="228"/>
      <c r="AD777" s="228"/>
    </row>
    <row r="778">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c r="AA778" s="228"/>
      <c r="AB778" s="228"/>
      <c r="AC778" s="228"/>
      <c r="AD778" s="228"/>
    </row>
    <row r="779">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c r="AA779" s="228"/>
      <c r="AB779" s="228"/>
      <c r="AC779" s="228"/>
      <c r="AD779" s="228"/>
    </row>
    <row r="780">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c r="AA780" s="228"/>
      <c r="AB780" s="228"/>
      <c r="AC780" s="228"/>
      <c r="AD780" s="228"/>
    </row>
    <row r="78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c r="AA781" s="228"/>
      <c r="AB781" s="228"/>
      <c r="AC781" s="228"/>
      <c r="AD781" s="228"/>
    </row>
    <row r="782">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c r="AA782" s="228"/>
      <c r="AB782" s="228"/>
      <c r="AC782" s="228"/>
      <c r="AD782" s="228"/>
    </row>
    <row r="783">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c r="AA783" s="228"/>
      <c r="AB783" s="228"/>
      <c r="AC783" s="228"/>
      <c r="AD783" s="228"/>
    </row>
    <row r="784">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c r="AA784" s="228"/>
      <c r="AB784" s="228"/>
      <c r="AC784" s="228"/>
      <c r="AD784" s="228"/>
    </row>
    <row r="785">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c r="AA785" s="228"/>
      <c r="AB785" s="228"/>
      <c r="AC785" s="228"/>
      <c r="AD785" s="228"/>
    </row>
    <row r="786">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c r="AA786" s="228"/>
      <c r="AB786" s="228"/>
      <c r="AC786" s="228"/>
      <c r="AD786" s="228"/>
    </row>
    <row r="787">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c r="AA787" s="228"/>
      <c r="AB787" s="228"/>
      <c r="AC787" s="228"/>
      <c r="AD787" s="228"/>
    </row>
    <row r="788">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c r="AA788" s="228"/>
      <c r="AB788" s="228"/>
      <c r="AC788" s="228"/>
      <c r="AD788" s="228"/>
    </row>
    <row r="789">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c r="AA789" s="228"/>
      <c r="AB789" s="228"/>
      <c r="AC789" s="228"/>
      <c r="AD789" s="228"/>
    </row>
    <row r="790">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c r="AA790" s="228"/>
      <c r="AB790" s="228"/>
      <c r="AC790" s="228"/>
      <c r="AD790" s="228"/>
    </row>
    <row r="79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c r="AA791" s="228"/>
      <c r="AB791" s="228"/>
      <c r="AC791" s="228"/>
      <c r="AD791" s="228"/>
    </row>
    <row r="792">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c r="AA792" s="228"/>
      <c r="AB792" s="228"/>
      <c r="AC792" s="228"/>
      <c r="AD792" s="228"/>
    </row>
    <row r="793">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c r="AA793" s="228"/>
      <c r="AB793" s="228"/>
      <c r="AC793" s="228"/>
      <c r="AD793" s="228"/>
    </row>
    <row r="794">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c r="AA794" s="228"/>
      <c r="AB794" s="228"/>
      <c r="AC794" s="228"/>
      <c r="AD794" s="228"/>
    </row>
    <row r="795">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c r="AA795" s="228"/>
      <c r="AB795" s="228"/>
      <c r="AC795" s="228"/>
      <c r="AD795" s="228"/>
    </row>
    <row r="796">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c r="AA796" s="228"/>
      <c r="AB796" s="228"/>
      <c r="AC796" s="228"/>
      <c r="AD796" s="228"/>
    </row>
    <row r="797">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c r="AA797" s="228"/>
      <c r="AB797" s="228"/>
      <c r="AC797" s="228"/>
      <c r="AD797" s="228"/>
    </row>
    <row r="798">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c r="AA798" s="228"/>
      <c r="AB798" s="228"/>
      <c r="AC798" s="228"/>
      <c r="AD798" s="228"/>
    </row>
    <row r="799">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c r="AA799" s="228"/>
      <c r="AB799" s="228"/>
      <c r="AC799" s="228"/>
      <c r="AD799" s="228"/>
    </row>
    <row r="800">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c r="AA800" s="228"/>
      <c r="AB800" s="228"/>
      <c r="AC800" s="228"/>
      <c r="AD800" s="228"/>
    </row>
    <row r="80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c r="AA801" s="228"/>
      <c r="AB801" s="228"/>
      <c r="AC801" s="228"/>
      <c r="AD801" s="228"/>
    </row>
    <row r="802">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c r="AA802" s="228"/>
      <c r="AB802" s="228"/>
      <c r="AC802" s="228"/>
      <c r="AD802" s="228"/>
    </row>
    <row r="803">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c r="AA803" s="228"/>
      <c r="AB803" s="228"/>
      <c r="AC803" s="228"/>
      <c r="AD803" s="228"/>
    </row>
    <row r="804">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c r="AA804" s="228"/>
      <c r="AB804" s="228"/>
      <c r="AC804" s="228"/>
      <c r="AD804" s="228"/>
    </row>
    <row r="805">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c r="AA805" s="228"/>
      <c r="AB805" s="228"/>
      <c r="AC805" s="228"/>
      <c r="AD805" s="228"/>
    </row>
    <row r="806">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c r="AA806" s="228"/>
      <c r="AB806" s="228"/>
      <c r="AC806" s="228"/>
      <c r="AD806" s="228"/>
    </row>
    <row r="807">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c r="AA807" s="228"/>
      <c r="AB807" s="228"/>
      <c r="AC807" s="228"/>
      <c r="AD807" s="228"/>
    </row>
    <row r="808">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c r="AA808" s="228"/>
      <c r="AB808" s="228"/>
      <c r="AC808" s="228"/>
      <c r="AD808" s="228"/>
    </row>
    <row r="809">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c r="AA809" s="228"/>
      <c r="AB809" s="228"/>
      <c r="AC809" s="228"/>
      <c r="AD809" s="228"/>
    </row>
    <row r="810">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c r="AA810" s="228"/>
      <c r="AB810" s="228"/>
      <c r="AC810" s="228"/>
      <c r="AD810" s="228"/>
    </row>
    <row r="81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c r="AA811" s="228"/>
      <c r="AB811" s="228"/>
      <c r="AC811" s="228"/>
      <c r="AD811" s="228"/>
    </row>
    <row r="812">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c r="AA812" s="228"/>
      <c r="AB812" s="228"/>
      <c r="AC812" s="228"/>
      <c r="AD812" s="228"/>
    </row>
    <row r="813">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c r="AA813" s="228"/>
      <c r="AB813" s="228"/>
      <c r="AC813" s="228"/>
      <c r="AD813" s="228"/>
    </row>
    <row r="814">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c r="AA814" s="228"/>
      <c r="AB814" s="228"/>
      <c r="AC814" s="228"/>
      <c r="AD814" s="228"/>
    </row>
    <row r="815">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c r="AA815" s="228"/>
      <c r="AB815" s="228"/>
      <c r="AC815" s="228"/>
      <c r="AD815" s="228"/>
    </row>
    <row r="816">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c r="AA816" s="228"/>
      <c r="AB816" s="228"/>
      <c r="AC816" s="228"/>
      <c r="AD816" s="228"/>
    </row>
    <row r="817">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c r="AA817" s="228"/>
      <c r="AB817" s="228"/>
      <c r="AC817" s="228"/>
      <c r="AD817" s="228"/>
    </row>
    <row r="818">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c r="AA818" s="228"/>
      <c r="AB818" s="228"/>
      <c r="AC818" s="228"/>
      <c r="AD818" s="228"/>
    </row>
    <row r="819">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c r="AA819" s="228"/>
      <c r="AB819" s="228"/>
      <c r="AC819" s="228"/>
      <c r="AD819" s="228"/>
    </row>
    <row r="820">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c r="AA820" s="228"/>
      <c r="AB820" s="228"/>
      <c r="AC820" s="228"/>
      <c r="AD820" s="228"/>
    </row>
    <row r="82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c r="AA821" s="228"/>
      <c r="AB821" s="228"/>
      <c r="AC821" s="228"/>
      <c r="AD821" s="228"/>
    </row>
    <row r="822">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c r="AA822" s="228"/>
      <c r="AB822" s="228"/>
      <c r="AC822" s="228"/>
      <c r="AD822" s="228"/>
    </row>
    <row r="823">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c r="AA823" s="228"/>
      <c r="AB823" s="228"/>
      <c r="AC823" s="228"/>
      <c r="AD823" s="228"/>
    </row>
    <row r="824">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c r="AA824" s="228"/>
      <c r="AB824" s="228"/>
      <c r="AC824" s="228"/>
      <c r="AD824" s="228"/>
    </row>
    <row r="825">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c r="AA825" s="228"/>
      <c r="AB825" s="228"/>
      <c r="AC825" s="228"/>
      <c r="AD825" s="228"/>
    </row>
    <row r="826">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c r="AA826" s="228"/>
      <c r="AB826" s="228"/>
      <c r="AC826" s="228"/>
      <c r="AD826" s="228"/>
    </row>
    <row r="827">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c r="AA827" s="228"/>
      <c r="AB827" s="228"/>
      <c r="AC827" s="228"/>
      <c r="AD827" s="228"/>
    </row>
    <row r="828">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c r="AA828" s="228"/>
      <c r="AB828" s="228"/>
      <c r="AC828" s="228"/>
      <c r="AD828" s="228"/>
    </row>
    <row r="829">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c r="AA829" s="228"/>
      <c r="AB829" s="228"/>
      <c r="AC829" s="228"/>
      <c r="AD829" s="228"/>
    </row>
    <row r="830">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c r="AA830" s="228"/>
      <c r="AB830" s="228"/>
      <c r="AC830" s="228"/>
      <c r="AD830" s="228"/>
    </row>
    <row r="83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c r="AA831" s="228"/>
      <c r="AB831" s="228"/>
      <c r="AC831" s="228"/>
      <c r="AD831" s="228"/>
    </row>
    <row r="832">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c r="AA832" s="228"/>
      <c r="AB832" s="228"/>
      <c r="AC832" s="228"/>
      <c r="AD832" s="228"/>
    </row>
    <row r="833">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c r="AA833" s="228"/>
      <c r="AB833" s="228"/>
      <c r="AC833" s="228"/>
      <c r="AD833" s="228"/>
    </row>
    <row r="834">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c r="AA834" s="228"/>
      <c r="AB834" s="228"/>
      <c r="AC834" s="228"/>
      <c r="AD834" s="228"/>
    </row>
    <row r="835">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c r="AA835" s="228"/>
      <c r="AB835" s="228"/>
      <c r="AC835" s="228"/>
      <c r="AD835" s="228"/>
    </row>
    <row r="836">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c r="AA836" s="228"/>
      <c r="AB836" s="228"/>
      <c r="AC836" s="228"/>
      <c r="AD836" s="228"/>
    </row>
    <row r="837">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c r="AA837" s="228"/>
      <c r="AB837" s="228"/>
      <c r="AC837" s="228"/>
      <c r="AD837" s="228"/>
    </row>
    <row r="838">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c r="AA838" s="228"/>
      <c r="AB838" s="228"/>
      <c r="AC838" s="228"/>
      <c r="AD838" s="228"/>
    </row>
    <row r="839">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c r="AA839" s="228"/>
      <c r="AB839" s="228"/>
      <c r="AC839" s="228"/>
      <c r="AD839" s="228"/>
    </row>
    <row r="840">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c r="AA840" s="228"/>
      <c r="AB840" s="228"/>
      <c r="AC840" s="228"/>
      <c r="AD840" s="228"/>
    </row>
    <row r="84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c r="AA841" s="228"/>
      <c r="AB841" s="228"/>
      <c r="AC841" s="228"/>
      <c r="AD841" s="228"/>
    </row>
    <row r="842">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c r="AA842" s="228"/>
      <c r="AB842" s="228"/>
      <c r="AC842" s="228"/>
      <c r="AD842" s="228"/>
    </row>
    <row r="843">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c r="AA843" s="228"/>
      <c r="AB843" s="228"/>
      <c r="AC843" s="228"/>
      <c r="AD843" s="228"/>
    </row>
    <row r="844">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c r="AA844" s="228"/>
      <c r="AB844" s="228"/>
      <c r="AC844" s="228"/>
      <c r="AD844" s="228"/>
    </row>
    <row r="845">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c r="AA845" s="228"/>
      <c r="AB845" s="228"/>
      <c r="AC845" s="228"/>
      <c r="AD845" s="228"/>
    </row>
    <row r="846">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c r="AA846" s="228"/>
      <c r="AB846" s="228"/>
      <c r="AC846" s="228"/>
      <c r="AD846" s="228"/>
    </row>
    <row r="847">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c r="AA847" s="228"/>
      <c r="AB847" s="228"/>
      <c r="AC847" s="228"/>
      <c r="AD847" s="228"/>
    </row>
    <row r="848">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c r="AA848" s="228"/>
      <c r="AB848" s="228"/>
      <c r="AC848" s="228"/>
      <c r="AD848" s="228"/>
    </row>
    <row r="849">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c r="AA849" s="228"/>
      <c r="AB849" s="228"/>
      <c r="AC849" s="228"/>
      <c r="AD849" s="228"/>
    </row>
    <row r="850">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c r="AA850" s="228"/>
      <c r="AB850" s="228"/>
      <c r="AC850" s="228"/>
      <c r="AD850" s="228"/>
    </row>
    <row r="85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c r="AA851" s="228"/>
      <c r="AB851" s="228"/>
      <c r="AC851" s="228"/>
      <c r="AD851" s="228"/>
    </row>
    <row r="852">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c r="AA852" s="228"/>
      <c r="AB852" s="228"/>
      <c r="AC852" s="228"/>
      <c r="AD852" s="228"/>
    </row>
    <row r="853">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c r="AA853" s="228"/>
      <c r="AB853" s="228"/>
      <c r="AC853" s="228"/>
      <c r="AD853" s="228"/>
    </row>
    <row r="854">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c r="AA854" s="228"/>
      <c r="AB854" s="228"/>
      <c r="AC854" s="228"/>
      <c r="AD854" s="228"/>
    </row>
    <row r="855">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c r="AA855" s="228"/>
      <c r="AB855" s="228"/>
      <c r="AC855" s="228"/>
      <c r="AD855" s="228"/>
    </row>
    <row r="856">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c r="AA856" s="228"/>
      <c r="AB856" s="228"/>
      <c r="AC856" s="228"/>
      <c r="AD856" s="228"/>
    </row>
    <row r="857">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c r="AA857" s="228"/>
      <c r="AB857" s="228"/>
      <c r="AC857" s="228"/>
      <c r="AD857" s="228"/>
    </row>
    <row r="858">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c r="AA858" s="228"/>
      <c r="AB858" s="228"/>
      <c r="AC858" s="228"/>
      <c r="AD858" s="228"/>
    </row>
    <row r="859">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c r="AA859" s="228"/>
      <c r="AB859" s="228"/>
      <c r="AC859" s="228"/>
      <c r="AD859" s="228"/>
    </row>
    <row r="860">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c r="AA860" s="228"/>
      <c r="AB860" s="228"/>
      <c r="AC860" s="228"/>
      <c r="AD860" s="228"/>
    </row>
    <row r="86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c r="AA861" s="228"/>
      <c r="AB861" s="228"/>
      <c r="AC861" s="228"/>
      <c r="AD861" s="228"/>
    </row>
    <row r="862">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c r="AA862" s="228"/>
      <c r="AB862" s="228"/>
      <c r="AC862" s="228"/>
      <c r="AD862" s="228"/>
    </row>
    <row r="863">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c r="AA863" s="228"/>
      <c r="AB863" s="228"/>
      <c r="AC863" s="228"/>
      <c r="AD863" s="228"/>
    </row>
    <row r="864">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c r="AA864" s="228"/>
      <c r="AB864" s="228"/>
      <c r="AC864" s="228"/>
      <c r="AD864" s="228"/>
    </row>
    <row r="865">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c r="AA865" s="228"/>
      <c r="AB865" s="228"/>
      <c r="AC865" s="228"/>
      <c r="AD865" s="228"/>
    </row>
    <row r="866">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c r="AA866" s="228"/>
      <c r="AB866" s="228"/>
      <c r="AC866" s="228"/>
      <c r="AD866" s="228"/>
    </row>
    <row r="867">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c r="AA867" s="228"/>
      <c r="AB867" s="228"/>
      <c r="AC867" s="228"/>
      <c r="AD867" s="228"/>
    </row>
    <row r="868">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c r="AA868" s="228"/>
      <c r="AB868" s="228"/>
      <c r="AC868" s="228"/>
      <c r="AD868" s="228"/>
    </row>
    <row r="869">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c r="AA869" s="228"/>
      <c r="AB869" s="228"/>
      <c r="AC869" s="228"/>
      <c r="AD869" s="228"/>
    </row>
    <row r="870">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c r="AA870" s="228"/>
      <c r="AB870" s="228"/>
      <c r="AC870" s="228"/>
      <c r="AD870" s="228"/>
    </row>
    <row r="87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c r="AA871" s="228"/>
      <c r="AB871" s="228"/>
      <c r="AC871" s="228"/>
      <c r="AD871" s="228"/>
    </row>
    <row r="872">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c r="AA872" s="228"/>
      <c r="AB872" s="228"/>
      <c r="AC872" s="228"/>
      <c r="AD872" s="228"/>
    </row>
    <row r="873">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c r="AA873" s="228"/>
      <c r="AB873" s="228"/>
      <c r="AC873" s="228"/>
      <c r="AD873" s="228"/>
    </row>
    <row r="874">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c r="AA874" s="228"/>
      <c r="AB874" s="228"/>
      <c r="AC874" s="228"/>
      <c r="AD874" s="228"/>
    </row>
    <row r="875">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c r="AA875" s="228"/>
      <c r="AB875" s="228"/>
      <c r="AC875" s="228"/>
      <c r="AD875" s="228"/>
    </row>
    <row r="876">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c r="AA876" s="228"/>
      <c r="AB876" s="228"/>
      <c r="AC876" s="228"/>
      <c r="AD876" s="228"/>
    </row>
    <row r="877">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c r="AA877" s="228"/>
      <c r="AB877" s="228"/>
      <c r="AC877" s="228"/>
      <c r="AD877" s="228"/>
    </row>
    <row r="878">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c r="AA878" s="228"/>
      <c r="AB878" s="228"/>
      <c r="AC878" s="228"/>
      <c r="AD878" s="228"/>
    </row>
    <row r="879">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c r="AA879" s="228"/>
      <c r="AB879" s="228"/>
      <c r="AC879" s="228"/>
      <c r="AD879" s="228"/>
    </row>
    <row r="880">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c r="AA880" s="228"/>
      <c r="AB880" s="228"/>
      <c r="AC880" s="228"/>
      <c r="AD880" s="228"/>
    </row>
    <row r="88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c r="AA881" s="228"/>
      <c r="AB881" s="228"/>
      <c r="AC881" s="228"/>
      <c r="AD881" s="228"/>
    </row>
    <row r="882">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c r="AA882" s="228"/>
      <c r="AB882" s="228"/>
      <c r="AC882" s="228"/>
      <c r="AD882" s="228"/>
    </row>
    <row r="883">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c r="AA883" s="228"/>
      <c r="AB883" s="228"/>
      <c r="AC883" s="228"/>
      <c r="AD883" s="228"/>
    </row>
    <row r="884">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c r="AA884" s="228"/>
      <c r="AB884" s="228"/>
      <c r="AC884" s="228"/>
      <c r="AD884" s="228"/>
    </row>
    <row r="885">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c r="AA885" s="228"/>
      <c r="AB885" s="228"/>
      <c r="AC885" s="228"/>
      <c r="AD885" s="228"/>
    </row>
    <row r="886">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c r="AA886" s="228"/>
      <c r="AB886" s="228"/>
      <c r="AC886" s="228"/>
      <c r="AD886" s="228"/>
    </row>
    <row r="887">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c r="AA887" s="228"/>
      <c r="AB887" s="228"/>
      <c r="AC887" s="228"/>
      <c r="AD887" s="228"/>
    </row>
    <row r="888">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c r="AA888" s="228"/>
      <c r="AB888" s="228"/>
      <c r="AC888" s="228"/>
      <c r="AD888" s="228"/>
    </row>
    <row r="889">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c r="AA889" s="228"/>
      <c r="AB889" s="228"/>
      <c r="AC889" s="228"/>
      <c r="AD889" s="228"/>
    </row>
    <row r="890">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c r="AA890" s="228"/>
      <c r="AB890" s="228"/>
      <c r="AC890" s="228"/>
      <c r="AD890" s="228"/>
    </row>
    <row r="89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c r="AA891" s="228"/>
      <c r="AB891" s="228"/>
      <c r="AC891" s="228"/>
      <c r="AD891" s="228"/>
    </row>
    <row r="892">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c r="AA892" s="228"/>
      <c r="AB892" s="228"/>
      <c r="AC892" s="228"/>
      <c r="AD892" s="228"/>
    </row>
    <row r="893">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c r="AA893" s="228"/>
      <c r="AB893" s="228"/>
      <c r="AC893" s="228"/>
      <c r="AD893" s="228"/>
    </row>
    <row r="894">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c r="AA894" s="228"/>
      <c r="AB894" s="228"/>
      <c r="AC894" s="228"/>
      <c r="AD894" s="228"/>
    </row>
    <row r="895">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c r="AA895" s="228"/>
      <c r="AB895" s="228"/>
      <c r="AC895" s="228"/>
      <c r="AD895" s="228"/>
    </row>
    <row r="896">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c r="AA896" s="228"/>
      <c r="AB896" s="228"/>
      <c r="AC896" s="228"/>
      <c r="AD896" s="228"/>
    </row>
    <row r="897">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c r="AA897" s="228"/>
      <c r="AB897" s="228"/>
      <c r="AC897" s="228"/>
      <c r="AD897" s="228"/>
    </row>
    <row r="898">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c r="AA898" s="228"/>
      <c r="AB898" s="228"/>
      <c r="AC898" s="228"/>
      <c r="AD898" s="228"/>
    </row>
    <row r="899">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c r="AA899" s="228"/>
      <c r="AB899" s="228"/>
      <c r="AC899" s="228"/>
      <c r="AD899" s="228"/>
    </row>
    <row r="900">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c r="AA900" s="228"/>
      <c r="AB900" s="228"/>
      <c r="AC900" s="228"/>
      <c r="AD900" s="228"/>
    </row>
    <row r="90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c r="AA901" s="228"/>
      <c r="AB901" s="228"/>
      <c r="AC901" s="228"/>
      <c r="AD901" s="228"/>
    </row>
    <row r="902">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c r="AA902" s="228"/>
      <c r="AB902" s="228"/>
      <c r="AC902" s="228"/>
      <c r="AD902" s="228"/>
    </row>
    <row r="903">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c r="AA903" s="228"/>
      <c r="AB903" s="228"/>
      <c r="AC903" s="228"/>
      <c r="AD903" s="228"/>
    </row>
    <row r="904">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c r="AA904" s="228"/>
      <c r="AB904" s="228"/>
      <c r="AC904" s="228"/>
      <c r="AD904" s="228"/>
    </row>
    <row r="905">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c r="AA905" s="228"/>
      <c r="AB905" s="228"/>
      <c r="AC905" s="228"/>
      <c r="AD905" s="228"/>
    </row>
    <row r="906">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c r="AA906" s="228"/>
      <c r="AB906" s="228"/>
      <c r="AC906" s="228"/>
      <c r="AD906" s="228"/>
    </row>
    <row r="907">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c r="AA907" s="228"/>
      <c r="AB907" s="228"/>
      <c r="AC907" s="228"/>
      <c r="AD907" s="228"/>
    </row>
    <row r="908">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c r="AA908" s="228"/>
      <c r="AB908" s="228"/>
      <c r="AC908" s="228"/>
      <c r="AD908" s="228"/>
    </row>
    <row r="909">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c r="AA909" s="228"/>
      <c r="AB909" s="228"/>
      <c r="AC909" s="228"/>
      <c r="AD909" s="228"/>
    </row>
    <row r="910">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c r="AA910" s="228"/>
      <c r="AB910" s="228"/>
      <c r="AC910" s="228"/>
      <c r="AD910" s="228"/>
    </row>
    <row r="91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c r="AA911" s="228"/>
      <c r="AB911" s="228"/>
      <c r="AC911" s="228"/>
      <c r="AD911" s="228"/>
    </row>
    <row r="912">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c r="AA912" s="228"/>
      <c r="AB912" s="228"/>
      <c r="AC912" s="228"/>
      <c r="AD912" s="228"/>
    </row>
    <row r="913">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c r="AA913" s="228"/>
      <c r="AB913" s="228"/>
      <c r="AC913" s="228"/>
      <c r="AD913" s="228"/>
    </row>
    <row r="914">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c r="AA914" s="228"/>
      <c r="AB914" s="228"/>
      <c r="AC914" s="228"/>
      <c r="AD914" s="228"/>
    </row>
    <row r="915">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c r="AA915" s="228"/>
      <c r="AB915" s="228"/>
      <c r="AC915" s="228"/>
      <c r="AD915" s="228"/>
    </row>
    <row r="916">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c r="AA916" s="228"/>
      <c r="AB916" s="228"/>
      <c r="AC916" s="228"/>
      <c r="AD916" s="228"/>
    </row>
    <row r="917">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c r="AA917" s="228"/>
      <c r="AB917" s="228"/>
      <c r="AC917" s="228"/>
      <c r="AD917" s="228"/>
    </row>
    <row r="918">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c r="AA918" s="228"/>
      <c r="AB918" s="228"/>
      <c r="AC918" s="228"/>
      <c r="AD918" s="228"/>
    </row>
    <row r="919">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c r="AA919" s="228"/>
      <c r="AB919" s="228"/>
      <c r="AC919" s="228"/>
      <c r="AD919" s="228"/>
    </row>
    <row r="920">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c r="AA920" s="228"/>
      <c r="AB920" s="228"/>
      <c r="AC920" s="228"/>
      <c r="AD920" s="228"/>
    </row>
    <row r="92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c r="AA921" s="228"/>
      <c r="AB921" s="228"/>
      <c r="AC921" s="228"/>
      <c r="AD921" s="228"/>
    </row>
    <row r="922">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c r="AA922" s="228"/>
      <c r="AB922" s="228"/>
      <c r="AC922" s="228"/>
      <c r="AD922" s="228"/>
    </row>
    <row r="923">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c r="AA923" s="228"/>
      <c r="AB923" s="228"/>
      <c r="AC923" s="228"/>
      <c r="AD923" s="228"/>
    </row>
    <row r="924">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c r="AA924" s="228"/>
      <c r="AB924" s="228"/>
      <c r="AC924" s="228"/>
      <c r="AD924" s="228"/>
    </row>
    <row r="925">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c r="AA925" s="228"/>
      <c r="AB925" s="228"/>
      <c r="AC925" s="228"/>
      <c r="AD925" s="228"/>
    </row>
    <row r="926">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c r="AA926" s="228"/>
      <c r="AB926" s="228"/>
      <c r="AC926" s="228"/>
      <c r="AD926" s="228"/>
    </row>
    <row r="927">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c r="AA927" s="228"/>
      <c r="AB927" s="228"/>
      <c r="AC927" s="228"/>
      <c r="AD927" s="228"/>
    </row>
    <row r="928">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c r="AA928" s="228"/>
      <c r="AB928" s="228"/>
      <c r="AC928" s="228"/>
      <c r="AD928" s="228"/>
    </row>
    <row r="929">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c r="AA929" s="228"/>
      <c r="AB929" s="228"/>
      <c r="AC929" s="228"/>
      <c r="AD929" s="228"/>
    </row>
    <row r="930">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c r="AA930" s="228"/>
      <c r="AB930" s="228"/>
      <c r="AC930" s="228"/>
      <c r="AD930" s="228"/>
    </row>
    <row r="93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c r="AA931" s="228"/>
      <c r="AB931" s="228"/>
      <c r="AC931" s="228"/>
      <c r="AD931" s="228"/>
    </row>
    <row r="932">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c r="AA932" s="228"/>
      <c r="AB932" s="228"/>
      <c r="AC932" s="228"/>
      <c r="AD932" s="228"/>
    </row>
    <row r="933">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c r="AA933" s="228"/>
      <c r="AB933" s="228"/>
      <c r="AC933" s="228"/>
      <c r="AD933" s="228"/>
    </row>
    <row r="934">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c r="AA934" s="228"/>
      <c r="AB934" s="228"/>
      <c r="AC934" s="228"/>
      <c r="AD934" s="228"/>
    </row>
    <row r="935">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c r="AA935" s="228"/>
      <c r="AB935" s="228"/>
      <c r="AC935" s="228"/>
      <c r="AD935" s="228"/>
    </row>
    <row r="936">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c r="AA936" s="228"/>
      <c r="AB936" s="228"/>
      <c r="AC936" s="228"/>
      <c r="AD936" s="228"/>
    </row>
    <row r="937">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c r="AA937" s="228"/>
      <c r="AB937" s="228"/>
      <c r="AC937" s="228"/>
      <c r="AD937" s="228"/>
    </row>
    <row r="938">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c r="AA938" s="228"/>
      <c r="AB938" s="228"/>
      <c r="AC938" s="228"/>
      <c r="AD938" s="228"/>
    </row>
    <row r="939">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c r="AA939" s="228"/>
      <c r="AB939" s="228"/>
      <c r="AC939" s="228"/>
      <c r="AD939" s="228"/>
    </row>
    <row r="940">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c r="AA940" s="228"/>
      <c r="AB940" s="228"/>
      <c r="AC940" s="228"/>
      <c r="AD940" s="228"/>
    </row>
    <row r="94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c r="AA941" s="228"/>
      <c r="AB941" s="228"/>
      <c r="AC941" s="228"/>
      <c r="AD941" s="228"/>
    </row>
    <row r="942">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c r="AA942" s="228"/>
      <c r="AB942" s="228"/>
      <c r="AC942" s="228"/>
      <c r="AD942" s="228"/>
    </row>
    <row r="943">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c r="AA943" s="228"/>
      <c r="AB943" s="228"/>
      <c r="AC943" s="228"/>
      <c r="AD943" s="228"/>
    </row>
    <row r="944">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c r="AA944" s="228"/>
      <c r="AB944" s="228"/>
      <c r="AC944" s="228"/>
      <c r="AD944" s="228"/>
    </row>
    <row r="945">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c r="AA945" s="228"/>
      <c r="AB945" s="228"/>
      <c r="AC945" s="228"/>
      <c r="AD945" s="228"/>
    </row>
    <row r="946">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c r="AA946" s="228"/>
      <c r="AB946" s="228"/>
      <c r="AC946" s="228"/>
      <c r="AD946" s="228"/>
    </row>
    <row r="947">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c r="AA947" s="228"/>
      <c r="AB947" s="228"/>
      <c r="AC947" s="228"/>
      <c r="AD947" s="228"/>
    </row>
    <row r="948">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c r="AA948" s="228"/>
      <c r="AB948" s="228"/>
      <c r="AC948" s="228"/>
      <c r="AD948" s="228"/>
    </row>
    <row r="949">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c r="AA949" s="228"/>
      <c r="AB949" s="228"/>
      <c r="AC949" s="228"/>
      <c r="AD949" s="228"/>
    </row>
    <row r="950">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c r="AA950" s="228"/>
      <c r="AB950" s="228"/>
      <c r="AC950" s="228"/>
      <c r="AD950" s="228"/>
    </row>
    <row r="95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c r="AA951" s="228"/>
      <c r="AB951" s="228"/>
      <c r="AC951" s="228"/>
      <c r="AD951" s="228"/>
    </row>
    <row r="952">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c r="AA952" s="228"/>
      <c r="AB952" s="228"/>
      <c r="AC952" s="228"/>
      <c r="AD952" s="228"/>
    </row>
    <row r="953">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c r="AA953" s="228"/>
      <c r="AB953" s="228"/>
      <c r="AC953" s="228"/>
      <c r="AD953" s="228"/>
    </row>
    <row r="954">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c r="AA954" s="228"/>
      <c r="AB954" s="228"/>
      <c r="AC954" s="228"/>
      <c r="AD954" s="228"/>
    </row>
    <row r="955">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c r="AA955" s="228"/>
      <c r="AB955" s="228"/>
      <c r="AC955" s="228"/>
      <c r="AD955" s="228"/>
    </row>
    <row r="956">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c r="AA956" s="228"/>
      <c r="AB956" s="228"/>
      <c r="AC956" s="228"/>
      <c r="AD956" s="228"/>
    </row>
    <row r="957">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c r="AA957" s="228"/>
      <c r="AB957" s="228"/>
      <c r="AC957" s="228"/>
      <c r="AD957" s="228"/>
    </row>
    <row r="958">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c r="AA958" s="228"/>
      <c r="AB958" s="228"/>
      <c r="AC958" s="228"/>
      <c r="AD958" s="228"/>
    </row>
    <row r="959">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c r="AA959" s="228"/>
      <c r="AB959" s="228"/>
      <c r="AC959" s="228"/>
      <c r="AD959" s="228"/>
    </row>
    <row r="960">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c r="AA960" s="228"/>
      <c r="AB960" s="228"/>
      <c r="AC960" s="228"/>
      <c r="AD960" s="228"/>
    </row>
    <row r="96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c r="AA961" s="228"/>
      <c r="AB961" s="228"/>
      <c r="AC961" s="228"/>
      <c r="AD961" s="228"/>
    </row>
    <row r="962">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c r="AA962" s="228"/>
      <c r="AB962" s="228"/>
      <c r="AC962" s="228"/>
      <c r="AD962" s="228"/>
    </row>
    <row r="963">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c r="AA963" s="228"/>
      <c r="AB963" s="228"/>
      <c r="AC963" s="228"/>
      <c r="AD963" s="228"/>
    </row>
    <row r="964">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c r="AA964" s="228"/>
      <c r="AB964" s="228"/>
      <c r="AC964" s="228"/>
      <c r="AD964" s="228"/>
    </row>
    <row r="965">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c r="AA965" s="228"/>
      <c r="AB965" s="228"/>
      <c r="AC965" s="228"/>
      <c r="AD965" s="228"/>
    </row>
    <row r="966">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c r="AA966" s="228"/>
      <c r="AB966" s="228"/>
      <c r="AC966" s="228"/>
      <c r="AD966" s="228"/>
    </row>
    <row r="967">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c r="AA967" s="228"/>
      <c r="AB967" s="228"/>
      <c r="AC967" s="228"/>
      <c r="AD967" s="228"/>
    </row>
    <row r="968">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c r="AA968" s="228"/>
      <c r="AB968" s="228"/>
      <c r="AC968" s="228"/>
      <c r="AD968" s="228"/>
    </row>
    <row r="969">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c r="AA969" s="228"/>
      <c r="AB969" s="228"/>
      <c r="AC969" s="228"/>
      <c r="AD969" s="228"/>
    </row>
    <row r="970">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c r="AA970" s="228"/>
      <c r="AB970" s="228"/>
      <c r="AC970" s="228"/>
      <c r="AD970" s="228"/>
    </row>
    <row r="97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c r="AA971" s="228"/>
      <c r="AB971" s="228"/>
      <c r="AC971" s="228"/>
      <c r="AD971" s="228"/>
    </row>
    <row r="972">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c r="AA972" s="228"/>
      <c r="AB972" s="228"/>
      <c r="AC972" s="228"/>
      <c r="AD972" s="228"/>
    </row>
    <row r="973">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c r="AA973" s="228"/>
      <c r="AB973" s="228"/>
      <c r="AC973" s="228"/>
      <c r="AD973" s="228"/>
    </row>
    <row r="974">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c r="AA974" s="228"/>
      <c r="AB974" s="228"/>
      <c r="AC974" s="228"/>
      <c r="AD974" s="228"/>
    </row>
    <row r="975">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c r="AA975" s="228"/>
      <c r="AB975" s="228"/>
      <c r="AC975" s="228"/>
      <c r="AD975" s="228"/>
    </row>
    <row r="976">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c r="AA976" s="228"/>
      <c r="AB976" s="228"/>
      <c r="AC976" s="228"/>
      <c r="AD976" s="228"/>
    </row>
    <row r="977">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c r="AA977" s="228"/>
      <c r="AB977" s="228"/>
      <c r="AC977" s="228"/>
      <c r="AD977" s="228"/>
    </row>
    <row r="978">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c r="AA978" s="228"/>
      <c r="AB978" s="228"/>
      <c r="AC978" s="228"/>
      <c r="AD978" s="228"/>
    </row>
    <row r="979">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c r="AA979" s="228"/>
      <c r="AB979" s="228"/>
      <c r="AC979" s="228"/>
      <c r="AD979" s="228"/>
    </row>
    <row r="980">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c r="AA980" s="228"/>
      <c r="AB980" s="228"/>
      <c r="AC980" s="228"/>
      <c r="AD980" s="228"/>
    </row>
    <row r="98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c r="AA981" s="228"/>
      <c r="AB981" s="228"/>
      <c r="AC981" s="228"/>
      <c r="AD981" s="228"/>
    </row>
    <row r="982">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c r="AA982" s="228"/>
      <c r="AB982" s="228"/>
      <c r="AC982" s="228"/>
      <c r="AD982" s="228"/>
    </row>
    <row r="983">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c r="AA983" s="228"/>
      <c r="AB983" s="228"/>
      <c r="AC983" s="228"/>
      <c r="AD983" s="228"/>
    </row>
    <row r="984">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c r="AA984" s="228"/>
      <c r="AB984" s="228"/>
      <c r="AC984" s="228"/>
      <c r="AD984" s="228"/>
    </row>
    <row r="985">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c r="AA985" s="228"/>
      <c r="AB985" s="228"/>
      <c r="AC985" s="228"/>
      <c r="AD985" s="228"/>
    </row>
    <row r="986">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c r="AA986" s="228"/>
      <c r="AB986" s="228"/>
      <c r="AC986" s="228"/>
      <c r="AD986" s="228"/>
    </row>
    <row r="987">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c r="AA987" s="228"/>
      <c r="AB987" s="228"/>
      <c r="AC987" s="228"/>
      <c r="AD987" s="228"/>
    </row>
    <row r="988">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c r="AA988" s="228"/>
      <c r="AB988" s="228"/>
      <c r="AC988" s="228"/>
      <c r="AD988" s="228"/>
    </row>
    <row r="989">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c r="AA989" s="228"/>
      <c r="AB989" s="228"/>
      <c r="AC989" s="228"/>
      <c r="AD989" s="228"/>
    </row>
    <row r="990">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c r="AA990" s="228"/>
      <c r="AB990" s="228"/>
      <c r="AC990" s="228"/>
      <c r="AD990" s="228"/>
    </row>
    <row r="99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c r="AA991" s="228"/>
      <c r="AB991" s="228"/>
      <c r="AC991" s="228"/>
      <c r="AD991" s="228"/>
    </row>
    <row r="992">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c r="AA992" s="228"/>
      <c r="AB992" s="228"/>
      <c r="AC992" s="228"/>
      <c r="AD992" s="228"/>
    </row>
    <row r="993">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c r="AA993" s="228"/>
      <c r="AB993" s="228"/>
      <c r="AC993" s="228"/>
      <c r="AD993" s="228"/>
    </row>
    <row r="994">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c r="AA994" s="228"/>
      <c r="AB994" s="228"/>
      <c r="AC994" s="228"/>
      <c r="AD994" s="228"/>
    </row>
    <row r="995">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c r="AA995" s="228"/>
      <c r="AB995" s="228"/>
      <c r="AC995" s="228"/>
      <c r="AD995" s="228"/>
    </row>
    <row r="996">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c r="AA996" s="228"/>
      <c r="AB996" s="228"/>
      <c r="AC996" s="228"/>
      <c r="AD996" s="228"/>
    </row>
    <row r="997">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c r="AA997" s="228"/>
      <c r="AB997" s="228"/>
      <c r="AC997" s="228"/>
      <c r="AD997" s="228"/>
    </row>
    <row r="998">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c r="AA998" s="228"/>
      <c r="AB998" s="228"/>
      <c r="AC998" s="228"/>
      <c r="AD998" s="228"/>
    </row>
    <row r="999">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c r="AA999" s="228"/>
      <c r="AB999" s="228"/>
      <c r="AC999" s="228"/>
      <c r="AD999" s="228"/>
    </row>
    <row r="1000">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c r="AA1000" s="228"/>
      <c r="AB1000" s="228"/>
      <c r="AC1000" s="228"/>
      <c r="AD1000" s="228"/>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t="str">
        <f t="shared" ref="A1:O1" si="1">'Municipality Case Trends'!A5</f>
        <v>#REF!</v>
      </c>
      <c r="B1" s="211" t="str">
        <f t="shared" si="1"/>
        <v>#REF!</v>
      </c>
      <c r="C1" s="211" t="str">
        <f t="shared" si="1"/>
        <v>#REF!</v>
      </c>
      <c r="D1" s="211" t="str">
        <f t="shared" si="1"/>
        <v>#REF!</v>
      </c>
      <c r="E1" s="211" t="str">
        <f t="shared" si="1"/>
        <v>#REF!</v>
      </c>
      <c r="F1" s="211" t="str">
        <f t="shared" si="1"/>
        <v>#REF!</v>
      </c>
      <c r="G1" s="211" t="str">
        <f t="shared" si="1"/>
        <v>#REF!</v>
      </c>
      <c r="H1" s="211" t="str">
        <f t="shared" si="1"/>
        <v>#REF!</v>
      </c>
      <c r="I1" s="211" t="str">
        <f t="shared" si="1"/>
        <v>#REF!</v>
      </c>
      <c r="J1" s="211" t="str">
        <f t="shared" si="1"/>
        <v>#REF!</v>
      </c>
      <c r="K1" s="211" t="str">
        <f t="shared" si="1"/>
        <v>#REF!</v>
      </c>
      <c r="L1" s="211" t="str">
        <f t="shared" si="1"/>
        <v>#REF!</v>
      </c>
      <c r="M1" s="211" t="str">
        <f t="shared" si="1"/>
        <v>#REF!</v>
      </c>
      <c r="N1" s="211" t="str">
        <f t="shared" si="1"/>
        <v>#REF!</v>
      </c>
      <c r="O1" s="211" t="str">
        <f t="shared" si="1"/>
        <v>#REF!</v>
      </c>
      <c r="P1" s="211" t="str">
        <f t="shared" ref="P1:Z1" si="2">#REF!</f>
        <v>#REF!</v>
      </c>
      <c r="Q1" s="211" t="str">
        <f t="shared" si="2"/>
        <v>#REF!</v>
      </c>
      <c r="R1" s="211" t="str">
        <f t="shared" si="2"/>
        <v>#REF!</v>
      </c>
      <c r="S1" s="211" t="str">
        <f t="shared" si="2"/>
        <v>#REF!</v>
      </c>
      <c r="T1" s="211" t="str">
        <f t="shared" si="2"/>
        <v>#REF!</v>
      </c>
      <c r="U1" s="211" t="str">
        <f t="shared" si="2"/>
        <v>#REF!</v>
      </c>
      <c r="V1" s="211" t="str">
        <f t="shared" si="2"/>
        <v>#REF!</v>
      </c>
      <c r="W1" s="211" t="str">
        <f t="shared" si="2"/>
        <v>#REF!</v>
      </c>
      <c r="X1" s="211" t="str">
        <f t="shared" si="2"/>
        <v>#REF!</v>
      </c>
      <c r="Y1" s="211" t="str">
        <f t="shared" si="2"/>
        <v>#REF!</v>
      </c>
      <c r="Z1" s="211" t="str">
        <f t="shared" si="2"/>
        <v>#REF!</v>
      </c>
    </row>
    <row r="2">
      <c r="A2" s="211" t="str">
        <f t="shared" ref="A2:O2" si="3">'Municipality Case Trends'!A6</f>
        <v>#REF!</v>
      </c>
      <c r="B2" s="211" t="str">
        <f t="shared" si="3"/>
        <v>#REF!</v>
      </c>
      <c r="C2" s="211" t="str">
        <f t="shared" si="3"/>
        <v>#REF!</v>
      </c>
      <c r="D2" s="211" t="str">
        <f t="shared" si="3"/>
        <v>#REF!</v>
      </c>
      <c r="E2" s="211" t="str">
        <f t="shared" si="3"/>
        <v>#REF!</v>
      </c>
      <c r="F2" s="211" t="str">
        <f t="shared" si="3"/>
        <v>#REF!</v>
      </c>
      <c r="G2" s="211" t="str">
        <f t="shared" si="3"/>
        <v>#REF!</v>
      </c>
      <c r="H2" s="211" t="str">
        <f t="shared" si="3"/>
        <v>#REF!</v>
      </c>
      <c r="I2" s="211" t="str">
        <f t="shared" si="3"/>
        <v>#REF!</v>
      </c>
      <c r="J2" s="211" t="str">
        <f t="shared" si="3"/>
        <v>#REF!</v>
      </c>
      <c r="K2" s="211" t="str">
        <f t="shared" si="3"/>
        <v>#REF!</v>
      </c>
      <c r="L2" s="211" t="str">
        <f t="shared" si="3"/>
        <v>#REF!</v>
      </c>
      <c r="M2" s="211" t="str">
        <f t="shared" si="3"/>
        <v>#REF!</v>
      </c>
      <c r="N2" s="211" t="str">
        <f t="shared" si="3"/>
        <v>#REF!</v>
      </c>
      <c r="O2" s="211" t="str">
        <f t="shared" si="3"/>
        <v>#REF!</v>
      </c>
      <c r="P2" s="211" t="str">
        <f t="shared" ref="P2:X2" si="4">#REF!</f>
        <v>#REF!</v>
      </c>
      <c r="Q2" s="211" t="str">
        <f t="shared" si="4"/>
        <v>#REF!</v>
      </c>
      <c r="R2" s="211" t="str">
        <f t="shared" si="4"/>
        <v>#REF!</v>
      </c>
      <c r="S2" s="211" t="str">
        <f t="shared" si="4"/>
        <v>#REF!</v>
      </c>
      <c r="T2" s="211" t="str">
        <f t="shared" si="4"/>
        <v>#REF!</v>
      </c>
      <c r="U2" s="211" t="str">
        <f t="shared" si="4"/>
        <v>#REF!</v>
      </c>
      <c r="V2" s="211" t="str">
        <f t="shared" si="4"/>
        <v>#REF!</v>
      </c>
      <c r="W2" s="211" t="str">
        <f t="shared" si="4"/>
        <v>#REF!</v>
      </c>
      <c r="X2" s="211" t="str">
        <f t="shared" si="4"/>
        <v>#REF!</v>
      </c>
    </row>
    <row r="3">
      <c r="A3" s="211" t="str">
        <f t="shared" ref="A3:O3" si="5">'Municipality Case Trends'!A7</f>
        <v>#REF!</v>
      </c>
      <c r="B3" s="211" t="str">
        <f t="shared" si="5"/>
        <v>#REF!</v>
      </c>
      <c r="C3" s="211" t="str">
        <f t="shared" si="5"/>
        <v>#REF!</v>
      </c>
      <c r="D3" s="211" t="str">
        <f t="shared" si="5"/>
        <v>#REF!</v>
      </c>
      <c r="E3" s="211" t="str">
        <f t="shared" si="5"/>
        <v>#REF!</v>
      </c>
      <c r="F3" s="211" t="str">
        <f t="shared" si="5"/>
        <v>#REF!</v>
      </c>
      <c r="G3" s="211" t="str">
        <f t="shared" si="5"/>
        <v>#REF!</v>
      </c>
      <c r="H3" s="211" t="str">
        <f t="shared" si="5"/>
        <v>#REF!</v>
      </c>
      <c r="I3" s="211" t="str">
        <f t="shared" si="5"/>
        <v>#REF!</v>
      </c>
      <c r="J3" s="211" t="str">
        <f t="shared" si="5"/>
        <v>#REF!</v>
      </c>
      <c r="K3" s="211" t="str">
        <f t="shared" si="5"/>
        <v>#REF!</v>
      </c>
      <c r="L3" s="211" t="str">
        <f t="shared" si="5"/>
        <v>#REF!</v>
      </c>
      <c r="M3" s="211" t="str">
        <f t="shared" si="5"/>
        <v>#REF!</v>
      </c>
      <c r="N3" s="211" t="str">
        <f t="shared" si="5"/>
        <v>#REF!</v>
      </c>
      <c r="O3" s="211" t="str">
        <f t="shared" si="5"/>
        <v>#REF!</v>
      </c>
      <c r="P3" s="211" t="str">
        <f t="shared" ref="P3:X3" si="6">#REF!</f>
        <v>#REF!</v>
      </c>
      <c r="Q3" s="211" t="str">
        <f t="shared" si="6"/>
        <v>#REF!</v>
      </c>
      <c r="R3" s="211" t="str">
        <f t="shared" si="6"/>
        <v>#REF!</v>
      </c>
      <c r="S3" s="211" t="str">
        <f t="shared" si="6"/>
        <v>#REF!</v>
      </c>
      <c r="T3" s="211" t="str">
        <f t="shared" si="6"/>
        <v>#REF!</v>
      </c>
      <c r="U3" s="211" t="str">
        <f t="shared" si="6"/>
        <v>#REF!</v>
      </c>
      <c r="V3" s="211" t="str">
        <f t="shared" si="6"/>
        <v>#REF!</v>
      </c>
      <c r="W3" s="211" t="str">
        <f t="shared" si="6"/>
        <v>#REF!</v>
      </c>
      <c r="X3" s="211" t="str">
        <f t="shared" si="6"/>
        <v>#REF!</v>
      </c>
    </row>
    <row r="4">
      <c r="A4" s="211" t="str">
        <f t="shared" ref="A4:O4" si="7">'Municipality Case Trends'!A8</f>
        <v>#REF!</v>
      </c>
      <c r="B4" s="211" t="str">
        <f t="shared" si="7"/>
        <v>#REF!</v>
      </c>
      <c r="C4" s="211" t="str">
        <f t="shared" si="7"/>
        <v>#REF!</v>
      </c>
      <c r="D4" s="211" t="str">
        <f t="shared" si="7"/>
        <v>#REF!</v>
      </c>
      <c r="E4" s="211" t="str">
        <f t="shared" si="7"/>
        <v>#REF!</v>
      </c>
      <c r="F4" s="211" t="str">
        <f t="shared" si="7"/>
        <v>#REF!</v>
      </c>
      <c r="G4" s="211" t="str">
        <f t="shared" si="7"/>
        <v>#REF!</v>
      </c>
      <c r="H4" s="211" t="str">
        <f t="shared" si="7"/>
        <v>#REF!</v>
      </c>
      <c r="I4" s="211" t="str">
        <f t="shared" si="7"/>
        <v>#REF!</v>
      </c>
      <c r="J4" s="211" t="str">
        <f t="shared" si="7"/>
        <v>#REF!</v>
      </c>
      <c r="K4" s="211" t="str">
        <f t="shared" si="7"/>
        <v>#REF!</v>
      </c>
      <c r="L4" s="211" t="str">
        <f t="shared" si="7"/>
        <v>#REF!</v>
      </c>
      <c r="M4" s="211" t="str">
        <f t="shared" si="7"/>
        <v>#REF!</v>
      </c>
      <c r="N4" s="211" t="str">
        <f t="shared" si="7"/>
        <v>#REF!</v>
      </c>
      <c r="O4" s="211" t="str">
        <f t="shared" si="7"/>
        <v>#REF!</v>
      </c>
      <c r="P4" s="211" t="str">
        <f t="shared" ref="P4:X4" si="8">#REF!</f>
        <v>#REF!</v>
      </c>
      <c r="Q4" s="211" t="str">
        <f t="shared" si="8"/>
        <v>#REF!</v>
      </c>
      <c r="R4" s="211" t="str">
        <f t="shared" si="8"/>
        <v>#REF!</v>
      </c>
      <c r="S4" s="211" t="str">
        <f t="shared" si="8"/>
        <v>#REF!</v>
      </c>
      <c r="T4" s="211" t="str">
        <f t="shared" si="8"/>
        <v>#REF!</v>
      </c>
      <c r="U4" s="211" t="str">
        <f t="shared" si="8"/>
        <v>#REF!</v>
      </c>
      <c r="V4" s="211" t="str">
        <f t="shared" si="8"/>
        <v>#REF!</v>
      </c>
      <c r="W4" s="211" t="str">
        <f t="shared" si="8"/>
        <v>#REF!</v>
      </c>
      <c r="X4" s="211" t="str">
        <f t="shared" si="8"/>
        <v>#REF!</v>
      </c>
    </row>
    <row r="5">
      <c r="A5" s="211" t="str">
        <f t="shared" ref="A5:O5" si="9">'Municipality Case Trends'!A9</f>
        <v>#REF!</v>
      </c>
      <c r="B5" s="211" t="str">
        <f t="shared" si="9"/>
        <v>#REF!</v>
      </c>
      <c r="C5" s="211" t="str">
        <f t="shared" si="9"/>
        <v>#REF!</v>
      </c>
      <c r="D5" s="211" t="str">
        <f t="shared" si="9"/>
        <v>#REF!</v>
      </c>
      <c r="E5" s="211" t="str">
        <f t="shared" si="9"/>
        <v>#REF!</v>
      </c>
      <c r="F5" s="211" t="str">
        <f t="shared" si="9"/>
        <v>#REF!</v>
      </c>
      <c r="G5" s="211" t="str">
        <f t="shared" si="9"/>
        <v>#REF!</v>
      </c>
      <c r="H5" s="211" t="str">
        <f t="shared" si="9"/>
        <v>#REF!</v>
      </c>
      <c r="I5" s="211" t="str">
        <f t="shared" si="9"/>
        <v>#REF!</v>
      </c>
      <c r="J5" s="211" t="str">
        <f t="shared" si="9"/>
        <v>#REF!</v>
      </c>
      <c r="K5" s="211" t="str">
        <f t="shared" si="9"/>
        <v>#REF!</v>
      </c>
      <c r="L5" s="211" t="str">
        <f t="shared" si="9"/>
        <v>#REF!</v>
      </c>
      <c r="M5" s="211" t="str">
        <f t="shared" si="9"/>
        <v>#REF!</v>
      </c>
      <c r="N5" s="211" t="str">
        <f t="shared" si="9"/>
        <v>#REF!</v>
      </c>
      <c r="O5" s="211" t="str">
        <f t="shared" si="9"/>
        <v>#REF!</v>
      </c>
      <c r="P5" s="211" t="str">
        <f t="shared" ref="P5:X5" si="10">#REF!</f>
        <v>#REF!</v>
      </c>
      <c r="Q5" s="211" t="str">
        <f t="shared" si="10"/>
        <v>#REF!</v>
      </c>
      <c r="R5" s="211" t="str">
        <f t="shared" si="10"/>
        <v>#REF!</v>
      </c>
      <c r="S5" s="211" t="str">
        <f t="shared" si="10"/>
        <v>#REF!</v>
      </c>
      <c r="T5" s="211" t="str">
        <f t="shared" si="10"/>
        <v>#REF!</v>
      </c>
      <c r="U5" s="211" t="str">
        <f t="shared" si="10"/>
        <v>#REF!</v>
      </c>
      <c r="V5" s="211" t="str">
        <f t="shared" si="10"/>
        <v>#REF!</v>
      </c>
      <c r="W5" s="211" t="str">
        <f t="shared" si="10"/>
        <v>#REF!</v>
      </c>
      <c r="X5" s="211" t="str">
        <f t="shared" si="10"/>
        <v>#REF!</v>
      </c>
    </row>
    <row r="6">
      <c r="A6" s="211" t="str">
        <f t="shared" ref="A6:O6" si="11">'Municipality Case Trends'!A10</f>
        <v>#REF!</v>
      </c>
      <c r="B6" s="211" t="str">
        <f t="shared" si="11"/>
        <v>#REF!</v>
      </c>
      <c r="C6" s="211" t="str">
        <f t="shared" si="11"/>
        <v>#REF!</v>
      </c>
      <c r="D6" s="211" t="str">
        <f t="shared" si="11"/>
        <v>#REF!</v>
      </c>
      <c r="E6" s="211" t="str">
        <f t="shared" si="11"/>
        <v>#REF!</v>
      </c>
      <c r="F6" s="211" t="str">
        <f t="shared" si="11"/>
        <v>#REF!</v>
      </c>
      <c r="G6" s="211" t="str">
        <f t="shared" si="11"/>
        <v>#REF!</v>
      </c>
      <c r="H6" s="211" t="str">
        <f t="shared" si="11"/>
        <v>#REF!</v>
      </c>
      <c r="I6" s="211" t="str">
        <f t="shared" si="11"/>
        <v>#REF!</v>
      </c>
      <c r="J6" s="211" t="str">
        <f t="shared" si="11"/>
        <v>#REF!</v>
      </c>
      <c r="K6" s="211" t="str">
        <f t="shared" si="11"/>
        <v>#REF!</v>
      </c>
      <c r="L6" s="211" t="str">
        <f t="shared" si="11"/>
        <v>#REF!</v>
      </c>
      <c r="M6" s="211" t="str">
        <f t="shared" si="11"/>
        <v>#REF!</v>
      </c>
      <c r="N6" s="211" t="str">
        <f t="shared" si="11"/>
        <v>#REF!</v>
      </c>
      <c r="O6" s="211" t="str">
        <f t="shared" si="11"/>
        <v>#REF!</v>
      </c>
      <c r="P6" s="211" t="str">
        <f t="shared" ref="P6:X6" si="12">#REF!</f>
        <v>#REF!</v>
      </c>
      <c r="Q6" s="211" t="str">
        <f t="shared" si="12"/>
        <v>#REF!</v>
      </c>
      <c r="R6" s="211" t="str">
        <f t="shared" si="12"/>
        <v>#REF!</v>
      </c>
      <c r="S6" s="211" t="str">
        <f t="shared" si="12"/>
        <v>#REF!</v>
      </c>
      <c r="T6" s="211" t="str">
        <f t="shared" si="12"/>
        <v>#REF!</v>
      </c>
      <c r="U6" s="211" t="str">
        <f t="shared" si="12"/>
        <v>#REF!</v>
      </c>
      <c r="V6" s="211" t="str">
        <f t="shared" si="12"/>
        <v>#REF!</v>
      </c>
      <c r="W6" s="211" t="str">
        <f t="shared" si="12"/>
        <v>#REF!</v>
      </c>
      <c r="X6" s="211" t="str">
        <f t="shared" si="12"/>
        <v>#REF!</v>
      </c>
    </row>
    <row r="7">
      <c r="A7" s="211" t="str">
        <f t="shared" ref="A7:O7" si="13">'Municipality Case Trends'!A11</f>
        <v>#REF!</v>
      </c>
      <c r="B7" s="211" t="str">
        <f t="shared" si="13"/>
        <v>#REF!</v>
      </c>
      <c r="C7" s="211" t="str">
        <f t="shared" si="13"/>
        <v>#REF!</v>
      </c>
      <c r="D7" s="211" t="str">
        <f t="shared" si="13"/>
        <v>#REF!</v>
      </c>
      <c r="E7" s="211" t="str">
        <f t="shared" si="13"/>
        <v>#REF!</v>
      </c>
      <c r="F7" s="211" t="str">
        <f t="shared" si="13"/>
        <v>#REF!</v>
      </c>
      <c r="G7" s="211" t="str">
        <f t="shared" si="13"/>
        <v>#REF!</v>
      </c>
      <c r="H7" s="211" t="str">
        <f t="shared" si="13"/>
        <v>#REF!</v>
      </c>
      <c r="I7" s="211" t="str">
        <f t="shared" si="13"/>
        <v>#REF!</v>
      </c>
      <c r="J7" s="211" t="str">
        <f t="shared" si="13"/>
        <v>#REF!</v>
      </c>
      <c r="K7" s="211" t="str">
        <f t="shared" si="13"/>
        <v>#REF!</v>
      </c>
      <c r="L7" s="211" t="str">
        <f t="shared" si="13"/>
        <v>#REF!</v>
      </c>
      <c r="M7" s="211" t="str">
        <f t="shared" si="13"/>
        <v>#REF!</v>
      </c>
      <c r="N7" s="211" t="str">
        <f t="shared" si="13"/>
        <v>#REF!</v>
      </c>
      <c r="O7" s="211" t="str">
        <f t="shared" si="13"/>
        <v>#REF!</v>
      </c>
      <c r="P7" s="211" t="str">
        <f t="shared" ref="P7:X7" si="14">#REF!</f>
        <v>#REF!</v>
      </c>
      <c r="Q7" s="211" t="str">
        <f t="shared" si="14"/>
        <v>#REF!</v>
      </c>
      <c r="R7" s="211" t="str">
        <f t="shared" si="14"/>
        <v>#REF!</v>
      </c>
      <c r="S7" s="211" t="str">
        <f t="shared" si="14"/>
        <v>#REF!</v>
      </c>
      <c r="T7" s="211" t="str">
        <f t="shared" si="14"/>
        <v>#REF!</v>
      </c>
      <c r="U7" s="211" t="str">
        <f t="shared" si="14"/>
        <v>#REF!</v>
      </c>
      <c r="V7" s="211" t="str">
        <f t="shared" si="14"/>
        <v>#REF!</v>
      </c>
      <c r="W7" s="211" t="str">
        <f t="shared" si="14"/>
        <v>#REF!</v>
      </c>
      <c r="X7" s="211" t="str">
        <f t="shared" si="14"/>
        <v>#REF!</v>
      </c>
    </row>
    <row r="8">
      <c r="A8" s="211" t="str">
        <f t="shared" ref="A8:O8" si="15">'Municipality Case Trends'!A12</f>
        <v>#REF!</v>
      </c>
      <c r="B8" s="211" t="str">
        <f t="shared" si="15"/>
        <v>#REF!</v>
      </c>
      <c r="C8" s="211" t="str">
        <f t="shared" si="15"/>
        <v>#REF!</v>
      </c>
      <c r="D8" s="211" t="str">
        <f t="shared" si="15"/>
        <v>#REF!</v>
      </c>
      <c r="E8" s="211" t="str">
        <f t="shared" si="15"/>
        <v>#REF!</v>
      </c>
      <c r="F8" s="211" t="str">
        <f t="shared" si="15"/>
        <v>#REF!</v>
      </c>
      <c r="G8" s="211" t="str">
        <f t="shared" si="15"/>
        <v>#REF!</v>
      </c>
      <c r="H8" s="211" t="str">
        <f t="shared" si="15"/>
        <v>#REF!</v>
      </c>
      <c r="I8" s="211" t="str">
        <f t="shared" si="15"/>
        <v>#REF!</v>
      </c>
      <c r="J8" s="211" t="str">
        <f t="shared" si="15"/>
        <v>#REF!</v>
      </c>
      <c r="K8" s="211" t="str">
        <f t="shared" si="15"/>
        <v>#REF!</v>
      </c>
      <c r="L8" s="211" t="str">
        <f t="shared" si="15"/>
        <v>#REF!</v>
      </c>
      <c r="M8" s="211" t="str">
        <f t="shared" si="15"/>
        <v>#REF!</v>
      </c>
      <c r="N8" s="211" t="str">
        <f t="shared" si="15"/>
        <v>#REF!</v>
      </c>
      <c r="O8" s="211" t="str">
        <f t="shared" si="15"/>
        <v>#REF!</v>
      </c>
      <c r="P8" s="211" t="str">
        <f t="shared" ref="P8:X8" si="16">#REF!</f>
        <v>#REF!</v>
      </c>
      <c r="Q8" s="211" t="str">
        <f t="shared" si="16"/>
        <v>#REF!</v>
      </c>
      <c r="R8" s="211" t="str">
        <f t="shared" si="16"/>
        <v>#REF!</v>
      </c>
      <c r="S8" s="211" t="str">
        <f t="shared" si="16"/>
        <v>#REF!</v>
      </c>
      <c r="T8" s="211" t="str">
        <f t="shared" si="16"/>
        <v>#REF!</v>
      </c>
      <c r="U8" s="211" t="str">
        <f t="shared" si="16"/>
        <v>#REF!</v>
      </c>
      <c r="V8" s="211" t="str">
        <f t="shared" si="16"/>
        <v>#REF!</v>
      </c>
      <c r="W8" s="211" t="str">
        <f t="shared" si="16"/>
        <v>#REF!</v>
      </c>
      <c r="X8" s="211" t="str">
        <f t="shared" si="16"/>
        <v>#REF!</v>
      </c>
    </row>
    <row r="9">
      <c r="A9" s="211" t="str">
        <f t="shared" ref="A9:O9" si="17">'Municipality Case Trends'!A13</f>
        <v>#REF!</v>
      </c>
      <c r="B9" s="211" t="str">
        <f t="shared" si="17"/>
        <v>#REF!</v>
      </c>
      <c r="C9" s="211" t="str">
        <f t="shared" si="17"/>
        <v>#REF!</v>
      </c>
      <c r="D9" s="211" t="str">
        <f t="shared" si="17"/>
        <v>#REF!</v>
      </c>
      <c r="E9" s="211" t="str">
        <f t="shared" si="17"/>
        <v>#REF!</v>
      </c>
      <c r="F9" s="211" t="str">
        <f t="shared" si="17"/>
        <v>#REF!</v>
      </c>
      <c r="G9" s="211" t="str">
        <f t="shared" si="17"/>
        <v>#REF!</v>
      </c>
      <c r="H9" s="211" t="str">
        <f t="shared" si="17"/>
        <v>#REF!</v>
      </c>
      <c r="I9" s="211" t="str">
        <f t="shared" si="17"/>
        <v>#REF!</v>
      </c>
      <c r="J9" s="211" t="str">
        <f t="shared" si="17"/>
        <v>#REF!</v>
      </c>
      <c r="K9" s="211" t="str">
        <f t="shared" si="17"/>
        <v>#REF!</v>
      </c>
      <c r="L9" s="211" t="str">
        <f t="shared" si="17"/>
        <v>#REF!</v>
      </c>
      <c r="M9" s="211" t="str">
        <f t="shared" si="17"/>
        <v>#REF!</v>
      </c>
      <c r="N9" s="211" t="str">
        <f t="shared" si="17"/>
        <v>#REF!</v>
      </c>
      <c r="O9" s="211" t="str">
        <f t="shared" si="17"/>
        <v>#REF!</v>
      </c>
      <c r="P9" s="211" t="str">
        <f t="shared" ref="P9:X9" si="18">#REF!</f>
        <v>#REF!</v>
      </c>
      <c r="Q9" s="211" t="str">
        <f t="shared" si="18"/>
        <v>#REF!</v>
      </c>
      <c r="R9" s="211" t="str">
        <f t="shared" si="18"/>
        <v>#REF!</v>
      </c>
      <c r="S9" s="211" t="str">
        <f t="shared" si="18"/>
        <v>#REF!</v>
      </c>
      <c r="T9" s="211" t="str">
        <f t="shared" si="18"/>
        <v>#REF!</v>
      </c>
      <c r="U9" s="211" t="str">
        <f t="shared" si="18"/>
        <v>#REF!</v>
      </c>
      <c r="V9" s="211" t="str">
        <f t="shared" si="18"/>
        <v>#REF!</v>
      </c>
      <c r="W9" s="211" t="str">
        <f t="shared" si="18"/>
        <v>#REF!</v>
      </c>
      <c r="X9" s="211" t="str">
        <f t="shared" si="18"/>
        <v>#REF!</v>
      </c>
    </row>
    <row r="10">
      <c r="A10" s="211" t="str">
        <f t="shared" ref="A10:O10" si="19">'Municipality Case Trends'!A14</f>
        <v>#REF!</v>
      </c>
      <c r="B10" s="211" t="str">
        <f t="shared" si="19"/>
        <v>#REF!</v>
      </c>
      <c r="C10" s="211" t="str">
        <f t="shared" si="19"/>
        <v>#REF!</v>
      </c>
      <c r="D10" s="211" t="str">
        <f t="shared" si="19"/>
        <v>#REF!</v>
      </c>
      <c r="E10" s="211" t="str">
        <f t="shared" si="19"/>
        <v>#REF!</v>
      </c>
      <c r="F10" s="211" t="str">
        <f t="shared" si="19"/>
        <v>#REF!</v>
      </c>
      <c r="G10" s="211" t="str">
        <f t="shared" si="19"/>
        <v>#REF!</v>
      </c>
      <c r="H10" s="211" t="str">
        <f t="shared" si="19"/>
        <v>#REF!</v>
      </c>
      <c r="I10" s="211" t="str">
        <f t="shared" si="19"/>
        <v>#REF!</v>
      </c>
      <c r="J10" s="211" t="str">
        <f t="shared" si="19"/>
        <v>#REF!</v>
      </c>
      <c r="K10" s="211" t="str">
        <f t="shared" si="19"/>
        <v>#REF!</v>
      </c>
      <c r="L10" s="211" t="str">
        <f t="shared" si="19"/>
        <v>#REF!</v>
      </c>
      <c r="M10" s="211" t="str">
        <f t="shared" si="19"/>
        <v>#REF!</v>
      </c>
      <c r="N10" s="211" t="str">
        <f t="shared" si="19"/>
        <v>#REF!</v>
      </c>
      <c r="O10" s="211" t="str">
        <f t="shared" si="19"/>
        <v>#REF!</v>
      </c>
      <c r="P10" s="211" t="str">
        <f t="shared" ref="P10:X10" si="20">#REF!</f>
        <v>#REF!</v>
      </c>
      <c r="Q10" s="211" t="str">
        <f t="shared" si="20"/>
        <v>#REF!</v>
      </c>
      <c r="R10" s="211" t="str">
        <f t="shared" si="20"/>
        <v>#REF!</v>
      </c>
      <c r="S10" s="211" t="str">
        <f t="shared" si="20"/>
        <v>#REF!</v>
      </c>
      <c r="T10" s="211" t="str">
        <f t="shared" si="20"/>
        <v>#REF!</v>
      </c>
      <c r="U10" s="211" t="str">
        <f t="shared" si="20"/>
        <v>#REF!</v>
      </c>
      <c r="V10" s="211" t="str">
        <f t="shared" si="20"/>
        <v>#REF!</v>
      </c>
      <c r="W10" s="211" t="str">
        <f t="shared" si="20"/>
        <v>#REF!</v>
      </c>
      <c r="X10" s="211" t="str">
        <f t="shared" si="20"/>
        <v>#REF!</v>
      </c>
    </row>
    <row r="11">
      <c r="A11" s="211" t="str">
        <f t="shared" ref="A11:O11" si="21">'Municipality Case Trends'!A15</f>
        <v>#REF!</v>
      </c>
      <c r="B11" s="211" t="str">
        <f t="shared" si="21"/>
        <v>#REF!</v>
      </c>
      <c r="C11" s="211" t="str">
        <f t="shared" si="21"/>
        <v>#REF!</v>
      </c>
      <c r="D11" s="211" t="str">
        <f t="shared" si="21"/>
        <v>#REF!</v>
      </c>
      <c r="E11" s="211" t="str">
        <f t="shared" si="21"/>
        <v>#REF!</v>
      </c>
      <c r="F11" s="211" t="str">
        <f t="shared" si="21"/>
        <v>#REF!</v>
      </c>
      <c r="G11" s="211" t="str">
        <f t="shared" si="21"/>
        <v>#REF!</v>
      </c>
      <c r="H11" s="211" t="str">
        <f t="shared" si="21"/>
        <v>#REF!</v>
      </c>
      <c r="I11" s="211" t="str">
        <f t="shared" si="21"/>
        <v>#REF!</v>
      </c>
      <c r="J11" s="211" t="str">
        <f t="shared" si="21"/>
        <v>#REF!</v>
      </c>
      <c r="K11" s="211" t="str">
        <f t="shared" si="21"/>
        <v>#REF!</v>
      </c>
      <c r="L11" s="211" t="str">
        <f t="shared" si="21"/>
        <v>#REF!</v>
      </c>
      <c r="M11" s="211" t="str">
        <f t="shared" si="21"/>
        <v>#REF!</v>
      </c>
      <c r="N11" s="211" t="str">
        <f t="shared" si="21"/>
        <v>#REF!</v>
      </c>
      <c r="O11" s="211" t="str">
        <f t="shared" si="21"/>
        <v>#REF!</v>
      </c>
      <c r="P11" s="211" t="str">
        <f t="shared" ref="P11:X11" si="22">#REF!</f>
        <v>#REF!</v>
      </c>
      <c r="Q11" s="211" t="str">
        <f t="shared" si="22"/>
        <v>#REF!</v>
      </c>
      <c r="R11" s="211" t="str">
        <f t="shared" si="22"/>
        <v>#REF!</v>
      </c>
      <c r="S11" s="211" t="str">
        <f t="shared" si="22"/>
        <v>#REF!</v>
      </c>
      <c r="T11" s="211" t="str">
        <f t="shared" si="22"/>
        <v>#REF!</v>
      </c>
      <c r="U11" s="211" t="str">
        <f t="shared" si="22"/>
        <v>#REF!</v>
      </c>
      <c r="V11" s="211" t="str">
        <f t="shared" si="22"/>
        <v>#REF!</v>
      </c>
      <c r="W11" s="211" t="str">
        <f t="shared" si="22"/>
        <v>#REF!</v>
      </c>
      <c r="X11" s="211" t="str">
        <f t="shared" si="22"/>
        <v>#REF!</v>
      </c>
    </row>
    <row r="12">
      <c r="A12" s="211" t="str">
        <f t="shared" ref="A12:O12" si="23">'Municipality Case Trends'!A16</f>
        <v>#REF!</v>
      </c>
      <c r="B12" s="211" t="str">
        <f t="shared" si="23"/>
        <v>#REF!</v>
      </c>
      <c r="C12" s="211" t="str">
        <f t="shared" si="23"/>
        <v>#REF!</v>
      </c>
      <c r="D12" s="211" t="str">
        <f t="shared" si="23"/>
        <v>#REF!</v>
      </c>
      <c r="E12" s="211" t="str">
        <f t="shared" si="23"/>
        <v>#REF!</v>
      </c>
      <c r="F12" s="211" t="str">
        <f t="shared" si="23"/>
        <v>#REF!</v>
      </c>
      <c r="G12" s="211" t="str">
        <f t="shared" si="23"/>
        <v>#REF!</v>
      </c>
      <c r="H12" s="211" t="str">
        <f t="shared" si="23"/>
        <v>#REF!</v>
      </c>
      <c r="I12" s="211" t="str">
        <f t="shared" si="23"/>
        <v>#REF!</v>
      </c>
      <c r="J12" s="211" t="str">
        <f t="shared" si="23"/>
        <v>#REF!</v>
      </c>
      <c r="K12" s="211" t="str">
        <f t="shared" si="23"/>
        <v>#REF!</v>
      </c>
      <c r="L12" s="211" t="str">
        <f t="shared" si="23"/>
        <v>#REF!</v>
      </c>
      <c r="M12" s="211" t="str">
        <f t="shared" si="23"/>
        <v>#REF!</v>
      </c>
      <c r="N12" s="211" t="str">
        <f t="shared" si="23"/>
        <v>#REF!</v>
      </c>
      <c r="O12" s="211" t="str">
        <f t="shared" si="23"/>
        <v>#REF!</v>
      </c>
      <c r="P12" s="211" t="str">
        <f t="shared" ref="P12:X12" si="24">#REF!</f>
        <v>#REF!</v>
      </c>
      <c r="Q12" s="211" t="str">
        <f t="shared" si="24"/>
        <v>#REF!</v>
      </c>
      <c r="R12" s="211" t="str">
        <f t="shared" si="24"/>
        <v>#REF!</v>
      </c>
      <c r="S12" s="211" t="str">
        <f t="shared" si="24"/>
        <v>#REF!</v>
      </c>
      <c r="T12" s="211" t="str">
        <f t="shared" si="24"/>
        <v>#REF!</v>
      </c>
      <c r="U12" s="211" t="str">
        <f t="shared" si="24"/>
        <v>#REF!</v>
      </c>
      <c r="V12" s="211" t="str">
        <f t="shared" si="24"/>
        <v>#REF!</v>
      </c>
      <c r="W12" s="211" t="str">
        <f t="shared" si="24"/>
        <v>#REF!</v>
      </c>
      <c r="X12" s="211" t="str">
        <f t="shared" si="24"/>
        <v>#REF!</v>
      </c>
    </row>
    <row r="13">
      <c r="A13" s="211" t="str">
        <f t="shared" ref="A13:O13" si="25">'Municipality Case Trends'!A17</f>
        <v>#REF!</v>
      </c>
      <c r="B13" s="211" t="str">
        <f t="shared" si="25"/>
        <v>#REF!</v>
      </c>
      <c r="C13" s="211" t="str">
        <f t="shared" si="25"/>
        <v>#REF!</v>
      </c>
      <c r="D13" s="211" t="str">
        <f t="shared" si="25"/>
        <v>#REF!</v>
      </c>
      <c r="E13" s="211" t="str">
        <f t="shared" si="25"/>
        <v>#REF!</v>
      </c>
      <c r="F13" s="211" t="str">
        <f t="shared" si="25"/>
        <v>#REF!</v>
      </c>
      <c r="G13" s="211" t="str">
        <f t="shared" si="25"/>
        <v>#REF!</v>
      </c>
      <c r="H13" s="211" t="str">
        <f t="shared" si="25"/>
        <v>#REF!</v>
      </c>
      <c r="I13" s="211" t="str">
        <f t="shared" si="25"/>
        <v>#REF!</v>
      </c>
      <c r="J13" s="211" t="str">
        <f t="shared" si="25"/>
        <v>#REF!</v>
      </c>
      <c r="K13" s="211" t="str">
        <f t="shared" si="25"/>
        <v>#REF!</v>
      </c>
      <c r="L13" s="211" t="str">
        <f t="shared" si="25"/>
        <v>#REF!</v>
      </c>
      <c r="M13" s="211" t="str">
        <f t="shared" si="25"/>
        <v>#REF!</v>
      </c>
      <c r="N13" s="211" t="str">
        <f t="shared" si="25"/>
        <v>#REF!</v>
      </c>
      <c r="O13" s="211" t="str">
        <f t="shared" si="25"/>
        <v>#REF!</v>
      </c>
      <c r="P13" s="211" t="str">
        <f t="shared" ref="P13:X13" si="26">#REF!</f>
        <v>#REF!</v>
      </c>
      <c r="Q13" s="211" t="str">
        <f t="shared" si="26"/>
        <v>#REF!</v>
      </c>
      <c r="R13" s="211" t="str">
        <f t="shared" si="26"/>
        <v>#REF!</v>
      </c>
      <c r="S13" s="211" t="str">
        <f t="shared" si="26"/>
        <v>#REF!</v>
      </c>
      <c r="T13" s="211" t="str">
        <f t="shared" si="26"/>
        <v>#REF!</v>
      </c>
      <c r="U13" s="211" t="str">
        <f t="shared" si="26"/>
        <v>#REF!</v>
      </c>
      <c r="V13" s="211" t="str">
        <f t="shared" si="26"/>
        <v>#REF!</v>
      </c>
      <c r="W13" s="211" t="str">
        <f t="shared" si="26"/>
        <v>#REF!</v>
      </c>
      <c r="X13" s="211" t="str">
        <f t="shared" si="26"/>
        <v>#REF!</v>
      </c>
    </row>
    <row r="14">
      <c r="A14" s="211" t="str">
        <f t="shared" ref="A14:O14" si="27">'Municipality Case Trends'!A18</f>
        <v>#REF!</v>
      </c>
      <c r="B14" s="211" t="str">
        <f t="shared" si="27"/>
        <v>#REF!</v>
      </c>
      <c r="C14" s="211" t="str">
        <f t="shared" si="27"/>
        <v>#REF!</v>
      </c>
      <c r="D14" s="211" t="str">
        <f t="shared" si="27"/>
        <v>#REF!</v>
      </c>
      <c r="E14" s="211" t="str">
        <f t="shared" si="27"/>
        <v>#REF!</v>
      </c>
      <c r="F14" s="211" t="str">
        <f t="shared" si="27"/>
        <v>#REF!</v>
      </c>
      <c r="G14" s="211" t="str">
        <f t="shared" si="27"/>
        <v>#REF!</v>
      </c>
      <c r="H14" s="211" t="str">
        <f t="shared" si="27"/>
        <v>#REF!</v>
      </c>
      <c r="I14" s="211" t="str">
        <f t="shared" si="27"/>
        <v>#REF!</v>
      </c>
      <c r="J14" s="211" t="str">
        <f t="shared" si="27"/>
        <v>#REF!</v>
      </c>
      <c r="K14" s="211" t="str">
        <f t="shared" si="27"/>
        <v>#REF!</v>
      </c>
      <c r="L14" s="211" t="str">
        <f t="shared" si="27"/>
        <v>#REF!</v>
      </c>
      <c r="M14" s="211" t="str">
        <f t="shared" si="27"/>
        <v>#REF!</v>
      </c>
      <c r="N14" s="211" t="str">
        <f t="shared" si="27"/>
        <v>#REF!</v>
      </c>
      <c r="O14" s="211" t="str">
        <f t="shared" si="27"/>
        <v>#REF!</v>
      </c>
      <c r="P14" s="211" t="str">
        <f t="shared" ref="P14:X14" si="28">#REF!</f>
        <v>#REF!</v>
      </c>
      <c r="Q14" s="211" t="str">
        <f t="shared" si="28"/>
        <v>#REF!</v>
      </c>
      <c r="R14" s="211" t="str">
        <f t="shared" si="28"/>
        <v>#REF!</v>
      </c>
      <c r="S14" s="211" t="str">
        <f t="shared" si="28"/>
        <v>#REF!</v>
      </c>
      <c r="T14" s="211" t="str">
        <f t="shared" si="28"/>
        <v>#REF!</v>
      </c>
      <c r="U14" s="211" t="str">
        <f t="shared" si="28"/>
        <v>#REF!</v>
      </c>
      <c r="V14" s="211" t="str">
        <f t="shared" si="28"/>
        <v>#REF!</v>
      </c>
      <c r="W14" s="211" t="str">
        <f t="shared" si="28"/>
        <v>#REF!</v>
      </c>
      <c r="X14" s="211" t="str">
        <f t="shared" si="28"/>
        <v>#REF!</v>
      </c>
    </row>
    <row r="15">
      <c r="A15" s="211" t="str">
        <f t="shared" ref="A15:O15" si="29">'Municipality Case Trends'!A19</f>
        <v>#REF!</v>
      </c>
      <c r="B15" s="211" t="str">
        <f t="shared" si="29"/>
        <v>#REF!</v>
      </c>
      <c r="C15" s="211" t="str">
        <f t="shared" si="29"/>
        <v>#REF!</v>
      </c>
      <c r="D15" s="211" t="str">
        <f t="shared" si="29"/>
        <v>#REF!</v>
      </c>
      <c r="E15" s="211" t="str">
        <f t="shared" si="29"/>
        <v>#REF!</v>
      </c>
      <c r="F15" s="211" t="str">
        <f t="shared" si="29"/>
        <v>#REF!</v>
      </c>
      <c r="G15" s="211" t="str">
        <f t="shared" si="29"/>
        <v>#REF!</v>
      </c>
      <c r="H15" s="211" t="str">
        <f t="shared" si="29"/>
        <v>#REF!</v>
      </c>
      <c r="I15" s="211" t="str">
        <f t="shared" si="29"/>
        <v>#REF!</v>
      </c>
      <c r="J15" s="211" t="str">
        <f t="shared" si="29"/>
        <v>#REF!</v>
      </c>
      <c r="K15" s="211" t="str">
        <f t="shared" si="29"/>
        <v>#REF!</v>
      </c>
      <c r="L15" s="211" t="str">
        <f t="shared" si="29"/>
        <v>#REF!</v>
      </c>
      <c r="M15" s="211" t="str">
        <f t="shared" si="29"/>
        <v>#REF!</v>
      </c>
      <c r="N15" s="211" t="str">
        <f t="shared" si="29"/>
        <v>#REF!</v>
      </c>
      <c r="O15" s="211" t="str">
        <f t="shared" si="29"/>
        <v>#REF!</v>
      </c>
      <c r="P15" s="211" t="str">
        <f t="shared" ref="P15:X15" si="30">#REF!</f>
        <v>#REF!</v>
      </c>
      <c r="Q15" s="211" t="str">
        <f t="shared" si="30"/>
        <v>#REF!</v>
      </c>
      <c r="R15" s="211" t="str">
        <f t="shared" si="30"/>
        <v>#REF!</v>
      </c>
      <c r="S15" s="211" t="str">
        <f t="shared" si="30"/>
        <v>#REF!</v>
      </c>
      <c r="T15" s="211" t="str">
        <f t="shared" si="30"/>
        <v>#REF!</v>
      </c>
      <c r="U15" s="211" t="str">
        <f t="shared" si="30"/>
        <v>#REF!</v>
      </c>
      <c r="V15" s="211" t="str">
        <f t="shared" si="30"/>
        <v>#REF!</v>
      </c>
      <c r="W15" s="211" t="str">
        <f t="shared" si="30"/>
        <v>#REF!</v>
      </c>
      <c r="X15" s="211" t="str">
        <f t="shared" si="30"/>
        <v>#REF!</v>
      </c>
    </row>
    <row r="16">
      <c r="A16" s="211" t="str">
        <f t="shared" ref="A16:O16" si="31">'Municipality Case Trends'!A20</f>
        <v>#REF!</v>
      </c>
      <c r="B16" s="211" t="str">
        <f t="shared" si="31"/>
        <v>#REF!</v>
      </c>
      <c r="C16" s="211" t="str">
        <f t="shared" si="31"/>
        <v>#REF!</v>
      </c>
      <c r="D16" s="211" t="str">
        <f t="shared" si="31"/>
        <v>#REF!</v>
      </c>
      <c r="E16" s="211" t="str">
        <f t="shared" si="31"/>
        <v>#REF!</v>
      </c>
      <c r="F16" s="211" t="str">
        <f t="shared" si="31"/>
        <v>#REF!</v>
      </c>
      <c r="G16" s="211" t="str">
        <f t="shared" si="31"/>
        <v>#REF!</v>
      </c>
      <c r="H16" s="211" t="str">
        <f t="shared" si="31"/>
        <v>#REF!</v>
      </c>
      <c r="I16" s="211" t="str">
        <f t="shared" si="31"/>
        <v>#REF!</v>
      </c>
      <c r="J16" s="211" t="str">
        <f t="shared" si="31"/>
        <v>#REF!</v>
      </c>
      <c r="K16" s="211" t="str">
        <f t="shared" si="31"/>
        <v>#REF!</v>
      </c>
      <c r="L16" s="211" t="str">
        <f t="shared" si="31"/>
        <v>#REF!</v>
      </c>
      <c r="M16" s="211" t="str">
        <f t="shared" si="31"/>
        <v>#REF!</v>
      </c>
      <c r="N16" s="211" t="str">
        <f t="shared" si="31"/>
        <v>#REF!</v>
      </c>
      <c r="O16" s="211" t="str">
        <f t="shared" si="31"/>
        <v>#REF!</v>
      </c>
      <c r="P16" s="211" t="str">
        <f t="shared" ref="P16:X16" si="32">#REF!</f>
        <v>#REF!</v>
      </c>
      <c r="Q16" s="211" t="str">
        <f t="shared" si="32"/>
        <v>#REF!</v>
      </c>
      <c r="R16" s="211" t="str">
        <f t="shared" si="32"/>
        <v>#REF!</v>
      </c>
      <c r="S16" s="211" t="str">
        <f t="shared" si="32"/>
        <v>#REF!</v>
      </c>
      <c r="T16" s="211" t="str">
        <f t="shared" si="32"/>
        <v>#REF!</v>
      </c>
      <c r="U16" s="211" t="str">
        <f t="shared" si="32"/>
        <v>#REF!</v>
      </c>
      <c r="V16" s="211" t="str">
        <f t="shared" si="32"/>
        <v>#REF!</v>
      </c>
      <c r="W16" s="211" t="str">
        <f t="shared" si="32"/>
        <v>#REF!</v>
      </c>
      <c r="X16" s="211" t="str">
        <f t="shared" si="32"/>
        <v>#REF!</v>
      </c>
    </row>
    <row r="17">
      <c r="A17" s="211" t="str">
        <f t="shared" ref="A17:O17" si="33">'Municipality Case Trends'!A21</f>
        <v>#REF!</v>
      </c>
      <c r="B17" s="211" t="str">
        <f t="shared" si="33"/>
        <v>#REF!</v>
      </c>
      <c r="C17" s="211" t="str">
        <f t="shared" si="33"/>
        <v>#REF!</v>
      </c>
      <c r="D17" s="211" t="str">
        <f t="shared" si="33"/>
        <v>#REF!</v>
      </c>
      <c r="E17" s="211" t="str">
        <f t="shared" si="33"/>
        <v>#REF!</v>
      </c>
      <c r="F17" s="211" t="str">
        <f t="shared" si="33"/>
        <v>#REF!</v>
      </c>
      <c r="G17" s="211" t="str">
        <f t="shared" si="33"/>
        <v>#REF!</v>
      </c>
      <c r="H17" s="211" t="str">
        <f t="shared" si="33"/>
        <v>#REF!</v>
      </c>
      <c r="I17" s="211" t="str">
        <f t="shared" si="33"/>
        <v>#REF!</v>
      </c>
      <c r="J17" s="211" t="str">
        <f t="shared" si="33"/>
        <v>#REF!</v>
      </c>
      <c r="K17" s="211" t="str">
        <f t="shared" si="33"/>
        <v>#REF!</v>
      </c>
      <c r="L17" s="211" t="str">
        <f t="shared" si="33"/>
        <v>#REF!</v>
      </c>
      <c r="M17" s="211" t="str">
        <f t="shared" si="33"/>
        <v>#REF!</v>
      </c>
      <c r="N17" s="211" t="str">
        <f t="shared" si="33"/>
        <v>#REF!</v>
      </c>
      <c r="O17" s="211" t="str">
        <f t="shared" si="33"/>
        <v>#REF!</v>
      </c>
      <c r="P17" s="211" t="str">
        <f t="shared" ref="P17:X17" si="34">#REF!</f>
        <v>#REF!</v>
      </c>
      <c r="Q17" s="211" t="str">
        <f t="shared" si="34"/>
        <v>#REF!</v>
      </c>
      <c r="R17" s="211" t="str">
        <f t="shared" si="34"/>
        <v>#REF!</v>
      </c>
      <c r="S17" s="211" t="str">
        <f t="shared" si="34"/>
        <v>#REF!</v>
      </c>
      <c r="T17" s="211" t="str">
        <f t="shared" si="34"/>
        <v>#REF!</v>
      </c>
      <c r="U17" s="211" t="str">
        <f t="shared" si="34"/>
        <v>#REF!</v>
      </c>
      <c r="V17" s="211" t="str">
        <f t="shared" si="34"/>
        <v>#REF!</v>
      </c>
      <c r="W17" s="211" t="str">
        <f t="shared" si="34"/>
        <v>#REF!</v>
      </c>
      <c r="X17" s="211" t="str">
        <f t="shared" si="34"/>
        <v>#REF!</v>
      </c>
    </row>
    <row r="18">
      <c r="A18" s="211" t="str">
        <f t="shared" ref="A18:O18" si="35">'Municipality Case Trends'!A22</f>
        <v>#REF!</v>
      </c>
      <c r="B18" s="211" t="str">
        <f t="shared" si="35"/>
        <v>#REF!</v>
      </c>
      <c r="C18" s="211" t="str">
        <f t="shared" si="35"/>
        <v>#REF!</v>
      </c>
      <c r="D18" s="211" t="str">
        <f t="shared" si="35"/>
        <v>#REF!</v>
      </c>
      <c r="E18" s="211" t="str">
        <f t="shared" si="35"/>
        <v>#REF!</v>
      </c>
      <c r="F18" s="211" t="str">
        <f t="shared" si="35"/>
        <v>#REF!</v>
      </c>
      <c r="G18" s="211" t="str">
        <f t="shared" si="35"/>
        <v>#REF!</v>
      </c>
      <c r="H18" s="211" t="str">
        <f t="shared" si="35"/>
        <v>#REF!</v>
      </c>
      <c r="I18" s="211" t="str">
        <f t="shared" si="35"/>
        <v>#REF!</v>
      </c>
      <c r="J18" s="211" t="str">
        <f t="shared" si="35"/>
        <v>#REF!</v>
      </c>
      <c r="K18" s="211" t="str">
        <f t="shared" si="35"/>
        <v>#REF!</v>
      </c>
      <c r="L18" s="211" t="str">
        <f t="shared" si="35"/>
        <v>#REF!</v>
      </c>
      <c r="M18" s="211" t="str">
        <f t="shared" si="35"/>
        <v>#REF!</v>
      </c>
      <c r="N18" s="211" t="str">
        <f t="shared" si="35"/>
        <v>#REF!</v>
      </c>
      <c r="O18" s="211" t="str">
        <f t="shared" si="35"/>
        <v>#REF!</v>
      </c>
      <c r="P18" s="211" t="str">
        <f t="shared" ref="P18:X18" si="36">#REF!</f>
        <v>#REF!</v>
      </c>
      <c r="Q18" s="211" t="str">
        <f t="shared" si="36"/>
        <v>#REF!</v>
      </c>
      <c r="R18" s="211" t="str">
        <f t="shared" si="36"/>
        <v>#REF!</v>
      </c>
      <c r="S18" s="211" t="str">
        <f t="shared" si="36"/>
        <v>#REF!</v>
      </c>
      <c r="T18" s="211" t="str">
        <f t="shared" si="36"/>
        <v>#REF!</v>
      </c>
      <c r="U18" s="211" t="str">
        <f t="shared" si="36"/>
        <v>#REF!</v>
      </c>
      <c r="V18" s="211" t="str">
        <f t="shared" si="36"/>
        <v>#REF!</v>
      </c>
      <c r="W18" s="211" t="str">
        <f t="shared" si="36"/>
        <v>#REF!</v>
      </c>
      <c r="X18" s="211" t="str">
        <f t="shared" si="36"/>
        <v>#REF!</v>
      </c>
    </row>
    <row r="19">
      <c r="A19" s="211" t="str">
        <f t="shared" ref="A19:O19" si="37">'Municipality Case Trends'!A23</f>
        <v>#REF!</v>
      </c>
      <c r="B19" s="211" t="str">
        <f t="shared" si="37"/>
        <v>#REF!</v>
      </c>
      <c r="C19" s="211" t="str">
        <f t="shared" si="37"/>
        <v>#REF!</v>
      </c>
      <c r="D19" s="211" t="str">
        <f t="shared" si="37"/>
        <v>#REF!</v>
      </c>
      <c r="E19" s="211" t="str">
        <f t="shared" si="37"/>
        <v>#REF!</v>
      </c>
      <c r="F19" s="211" t="str">
        <f t="shared" si="37"/>
        <v>#REF!</v>
      </c>
      <c r="G19" s="211" t="str">
        <f t="shared" si="37"/>
        <v>#REF!</v>
      </c>
      <c r="H19" s="211" t="str">
        <f t="shared" si="37"/>
        <v>#REF!</v>
      </c>
      <c r="I19" s="211" t="str">
        <f t="shared" si="37"/>
        <v>#REF!</v>
      </c>
      <c r="J19" s="211" t="str">
        <f t="shared" si="37"/>
        <v>#REF!</v>
      </c>
      <c r="K19" s="211" t="str">
        <f t="shared" si="37"/>
        <v>#REF!</v>
      </c>
      <c r="L19" s="211" t="str">
        <f t="shared" si="37"/>
        <v>#REF!</v>
      </c>
      <c r="M19" s="211" t="str">
        <f t="shared" si="37"/>
        <v>#REF!</v>
      </c>
      <c r="N19" s="211" t="str">
        <f t="shared" si="37"/>
        <v>#REF!</v>
      </c>
      <c r="O19" s="211" t="str">
        <f t="shared" si="37"/>
        <v>#REF!</v>
      </c>
      <c r="P19" s="211" t="str">
        <f t="shared" ref="P19:X19" si="38">#REF!</f>
        <v>#REF!</v>
      </c>
      <c r="Q19" s="211" t="str">
        <f t="shared" si="38"/>
        <v>#REF!</v>
      </c>
      <c r="R19" s="211" t="str">
        <f t="shared" si="38"/>
        <v>#REF!</v>
      </c>
      <c r="S19" s="211" t="str">
        <f t="shared" si="38"/>
        <v>#REF!</v>
      </c>
      <c r="T19" s="211" t="str">
        <f t="shared" si="38"/>
        <v>#REF!</v>
      </c>
      <c r="U19" s="211" t="str">
        <f t="shared" si="38"/>
        <v>#REF!</v>
      </c>
      <c r="V19" s="211" t="str">
        <f t="shared" si="38"/>
        <v>#REF!</v>
      </c>
      <c r="W19" s="211" t="str">
        <f t="shared" si="38"/>
        <v>#REF!</v>
      </c>
      <c r="X19" s="211" t="str">
        <f t="shared" si="38"/>
        <v>#REF!</v>
      </c>
    </row>
    <row r="20">
      <c r="A20" s="211" t="str">
        <f t="shared" ref="A20:O20" si="39">'Municipality Case Trends'!A24</f>
        <v>#REF!</v>
      </c>
      <c r="B20" s="211" t="str">
        <f t="shared" si="39"/>
        <v>#REF!</v>
      </c>
      <c r="C20" s="211" t="str">
        <f t="shared" si="39"/>
        <v>#REF!</v>
      </c>
      <c r="D20" s="211" t="str">
        <f t="shared" si="39"/>
        <v>#REF!</v>
      </c>
      <c r="E20" s="211" t="str">
        <f t="shared" si="39"/>
        <v>#REF!</v>
      </c>
      <c r="F20" s="211" t="str">
        <f t="shared" si="39"/>
        <v>#REF!</v>
      </c>
      <c r="G20" s="211" t="str">
        <f t="shared" si="39"/>
        <v>#REF!</v>
      </c>
      <c r="H20" s="211" t="str">
        <f t="shared" si="39"/>
        <v>#REF!</v>
      </c>
      <c r="I20" s="211" t="str">
        <f t="shared" si="39"/>
        <v>#REF!</v>
      </c>
      <c r="J20" s="211" t="str">
        <f t="shared" si="39"/>
        <v>#REF!</v>
      </c>
      <c r="K20" s="211" t="str">
        <f t="shared" si="39"/>
        <v>#REF!</v>
      </c>
      <c r="L20" s="211" t="str">
        <f t="shared" si="39"/>
        <v>#REF!</v>
      </c>
      <c r="M20" s="211" t="str">
        <f t="shared" si="39"/>
        <v>#REF!</v>
      </c>
      <c r="N20" s="211" t="str">
        <f t="shared" si="39"/>
        <v>#REF!</v>
      </c>
      <c r="O20" s="211" t="str">
        <f t="shared" si="39"/>
        <v>#REF!</v>
      </c>
      <c r="P20" s="211" t="str">
        <f t="shared" ref="P20:X20" si="40">#REF!</f>
        <v>#REF!</v>
      </c>
      <c r="Q20" s="211" t="str">
        <f t="shared" si="40"/>
        <v>#REF!</v>
      </c>
      <c r="R20" s="211" t="str">
        <f t="shared" si="40"/>
        <v>#REF!</v>
      </c>
      <c r="S20" s="211" t="str">
        <f t="shared" si="40"/>
        <v>#REF!</v>
      </c>
      <c r="T20" s="211" t="str">
        <f t="shared" si="40"/>
        <v>#REF!</v>
      </c>
      <c r="U20" s="211" t="str">
        <f t="shared" si="40"/>
        <v>#REF!</v>
      </c>
      <c r="V20" s="211" t="str">
        <f t="shared" si="40"/>
        <v>#REF!</v>
      </c>
      <c r="W20" s="211" t="str">
        <f t="shared" si="40"/>
        <v>#REF!</v>
      </c>
      <c r="X20" s="211" t="str">
        <f t="shared" si="40"/>
        <v>#REF!</v>
      </c>
    </row>
    <row r="21">
      <c r="A21" s="211" t="str">
        <f t="shared" ref="A21:O21" si="41">'Municipality Case Trends'!A25</f>
        <v>#REF!</v>
      </c>
      <c r="B21" s="211" t="str">
        <f t="shared" si="41"/>
        <v>#REF!</v>
      </c>
      <c r="C21" s="211" t="str">
        <f t="shared" si="41"/>
        <v>#REF!</v>
      </c>
      <c r="D21" s="211" t="str">
        <f t="shared" si="41"/>
        <v>#REF!</v>
      </c>
      <c r="E21" s="211" t="str">
        <f t="shared" si="41"/>
        <v>#REF!</v>
      </c>
      <c r="F21" s="211" t="str">
        <f t="shared" si="41"/>
        <v>#REF!</v>
      </c>
      <c r="G21" s="211" t="str">
        <f t="shared" si="41"/>
        <v>#REF!</v>
      </c>
      <c r="H21" s="211" t="str">
        <f t="shared" si="41"/>
        <v>#REF!</v>
      </c>
      <c r="I21" s="211" t="str">
        <f t="shared" si="41"/>
        <v>#REF!</v>
      </c>
      <c r="J21" s="211" t="str">
        <f t="shared" si="41"/>
        <v>#REF!</v>
      </c>
      <c r="K21" s="211" t="str">
        <f t="shared" si="41"/>
        <v>#REF!</v>
      </c>
      <c r="L21" s="211" t="str">
        <f t="shared" si="41"/>
        <v>#REF!</v>
      </c>
      <c r="M21" s="211" t="str">
        <f t="shared" si="41"/>
        <v>#REF!</v>
      </c>
      <c r="N21" s="211" t="str">
        <f t="shared" si="41"/>
        <v>#REF!</v>
      </c>
      <c r="O21" s="211" t="str">
        <f t="shared" si="41"/>
        <v>#REF!</v>
      </c>
      <c r="P21" s="211" t="str">
        <f t="shared" ref="P21:X21" si="42">#REF!</f>
        <v>#REF!</v>
      </c>
      <c r="Q21" s="211" t="str">
        <f t="shared" si="42"/>
        <v>#REF!</v>
      </c>
      <c r="R21" s="211" t="str">
        <f t="shared" si="42"/>
        <v>#REF!</v>
      </c>
      <c r="S21" s="211" t="str">
        <f t="shared" si="42"/>
        <v>#REF!</v>
      </c>
      <c r="T21" s="211" t="str">
        <f t="shared" si="42"/>
        <v>#REF!</v>
      </c>
      <c r="U21" s="211" t="str">
        <f t="shared" si="42"/>
        <v>#REF!</v>
      </c>
      <c r="V21" s="211" t="str">
        <f t="shared" si="42"/>
        <v>#REF!</v>
      </c>
      <c r="W21" s="211" t="str">
        <f t="shared" si="42"/>
        <v>#REF!</v>
      </c>
      <c r="X21" s="211" t="str">
        <f t="shared" si="42"/>
        <v>#REF!</v>
      </c>
    </row>
    <row r="22">
      <c r="A22" s="211" t="str">
        <f t="shared" ref="A22:O22" si="43">'Municipality Case Trends'!A26</f>
        <v>#REF!</v>
      </c>
      <c r="B22" s="211" t="str">
        <f t="shared" si="43"/>
        <v>#REF!</v>
      </c>
      <c r="C22" s="211" t="str">
        <f t="shared" si="43"/>
        <v>#REF!</v>
      </c>
      <c r="D22" s="211" t="str">
        <f t="shared" si="43"/>
        <v>#REF!</v>
      </c>
      <c r="E22" s="211" t="str">
        <f t="shared" si="43"/>
        <v>#REF!</v>
      </c>
      <c r="F22" s="211" t="str">
        <f t="shared" si="43"/>
        <v>#REF!</v>
      </c>
      <c r="G22" s="211" t="str">
        <f t="shared" si="43"/>
        <v>#REF!</v>
      </c>
      <c r="H22" s="211" t="str">
        <f t="shared" si="43"/>
        <v>#REF!</v>
      </c>
      <c r="I22" s="211" t="str">
        <f t="shared" si="43"/>
        <v>#REF!</v>
      </c>
      <c r="J22" s="211" t="str">
        <f t="shared" si="43"/>
        <v>#REF!</v>
      </c>
      <c r="K22" s="211" t="str">
        <f t="shared" si="43"/>
        <v>#REF!</v>
      </c>
      <c r="L22" s="211" t="str">
        <f t="shared" si="43"/>
        <v>#REF!</v>
      </c>
      <c r="M22" s="211" t="str">
        <f t="shared" si="43"/>
        <v>#REF!</v>
      </c>
      <c r="N22" s="211" t="str">
        <f t="shared" si="43"/>
        <v>#REF!</v>
      </c>
      <c r="O22" s="211" t="str">
        <f t="shared" si="43"/>
        <v>#REF!</v>
      </c>
      <c r="P22" s="211" t="str">
        <f t="shared" ref="P22:X22" si="44">#REF!</f>
        <v>#REF!</v>
      </c>
      <c r="Q22" s="211" t="str">
        <f t="shared" si="44"/>
        <v>#REF!</v>
      </c>
      <c r="R22" s="211" t="str">
        <f t="shared" si="44"/>
        <v>#REF!</v>
      </c>
      <c r="S22" s="211" t="str">
        <f t="shared" si="44"/>
        <v>#REF!</v>
      </c>
      <c r="T22" s="211" t="str">
        <f t="shared" si="44"/>
        <v>#REF!</v>
      </c>
      <c r="U22" s="211" t="str">
        <f t="shared" si="44"/>
        <v>#REF!</v>
      </c>
      <c r="V22" s="211" t="str">
        <f t="shared" si="44"/>
        <v>#REF!</v>
      </c>
      <c r="W22" s="211" t="str">
        <f t="shared" si="44"/>
        <v>#REF!</v>
      </c>
      <c r="X22" s="211" t="str">
        <f t="shared" si="44"/>
        <v>#REF!</v>
      </c>
    </row>
    <row r="23">
      <c r="A23" s="211" t="str">
        <f t="shared" ref="A23:O23" si="45">'Municipality Case Trends'!A27</f>
        <v>#REF!</v>
      </c>
      <c r="B23" s="211" t="str">
        <f t="shared" si="45"/>
        <v>#REF!</v>
      </c>
      <c r="C23" s="211" t="str">
        <f t="shared" si="45"/>
        <v>#REF!</v>
      </c>
      <c r="D23" s="211" t="str">
        <f t="shared" si="45"/>
        <v>#REF!</v>
      </c>
      <c r="E23" s="211" t="str">
        <f t="shared" si="45"/>
        <v>#REF!</v>
      </c>
      <c r="F23" s="211" t="str">
        <f t="shared" si="45"/>
        <v>#REF!</v>
      </c>
      <c r="G23" s="211" t="str">
        <f t="shared" si="45"/>
        <v>#REF!</v>
      </c>
      <c r="H23" s="211" t="str">
        <f t="shared" si="45"/>
        <v>#REF!</v>
      </c>
      <c r="I23" s="211" t="str">
        <f t="shared" si="45"/>
        <v>#REF!</v>
      </c>
      <c r="J23" s="211" t="str">
        <f t="shared" si="45"/>
        <v>#REF!</v>
      </c>
      <c r="K23" s="211" t="str">
        <f t="shared" si="45"/>
        <v>#REF!</v>
      </c>
      <c r="L23" s="211" t="str">
        <f t="shared" si="45"/>
        <v>#REF!</v>
      </c>
      <c r="M23" s="211" t="str">
        <f t="shared" si="45"/>
        <v>#REF!</v>
      </c>
      <c r="N23" s="211" t="str">
        <f t="shared" si="45"/>
        <v>#REF!</v>
      </c>
      <c r="O23" s="211" t="str">
        <f t="shared" si="45"/>
        <v>#REF!</v>
      </c>
      <c r="P23" s="211" t="str">
        <f t="shared" ref="P23:X23" si="46">#REF!</f>
        <v>#REF!</v>
      </c>
      <c r="Q23" s="211" t="str">
        <f t="shared" si="46"/>
        <v>#REF!</v>
      </c>
      <c r="R23" s="211" t="str">
        <f t="shared" si="46"/>
        <v>#REF!</v>
      </c>
      <c r="S23" s="211" t="str">
        <f t="shared" si="46"/>
        <v>#REF!</v>
      </c>
      <c r="T23" s="211" t="str">
        <f t="shared" si="46"/>
        <v>#REF!</v>
      </c>
      <c r="U23" s="211" t="str">
        <f t="shared" si="46"/>
        <v>#REF!</v>
      </c>
      <c r="V23" s="211" t="str">
        <f t="shared" si="46"/>
        <v>#REF!</v>
      </c>
      <c r="W23" s="211" t="str">
        <f t="shared" si="46"/>
        <v>#REF!</v>
      </c>
      <c r="X23" s="211" t="str">
        <f t="shared" si="46"/>
        <v>#REF!</v>
      </c>
    </row>
    <row r="24">
      <c r="A24" s="211" t="str">
        <f t="shared" ref="A24:O24" si="47">'Municipality Case Trends'!A28</f>
        <v>#REF!</v>
      </c>
      <c r="B24" s="211" t="str">
        <f t="shared" si="47"/>
        <v>#REF!</v>
      </c>
      <c r="C24" s="211" t="str">
        <f t="shared" si="47"/>
        <v>#REF!</v>
      </c>
      <c r="D24" s="211" t="str">
        <f t="shared" si="47"/>
        <v>#REF!</v>
      </c>
      <c r="E24" s="211" t="str">
        <f t="shared" si="47"/>
        <v>#REF!</v>
      </c>
      <c r="F24" s="211" t="str">
        <f t="shared" si="47"/>
        <v>#REF!</v>
      </c>
      <c r="G24" s="211" t="str">
        <f t="shared" si="47"/>
        <v>#REF!</v>
      </c>
      <c r="H24" s="211" t="str">
        <f t="shared" si="47"/>
        <v>#REF!</v>
      </c>
      <c r="I24" s="211" t="str">
        <f t="shared" si="47"/>
        <v>#REF!</v>
      </c>
      <c r="J24" s="211" t="str">
        <f t="shared" si="47"/>
        <v>#REF!</v>
      </c>
      <c r="K24" s="211" t="str">
        <f t="shared" si="47"/>
        <v>#REF!</v>
      </c>
      <c r="L24" s="211" t="str">
        <f t="shared" si="47"/>
        <v>#REF!</v>
      </c>
      <c r="M24" s="211" t="str">
        <f t="shared" si="47"/>
        <v>#REF!</v>
      </c>
      <c r="N24" s="211" t="str">
        <f t="shared" si="47"/>
        <v>#REF!</v>
      </c>
      <c r="O24" s="211" t="str">
        <f t="shared" si="47"/>
        <v>#REF!</v>
      </c>
      <c r="P24" s="211" t="str">
        <f t="shared" ref="P24:X24" si="48">#REF!</f>
        <v>#REF!</v>
      </c>
      <c r="Q24" s="211" t="str">
        <f t="shared" si="48"/>
        <v>#REF!</v>
      </c>
      <c r="R24" s="211" t="str">
        <f t="shared" si="48"/>
        <v>#REF!</v>
      </c>
      <c r="S24" s="211" t="str">
        <f t="shared" si="48"/>
        <v>#REF!</v>
      </c>
      <c r="T24" s="211" t="str">
        <f t="shared" si="48"/>
        <v>#REF!</v>
      </c>
      <c r="U24" s="211" t="str">
        <f t="shared" si="48"/>
        <v>#REF!</v>
      </c>
      <c r="V24" s="211" t="str">
        <f t="shared" si="48"/>
        <v>#REF!</v>
      </c>
      <c r="W24" s="211" t="str">
        <f t="shared" si="48"/>
        <v>#REF!</v>
      </c>
      <c r="X24" s="211" t="str">
        <f t="shared" si="48"/>
        <v>#REF!</v>
      </c>
    </row>
    <row r="25">
      <c r="A25" s="211" t="str">
        <f t="shared" ref="A25:O25" si="49">'Municipality Case Trends'!A29</f>
        <v>#REF!</v>
      </c>
      <c r="B25" s="211" t="str">
        <f t="shared" si="49"/>
        <v>#REF!</v>
      </c>
      <c r="C25" s="211" t="str">
        <f t="shared" si="49"/>
        <v>#REF!</v>
      </c>
      <c r="D25" s="211" t="str">
        <f t="shared" si="49"/>
        <v>#REF!</v>
      </c>
      <c r="E25" s="211" t="str">
        <f t="shared" si="49"/>
        <v>#REF!</v>
      </c>
      <c r="F25" s="211" t="str">
        <f t="shared" si="49"/>
        <v>#REF!</v>
      </c>
      <c r="G25" s="211" t="str">
        <f t="shared" si="49"/>
        <v>#REF!</v>
      </c>
      <c r="H25" s="211" t="str">
        <f t="shared" si="49"/>
        <v>#REF!</v>
      </c>
      <c r="I25" s="211" t="str">
        <f t="shared" si="49"/>
        <v>#REF!</v>
      </c>
      <c r="J25" s="211" t="str">
        <f t="shared" si="49"/>
        <v>#REF!</v>
      </c>
      <c r="K25" s="211" t="str">
        <f t="shared" si="49"/>
        <v>#REF!</v>
      </c>
      <c r="L25" s="211" t="str">
        <f t="shared" si="49"/>
        <v>#REF!</v>
      </c>
      <c r="M25" s="211" t="str">
        <f t="shared" si="49"/>
        <v>#REF!</v>
      </c>
      <c r="N25" s="211" t="str">
        <f t="shared" si="49"/>
        <v>#REF!</v>
      </c>
      <c r="O25" s="211" t="str">
        <f t="shared" si="49"/>
        <v>#REF!</v>
      </c>
      <c r="P25" s="211" t="str">
        <f t="shared" ref="P25:X25" si="50">#REF!</f>
        <v>#REF!</v>
      </c>
      <c r="Q25" s="211" t="str">
        <f t="shared" si="50"/>
        <v>#REF!</v>
      </c>
      <c r="R25" s="211" t="str">
        <f t="shared" si="50"/>
        <v>#REF!</v>
      </c>
      <c r="S25" s="211" t="str">
        <f t="shared" si="50"/>
        <v>#REF!</v>
      </c>
      <c r="T25" s="211" t="str">
        <f t="shared" si="50"/>
        <v>#REF!</v>
      </c>
      <c r="U25" s="211" t="str">
        <f t="shared" si="50"/>
        <v>#REF!</v>
      </c>
      <c r="V25" s="211" t="str">
        <f t="shared" si="50"/>
        <v>#REF!</v>
      </c>
      <c r="W25" s="211" t="str">
        <f t="shared" si="50"/>
        <v>#REF!</v>
      </c>
      <c r="X25" s="211" t="str">
        <f t="shared" si="50"/>
        <v>#REF!</v>
      </c>
    </row>
    <row r="26">
      <c r="A26" s="211" t="str">
        <f t="shared" ref="A26:O26" si="51">'Municipality Case Trends'!A30</f>
        <v>#REF!</v>
      </c>
      <c r="B26" s="211" t="str">
        <f t="shared" si="51"/>
        <v>#REF!</v>
      </c>
      <c r="C26" s="211" t="str">
        <f t="shared" si="51"/>
        <v>#REF!</v>
      </c>
      <c r="D26" s="211" t="str">
        <f t="shared" si="51"/>
        <v>#REF!</v>
      </c>
      <c r="E26" s="211" t="str">
        <f t="shared" si="51"/>
        <v>#REF!</v>
      </c>
      <c r="F26" s="211" t="str">
        <f t="shared" si="51"/>
        <v>#REF!</v>
      </c>
      <c r="G26" s="211" t="str">
        <f t="shared" si="51"/>
        <v>#REF!</v>
      </c>
      <c r="H26" s="211" t="str">
        <f t="shared" si="51"/>
        <v>#REF!</v>
      </c>
      <c r="I26" s="211" t="str">
        <f t="shared" si="51"/>
        <v>#REF!</v>
      </c>
      <c r="J26" s="211" t="str">
        <f t="shared" si="51"/>
        <v>#REF!</v>
      </c>
      <c r="K26" s="211" t="str">
        <f t="shared" si="51"/>
        <v>#REF!</v>
      </c>
      <c r="L26" s="211" t="str">
        <f t="shared" si="51"/>
        <v>#REF!</v>
      </c>
      <c r="M26" s="211" t="str">
        <f t="shared" si="51"/>
        <v>#REF!</v>
      </c>
      <c r="N26" s="211" t="str">
        <f t="shared" si="51"/>
        <v>#REF!</v>
      </c>
      <c r="O26" s="211" t="str">
        <f t="shared" si="51"/>
        <v>#REF!</v>
      </c>
      <c r="P26" s="211" t="str">
        <f t="shared" ref="P26:X26" si="52">#REF!</f>
        <v>#REF!</v>
      </c>
      <c r="Q26" s="211" t="str">
        <f t="shared" si="52"/>
        <v>#REF!</v>
      </c>
      <c r="R26" s="211" t="str">
        <f t="shared" si="52"/>
        <v>#REF!</v>
      </c>
      <c r="S26" s="211" t="str">
        <f t="shared" si="52"/>
        <v>#REF!</v>
      </c>
      <c r="T26" s="211" t="str">
        <f t="shared" si="52"/>
        <v>#REF!</v>
      </c>
      <c r="U26" s="211" t="str">
        <f t="shared" si="52"/>
        <v>#REF!</v>
      </c>
      <c r="V26" s="211" t="str">
        <f t="shared" si="52"/>
        <v>#REF!</v>
      </c>
      <c r="W26" s="211" t="str">
        <f t="shared" si="52"/>
        <v>#REF!</v>
      </c>
      <c r="X26" s="211" t="str">
        <f t="shared" si="52"/>
        <v>#REF!</v>
      </c>
    </row>
    <row r="27">
      <c r="A27" s="211" t="str">
        <f t="shared" ref="A27:O27" si="53">'Municipality Case Trends'!A31</f>
        <v>#REF!</v>
      </c>
      <c r="B27" s="211" t="str">
        <f t="shared" si="53"/>
        <v>#REF!</v>
      </c>
      <c r="C27" s="211" t="str">
        <f t="shared" si="53"/>
        <v>#REF!</v>
      </c>
      <c r="D27" s="211" t="str">
        <f t="shared" si="53"/>
        <v>#REF!</v>
      </c>
      <c r="E27" s="211" t="str">
        <f t="shared" si="53"/>
        <v>#REF!</v>
      </c>
      <c r="F27" s="211" t="str">
        <f t="shared" si="53"/>
        <v>#REF!</v>
      </c>
      <c r="G27" s="211" t="str">
        <f t="shared" si="53"/>
        <v>#REF!</v>
      </c>
      <c r="H27" s="211" t="str">
        <f t="shared" si="53"/>
        <v>#REF!</v>
      </c>
      <c r="I27" s="211" t="str">
        <f t="shared" si="53"/>
        <v>#REF!</v>
      </c>
      <c r="J27" s="211" t="str">
        <f t="shared" si="53"/>
        <v>#REF!</v>
      </c>
      <c r="K27" s="211" t="str">
        <f t="shared" si="53"/>
        <v>#REF!</v>
      </c>
      <c r="L27" s="211" t="str">
        <f t="shared" si="53"/>
        <v>#REF!</v>
      </c>
      <c r="M27" s="211" t="str">
        <f t="shared" si="53"/>
        <v>#REF!</v>
      </c>
      <c r="N27" s="211" t="str">
        <f t="shared" si="53"/>
        <v>#REF!</v>
      </c>
      <c r="O27" s="211" t="str">
        <f t="shared" si="53"/>
        <v>#REF!</v>
      </c>
      <c r="P27" s="211" t="str">
        <f t="shared" ref="P27:X27" si="54">#REF!</f>
        <v>#REF!</v>
      </c>
      <c r="Q27" s="211" t="str">
        <f t="shared" si="54"/>
        <v>#REF!</v>
      </c>
      <c r="R27" s="211" t="str">
        <f t="shared" si="54"/>
        <v>#REF!</v>
      </c>
      <c r="S27" s="211" t="str">
        <f t="shared" si="54"/>
        <v>#REF!</v>
      </c>
      <c r="T27" s="211" t="str">
        <f t="shared" si="54"/>
        <v>#REF!</v>
      </c>
      <c r="U27" s="211" t="str">
        <f t="shared" si="54"/>
        <v>#REF!</v>
      </c>
      <c r="V27" s="211" t="str">
        <f t="shared" si="54"/>
        <v>#REF!</v>
      </c>
      <c r="W27" s="211" t="str">
        <f t="shared" si="54"/>
        <v>#REF!</v>
      </c>
      <c r="X27" s="211" t="str">
        <f t="shared" si="54"/>
        <v>#REF!</v>
      </c>
    </row>
    <row r="28">
      <c r="A28" s="211" t="str">
        <f t="shared" ref="A28:O28" si="55">'Municipality Case Trends'!A32</f>
        <v>#REF!</v>
      </c>
      <c r="B28" s="211" t="str">
        <f t="shared" si="55"/>
        <v>#REF!</v>
      </c>
      <c r="C28" s="211" t="str">
        <f t="shared" si="55"/>
        <v>#REF!</v>
      </c>
      <c r="D28" s="211" t="str">
        <f t="shared" si="55"/>
        <v>#REF!</v>
      </c>
      <c r="E28" s="211" t="str">
        <f t="shared" si="55"/>
        <v>#REF!</v>
      </c>
      <c r="F28" s="211" t="str">
        <f t="shared" si="55"/>
        <v>#REF!</v>
      </c>
      <c r="G28" s="211" t="str">
        <f t="shared" si="55"/>
        <v>#REF!</v>
      </c>
      <c r="H28" s="211" t="str">
        <f t="shared" si="55"/>
        <v>#REF!</v>
      </c>
      <c r="I28" s="211" t="str">
        <f t="shared" si="55"/>
        <v>#REF!</v>
      </c>
      <c r="J28" s="211" t="str">
        <f t="shared" si="55"/>
        <v>#REF!</v>
      </c>
      <c r="K28" s="211" t="str">
        <f t="shared" si="55"/>
        <v>#REF!</v>
      </c>
      <c r="L28" s="211" t="str">
        <f t="shared" si="55"/>
        <v>#REF!</v>
      </c>
      <c r="M28" s="211" t="str">
        <f t="shared" si="55"/>
        <v>#REF!</v>
      </c>
      <c r="N28" s="211" t="str">
        <f t="shared" si="55"/>
        <v>#REF!</v>
      </c>
      <c r="O28" s="211" t="str">
        <f t="shared" si="55"/>
        <v>#REF!</v>
      </c>
      <c r="P28" s="211" t="str">
        <f t="shared" ref="P28:X28" si="56">#REF!</f>
        <v>#REF!</v>
      </c>
      <c r="Q28" s="211" t="str">
        <f t="shared" si="56"/>
        <v>#REF!</v>
      </c>
      <c r="R28" s="211" t="str">
        <f t="shared" si="56"/>
        <v>#REF!</v>
      </c>
      <c r="S28" s="211" t="str">
        <f t="shared" si="56"/>
        <v>#REF!</v>
      </c>
      <c r="T28" s="211" t="str">
        <f t="shared" si="56"/>
        <v>#REF!</v>
      </c>
      <c r="U28" s="211" t="str">
        <f t="shared" si="56"/>
        <v>#REF!</v>
      </c>
      <c r="V28" s="211" t="str">
        <f t="shared" si="56"/>
        <v>#REF!</v>
      </c>
      <c r="W28" s="211" t="str">
        <f t="shared" si="56"/>
        <v>#REF!</v>
      </c>
      <c r="X28" s="211" t="str">
        <f t="shared" si="56"/>
        <v>#REF!</v>
      </c>
    </row>
    <row r="29">
      <c r="A29" s="211" t="str">
        <f t="shared" ref="A29:O29" si="57">'Municipality Case Trends'!A33</f>
        <v>#REF!</v>
      </c>
      <c r="B29" s="211" t="str">
        <f t="shared" si="57"/>
        <v>#REF!</v>
      </c>
      <c r="C29" s="211" t="str">
        <f t="shared" si="57"/>
        <v>#REF!</v>
      </c>
      <c r="D29" s="211" t="str">
        <f t="shared" si="57"/>
        <v>#REF!</v>
      </c>
      <c r="E29" s="211" t="str">
        <f t="shared" si="57"/>
        <v>#REF!</v>
      </c>
      <c r="F29" s="211" t="str">
        <f t="shared" si="57"/>
        <v>#REF!</v>
      </c>
      <c r="G29" s="211" t="str">
        <f t="shared" si="57"/>
        <v>#REF!</v>
      </c>
      <c r="H29" s="211" t="str">
        <f t="shared" si="57"/>
        <v>#REF!</v>
      </c>
      <c r="I29" s="211" t="str">
        <f t="shared" si="57"/>
        <v>#REF!</v>
      </c>
      <c r="J29" s="211" t="str">
        <f t="shared" si="57"/>
        <v>#REF!</v>
      </c>
      <c r="K29" s="211" t="str">
        <f t="shared" si="57"/>
        <v>#REF!</v>
      </c>
      <c r="L29" s="211" t="str">
        <f t="shared" si="57"/>
        <v>#REF!</v>
      </c>
      <c r="M29" s="211" t="str">
        <f t="shared" si="57"/>
        <v>#REF!</v>
      </c>
      <c r="N29" s="211" t="str">
        <f t="shared" si="57"/>
        <v>#REF!</v>
      </c>
      <c r="O29" s="211" t="str">
        <f t="shared" si="57"/>
        <v>#REF!</v>
      </c>
      <c r="P29" s="211" t="str">
        <f t="shared" ref="P29:X29" si="58">#REF!</f>
        <v>#REF!</v>
      </c>
      <c r="Q29" s="211" t="str">
        <f t="shared" si="58"/>
        <v>#REF!</v>
      </c>
      <c r="R29" s="211" t="str">
        <f t="shared" si="58"/>
        <v>#REF!</v>
      </c>
      <c r="S29" s="211" t="str">
        <f t="shared" si="58"/>
        <v>#REF!</v>
      </c>
      <c r="T29" s="211" t="str">
        <f t="shared" si="58"/>
        <v>#REF!</v>
      </c>
      <c r="U29" s="211" t="str">
        <f t="shared" si="58"/>
        <v>#REF!</v>
      </c>
      <c r="V29" s="211" t="str">
        <f t="shared" si="58"/>
        <v>#REF!</v>
      </c>
      <c r="W29" s="211" t="str">
        <f t="shared" si="58"/>
        <v>#REF!</v>
      </c>
      <c r="X29" s="211" t="str">
        <f t="shared" si="58"/>
        <v>#REF!</v>
      </c>
    </row>
    <row r="30">
      <c r="A30" s="211" t="str">
        <f t="shared" ref="A30:O30" si="59">'Municipality Case Trends'!A34</f>
        <v>#REF!</v>
      </c>
      <c r="B30" s="211" t="str">
        <f t="shared" si="59"/>
        <v>#REF!</v>
      </c>
      <c r="C30" s="211" t="str">
        <f t="shared" si="59"/>
        <v>#REF!</v>
      </c>
      <c r="D30" s="211" t="str">
        <f t="shared" si="59"/>
        <v>#REF!</v>
      </c>
      <c r="E30" s="211" t="str">
        <f t="shared" si="59"/>
        <v>#REF!</v>
      </c>
      <c r="F30" s="211" t="str">
        <f t="shared" si="59"/>
        <v>#REF!</v>
      </c>
      <c r="G30" s="211" t="str">
        <f t="shared" si="59"/>
        <v>#REF!</v>
      </c>
      <c r="H30" s="211" t="str">
        <f t="shared" si="59"/>
        <v>#REF!</v>
      </c>
      <c r="I30" s="211" t="str">
        <f t="shared" si="59"/>
        <v>#REF!</v>
      </c>
      <c r="J30" s="211" t="str">
        <f t="shared" si="59"/>
        <v>#REF!</v>
      </c>
      <c r="K30" s="211" t="str">
        <f t="shared" si="59"/>
        <v>#REF!</v>
      </c>
      <c r="L30" s="211" t="str">
        <f t="shared" si="59"/>
        <v>#REF!</v>
      </c>
      <c r="M30" s="211" t="str">
        <f t="shared" si="59"/>
        <v>#REF!</v>
      </c>
      <c r="N30" s="211" t="str">
        <f t="shared" si="59"/>
        <v>#REF!</v>
      </c>
      <c r="O30" s="211" t="str">
        <f t="shared" si="59"/>
        <v>#REF!</v>
      </c>
      <c r="P30" s="211" t="str">
        <f t="shared" ref="P30:X30" si="60">#REF!</f>
        <v>#REF!</v>
      </c>
      <c r="Q30" s="211" t="str">
        <f t="shared" si="60"/>
        <v>#REF!</v>
      </c>
      <c r="R30" s="211" t="str">
        <f t="shared" si="60"/>
        <v>#REF!</v>
      </c>
      <c r="S30" s="211" t="str">
        <f t="shared" si="60"/>
        <v>#REF!</v>
      </c>
      <c r="T30" s="211" t="str">
        <f t="shared" si="60"/>
        <v>#REF!</v>
      </c>
      <c r="U30" s="211" t="str">
        <f t="shared" si="60"/>
        <v>#REF!</v>
      </c>
      <c r="V30" s="211" t="str">
        <f t="shared" si="60"/>
        <v>#REF!</v>
      </c>
      <c r="W30" s="211" t="str">
        <f t="shared" si="60"/>
        <v>#REF!</v>
      </c>
      <c r="X30" s="211" t="str">
        <f t="shared" si="60"/>
        <v>#REF!</v>
      </c>
    </row>
    <row r="31">
      <c r="A31" s="211" t="str">
        <f t="shared" ref="A31:O31" si="61">'Municipality Case Trends'!A35</f>
        <v>#REF!</v>
      </c>
      <c r="B31" s="211" t="str">
        <f t="shared" si="61"/>
        <v>#REF!</v>
      </c>
      <c r="C31" s="211" t="str">
        <f t="shared" si="61"/>
        <v>#REF!</v>
      </c>
      <c r="D31" s="211" t="str">
        <f t="shared" si="61"/>
        <v>#REF!</v>
      </c>
      <c r="E31" s="211" t="str">
        <f t="shared" si="61"/>
        <v>#REF!</v>
      </c>
      <c r="F31" s="211" t="str">
        <f t="shared" si="61"/>
        <v>#REF!</v>
      </c>
      <c r="G31" s="211" t="str">
        <f t="shared" si="61"/>
        <v>#REF!</v>
      </c>
      <c r="H31" s="211" t="str">
        <f t="shared" si="61"/>
        <v>#REF!</v>
      </c>
      <c r="I31" s="211" t="str">
        <f t="shared" si="61"/>
        <v>#REF!</v>
      </c>
      <c r="J31" s="211" t="str">
        <f t="shared" si="61"/>
        <v>#REF!</v>
      </c>
      <c r="K31" s="211" t="str">
        <f t="shared" si="61"/>
        <v>#REF!</v>
      </c>
      <c r="L31" s="211" t="str">
        <f t="shared" si="61"/>
        <v>#REF!</v>
      </c>
      <c r="M31" s="211" t="str">
        <f t="shared" si="61"/>
        <v>#REF!</v>
      </c>
      <c r="N31" s="211" t="str">
        <f t="shared" si="61"/>
        <v>#REF!</v>
      </c>
      <c r="O31" s="211" t="str">
        <f t="shared" si="61"/>
        <v>#REF!</v>
      </c>
      <c r="P31" s="211" t="str">
        <f t="shared" ref="P31:X31" si="62">#REF!</f>
        <v>#REF!</v>
      </c>
      <c r="Q31" s="211" t="str">
        <f t="shared" si="62"/>
        <v>#REF!</v>
      </c>
      <c r="R31" s="211" t="str">
        <f t="shared" si="62"/>
        <v>#REF!</v>
      </c>
      <c r="S31" s="211" t="str">
        <f t="shared" si="62"/>
        <v>#REF!</v>
      </c>
      <c r="T31" s="211" t="str">
        <f t="shared" si="62"/>
        <v>#REF!</v>
      </c>
      <c r="U31" s="211" t="str">
        <f t="shared" si="62"/>
        <v>#REF!</v>
      </c>
      <c r="V31" s="211" t="str">
        <f t="shared" si="62"/>
        <v>#REF!</v>
      </c>
      <c r="W31" s="211" t="str">
        <f t="shared" si="62"/>
        <v>#REF!</v>
      </c>
      <c r="X31" s="211" t="str">
        <f t="shared" si="62"/>
        <v>#REF!</v>
      </c>
    </row>
    <row r="32">
      <c r="A32" s="211" t="str">
        <f t="shared" ref="A32:O32" si="63">'Municipality Case Trends'!A36</f>
        <v>#REF!</v>
      </c>
      <c r="B32" s="211" t="str">
        <f t="shared" si="63"/>
        <v>#REF!</v>
      </c>
      <c r="C32" s="211" t="str">
        <f t="shared" si="63"/>
        <v>#REF!</v>
      </c>
      <c r="D32" s="211" t="str">
        <f t="shared" si="63"/>
        <v>#REF!</v>
      </c>
      <c r="E32" s="211" t="str">
        <f t="shared" si="63"/>
        <v>#REF!</v>
      </c>
      <c r="F32" s="211" t="str">
        <f t="shared" si="63"/>
        <v>#REF!</v>
      </c>
      <c r="G32" s="211" t="str">
        <f t="shared" si="63"/>
        <v>#REF!</v>
      </c>
      <c r="H32" s="211" t="str">
        <f t="shared" si="63"/>
        <v>#REF!</v>
      </c>
      <c r="I32" s="211" t="str">
        <f t="shared" si="63"/>
        <v>#REF!</v>
      </c>
      <c r="J32" s="211" t="str">
        <f t="shared" si="63"/>
        <v>#REF!</v>
      </c>
      <c r="K32" s="211" t="str">
        <f t="shared" si="63"/>
        <v>#REF!</v>
      </c>
      <c r="L32" s="211" t="str">
        <f t="shared" si="63"/>
        <v>#REF!</v>
      </c>
      <c r="M32" s="211" t="str">
        <f t="shared" si="63"/>
        <v>#REF!</v>
      </c>
      <c r="N32" s="211" t="str">
        <f t="shared" si="63"/>
        <v>#REF!</v>
      </c>
      <c r="O32" s="211" t="str">
        <f t="shared" si="63"/>
        <v>#REF!</v>
      </c>
      <c r="P32" s="211" t="str">
        <f t="shared" ref="P32:X32" si="64">#REF!</f>
        <v>#REF!</v>
      </c>
      <c r="Q32" s="211" t="str">
        <f t="shared" si="64"/>
        <v>#REF!</v>
      </c>
      <c r="R32" s="211" t="str">
        <f t="shared" si="64"/>
        <v>#REF!</v>
      </c>
      <c r="S32" s="211" t="str">
        <f t="shared" si="64"/>
        <v>#REF!</v>
      </c>
      <c r="T32" s="211" t="str">
        <f t="shared" si="64"/>
        <v>#REF!</v>
      </c>
      <c r="U32" s="211" t="str">
        <f t="shared" si="64"/>
        <v>#REF!</v>
      </c>
      <c r="V32" s="211" t="str">
        <f t="shared" si="64"/>
        <v>#REF!</v>
      </c>
      <c r="W32" s="211" t="str">
        <f t="shared" si="64"/>
        <v>#REF!</v>
      </c>
      <c r="X32" s="211" t="str">
        <f t="shared" si="64"/>
        <v>#REF!</v>
      </c>
    </row>
    <row r="33">
      <c r="A33" s="211" t="str">
        <f t="shared" ref="A33:O33" si="65">'Municipality Case Trends'!A37</f>
        <v>#REF!</v>
      </c>
      <c r="B33" s="211" t="str">
        <f t="shared" si="65"/>
        <v>#REF!</v>
      </c>
      <c r="C33" s="211" t="str">
        <f t="shared" si="65"/>
        <v>#REF!</v>
      </c>
      <c r="D33" s="211" t="str">
        <f t="shared" si="65"/>
        <v>#REF!</v>
      </c>
      <c r="E33" s="211" t="str">
        <f t="shared" si="65"/>
        <v>#REF!</v>
      </c>
      <c r="F33" s="211" t="str">
        <f t="shared" si="65"/>
        <v>#REF!</v>
      </c>
      <c r="G33" s="211" t="str">
        <f t="shared" si="65"/>
        <v>#REF!</v>
      </c>
      <c r="H33" s="211" t="str">
        <f t="shared" si="65"/>
        <v>#REF!</v>
      </c>
      <c r="I33" s="211" t="str">
        <f t="shared" si="65"/>
        <v>#REF!</v>
      </c>
      <c r="J33" s="211" t="str">
        <f t="shared" si="65"/>
        <v>#REF!</v>
      </c>
      <c r="K33" s="211" t="str">
        <f t="shared" si="65"/>
        <v>#REF!</v>
      </c>
      <c r="L33" s="211" t="str">
        <f t="shared" si="65"/>
        <v>#REF!</v>
      </c>
      <c r="M33" s="211" t="str">
        <f t="shared" si="65"/>
        <v>#REF!</v>
      </c>
      <c r="N33" s="211" t="str">
        <f t="shared" si="65"/>
        <v>#REF!</v>
      </c>
      <c r="O33" s="211" t="str">
        <f t="shared" si="65"/>
        <v>#REF!</v>
      </c>
      <c r="P33" s="211" t="str">
        <f t="shared" ref="P33:X33" si="66">#REF!</f>
        <v>#REF!</v>
      </c>
      <c r="Q33" s="211" t="str">
        <f t="shared" si="66"/>
        <v>#REF!</v>
      </c>
      <c r="R33" s="211" t="str">
        <f t="shared" si="66"/>
        <v>#REF!</v>
      </c>
      <c r="S33" s="211" t="str">
        <f t="shared" si="66"/>
        <v>#REF!</v>
      </c>
      <c r="T33" s="211" t="str">
        <f t="shared" si="66"/>
        <v>#REF!</v>
      </c>
      <c r="U33" s="211" t="str">
        <f t="shared" si="66"/>
        <v>#REF!</v>
      </c>
      <c r="V33" s="211" t="str">
        <f t="shared" si="66"/>
        <v>#REF!</v>
      </c>
      <c r="W33" s="211" t="str">
        <f t="shared" si="66"/>
        <v>#REF!</v>
      </c>
      <c r="X33" s="211" t="str">
        <f t="shared" si="66"/>
        <v>#REF!</v>
      </c>
    </row>
    <row r="34">
      <c r="A34" s="211" t="str">
        <f t="shared" ref="A34:O34" si="67">'Municipality Case Trends'!A38</f>
        <v>#REF!</v>
      </c>
      <c r="B34" s="211" t="str">
        <f t="shared" si="67"/>
        <v>#REF!</v>
      </c>
      <c r="C34" s="211" t="str">
        <f t="shared" si="67"/>
        <v>#REF!</v>
      </c>
      <c r="D34" s="211" t="str">
        <f t="shared" si="67"/>
        <v>#REF!</v>
      </c>
      <c r="E34" s="211" t="str">
        <f t="shared" si="67"/>
        <v>#REF!</v>
      </c>
      <c r="F34" s="211" t="str">
        <f t="shared" si="67"/>
        <v>#REF!</v>
      </c>
      <c r="G34" s="211" t="str">
        <f t="shared" si="67"/>
        <v>#REF!</v>
      </c>
      <c r="H34" s="211" t="str">
        <f t="shared" si="67"/>
        <v>#REF!</v>
      </c>
      <c r="I34" s="211" t="str">
        <f t="shared" si="67"/>
        <v>#REF!</v>
      </c>
      <c r="J34" s="211" t="str">
        <f t="shared" si="67"/>
        <v>#REF!</v>
      </c>
      <c r="K34" s="211" t="str">
        <f t="shared" si="67"/>
        <v>#REF!</v>
      </c>
      <c r="L34" s="211" t="str">
        <f t="shared" si="67"/>
        <v>#REF!</v>
      </c>
      <c r="M34" s="211" t="str">
        <f t="shared" si="67"/>
        <v>#REF!</v>
      </c>
      <c r="N34" s="211" t="str">
        <f t="shared" si="67"/>
        <v>#REF!</v>
      </c>
      <c r="O34" s="211" t="str">
        <f t="shared" si="67"/>
        <v>#REF!</v>
      </c>
      <c r="P34" s="211" t="str">
        <f t="shared" ref="P34:X34" si="68">#REF!</f>
        <v>#REF!</v>
      </c>
      <c r="Q34" s="211" t="str">
        <f t="shared" si="68"/>
        <v>#REF!</v>
      </c>
      <c r="R34" s="211" t="str">
        <f t="shared" si="68"/>
        <v>#REF!</v>
      </c>
      <c r="S34" s="211" t="str">
        <f t="shared" si="68"/>
        <v>#REF!</v>
      </c>
      <c r="T34" s="211" t="str">
        <f t="shared" si="68"/>
        <v>#REF!</v>
      </c>
      <c r="U34" s="211" t="str">
        <f t="shared" si="68"/>
        <v>#REF!</v>
      </c>
      <c r="V34" s="211" t="str">
        <f t="shared" si="68"/>
        <v>#REF!</v>
      </c>
      <c r="W34" s="211" t="str">
        <f t="shared" si="68"/>
        <v>#REF!</v>
      </c>
      <c r="X34" s="211" t="str">
        <f t="shared" si="68"/>
        <v>#REF!</v>
      </c>
    </row>
    <row r="35">
      <c r="A35" s="211" t="str">
        <f t="shared" ref="A35:O35" si="69">'Municipality Case Trends'!A39</f>
        <v>#REF!</v>
      </c>
      <c r="B35" s="211" t="str">
        <f t="shared" si="69"/>
        <v>#REF!</v>
      </c>
      <c r="C35" s="211" t="str">
        <f t="shared" si="69"/>
        <v>#REF!</v>
      </c>
      <c r="D35" s="211" t="str">
        <f t="shared" si="69"/>
        <v>#REF!</v>
      </c>
      <c r="E35" s="211" t="str">
        <f t="shared" si="69"/>
        <v>#REF!</v>
      </c>
      <c r="F35" s="211" t="str">
        <f t="shared" si="69"/>
        <v>#REF!</v>
      </c>
      <c r="G35" s="211" t="str">
        <f t="shared" si="69"/>
        <v>#REF!</v>
      </c>
      <c r="H35" s="211" t="str">
        <f t="shared" si="69"/>
        <v>#REF!</v>
      </c>
      <c r="I35" s="211" t="str">
        <f t="shared" si="69"/>
        <v>#REF!</v>
      </c>
      <c r="J35" s="211" t="str">
        <f t="shared" si="69"/>
        <v>#REF!</v>
      </c>
      <c r="K35" s="211" t="str">
        <f t="shared" si="69"/>
        <v>#REF!</v>
      </c>
      <c r="L35" s="211" t="str">
        <f t="shared" si="69"/>
        <v>#REF!</v>
      </c>
      <c r="M35" s="211" t="str">
        <f t="shared" si="69"/>
        <v>#REF!</v>
      </c>
      <c r="N35" s="211" t="str">
        <f t="shared" si="69"/>
        <v>#REF!</v>
      </c>
      <c r="O35" s="211" t="str">
        <f t="shared" si="69"/>
        <v>#REF!</v>
      </c>
      <c r="P35" s="211" t="str">
        <f t="shared" ref="P35:X35" si="70">#REF!</f>
        <v>#REF!</v>
      </c>
      <c r="Q35" s="211" t="str">
        <f t="shared" si="70"/>
        <v>#REF!</v>
      </c>
      <c r="R35" s="211" t="str">
        <f t="shared" si="70"/>
        <v>#REF!</v>
      </c>
      <c r="S35" s="211" t="str">
        <f t="shared" si="70"/>
        <v>#REF!</v>
      </c>
      <c r="T35" s="211" t="str">
        <f t="shared" si="70"/>
        <v>#REF!</v>
      </c>
      <c r="U35" s="211" t="str">
        <f t="shared" si="70"/>
        <v>#REF!</v>
      </c>
      <c r="V35" s="211" t="str">
        <f t="shared" si="70"/>
        <v>#REF!</v>
      </c>
      <c r="W35" s="211" t="str">
        <f t="shared" si="70"/>
        <v>#REF!</v>
      </c>
      <c r="X35" s="211" t="str">
        <f t="shared" si="70"/>
        <v>#REF!</v>
      </c>
    </row>
    <row r="36">
      <c r="A36" s="211" t="str">
        <f t="shared" ref="A36:O36" si="71">'Municipality Case Trends'!A40</f>
        <v>#REF!</v>
      </c>
      <c r="B36" s="211" t="str">
        <f t="shared" si="71"/>
        <v>#REF!</v>
      </c>
      <c r="C36" s="211" t="str">
        <f t="shared" si="71"/>
        <v>#REF!</v>
      </c>
      <c r="D36" s="211" t="str">
        <f t="shared" si="71"/>
        <v>#REF!</v>
      </c>
      <c r="E36" s="211" t="str">
        <f t="shared" si="71"/>
        <v>#REF!</v>
      </c>
      <c r="F36" s="211" t="str">
        <f t="shared" si="71"/>
        <v>#REF!</v>
      </c>
      <c r="G36" s="211" t="str">
        <f t="shared" si="71"/>
        <v>#REF!</v>
      </c>
      <c r="H36" s="211" t="str">
        <f t="shared" si="71"/>
        <v>#REF!</v>
      </c>
      <c r="I36" s="211" t="str">
        <f t="shared" si="71"/>
        <v>#REF!</v>
      </c>
      <c r="J36" s="211" t="str">
        <f t="shared" si="71"/>
        <v>#REF!</v>
      </c>
      <c r="K36" s="211" t="str">
        <f t="shared" si="71"/>
        <v>#REF!</v>
      </c>
      <c r="L36" s="211" t="str">
        <f t="shared" si="71"/>
        <v>#REF!</v>
      </c>
      <c r="M36" s="211" t="str">
        <f t="shared" si="71"/>
        <v>#REF!</v>
      </c>
      <c r="N36" s="211" t="str">
        <f t="shared" si="71"/>
        <v>#REF!</v>
      </c>
      <c r="O36" s="211" t="str">
        <f t="shared" si="71"/>
        <v>#REF!</v>
      </c>
      <c r="P36" s="211" t="str">
        <f t="shared" ref="P36:X36" si="72">#REF!</f>
        <v>#REF!</v>
      </c>
      <c r="Q36" s="211" t="str">
        <f t="shared" si="72"/>
        <v>#REF!</v>
      </c>
      <c r="R36" s="211" t="str">
        <f t="shared" si="72"/>
        <v>#REF!</v>
      </c>
      <c r="S36" s="211" t="str">
        <f t="shared" si="72"/>
        <v>#REF!</v>
      </c>
      <c r="T36" s="211" t="str">
        <f t="shared" si="72"/>
        <v>#REF!</v>
      </c>
      <c r="U36" s="211" t="str">
        <f t="shared" si="72"/>
        <v>#REF!</v>
      </c>
      <c r="V36" s="211" t="str">
        <f t="shared" si="72"/>
        <v>#REF!</v>
      </c>
      <c r="W36" s="211" t="str">
        <f t="shared" si="72"/>
        <v>#REF!</v>
      </c>
      <c r="X36" s="211" t="str">
        <f t="shared" si="72"/>
        <v>#REF!</v>
      </c>
    </row>
    <row r="37">
      <c r="A37" s="211" t="str">
        <f t="shared" ref="A37:O37" si="73">'Municipality Case Trends'!A41</f>
        <v>#REF!</v>
      </c>
      <c r="B37" s="211" t="str">
        <f t="shared" si="73"/>
        <v>#REF!</v>
      </c>
      <c r="C37" s="211" t="str">
        <f t="shared" si="73"/>
        <v>#REF!</v>
      </c>
      <c r="D37" s="211" t="str">
        <f t="shared" si="73"/>
        <v>#REF!</v>
      </c>
      <c r="E37" s="211" t="str">
        <f t="shared" si="73"/>
        <v>#REF!</v>
      </c>
      <c r="F37" s="211" t="str">
        <f t="shared" si="73"/>
        <v>#REF!</v>
      </c>
      <c r="G37" s="211" t="str">
        <f t="shared" si="73"/>
        <v>#REF!</v>
      </c>
      <c r="H37" s="211" t="str">
        <f t="shared" si="73"/>
        <v>#REF!</v>
      </c>
      <c r="I37" s="211" t="str">
        <f t="shared" si="73"/>
        <v>#REF!</v>
      </c>
      <c r="J37" s="211" t="str">
        <f t="shared" si="73"/>
        <v>#REF!</v>
      </c>
      <c r="K37" s="211" t="str">
        <f t="shared" si="73"/>
        <v>#REF!</v>
      </c>
      <c r="L37" s="211" t="str">
        <f t="shared" si="73"/>
        <v>#REF!</v>
      </c>
      <c r="M37" s="211" t="str">
        <f t="shared" si="73"/>
        <v>#REF!</v>
      </c>
      <c r="N37" s="211" t="str">
        <f t="shared" si="73"/>
        <v>#REF!</v>
      </c>
      <c r="O37" s="211" t="str">
        <f t="shared" si="73"/>
        <v>#REF!</v>
      </c>
      <c r="P37" s="211" t="str">
        <f t="shared" ref="P37:X37" si="74">#REF!</f>
        <v>#REF!</v>
      </c>
      <c r="Q37" s="211" t="str">
        <f t="shared" si="74"/>
        <v>#REF!</v>
      </c>
      <c r="R37" s="211" t="str">
        <f t="shared" si="74"/>
        <v>#REF!</v>
      </c>
      <c r="S37" s="211" t="str">
        <f t="shared" si="74"/>
        <v>#REF!</v>
      </c>
      <c r="T37" s="211" t="str">
        <f t="shared" si="74"/>
        <v>#REF!</v>
      </c>
      <c r="U37" s="211" t="str">
        <f t="shared" si="74"/>
        <v>#REF!</v>
      </c>
      <c r="V37" s="211" t="str">
        <f t="shared" si="74"/>
        <v>#REF!</v>
      </c>
      <c r="W37" s="211" t="str">
        <f t="shared" si="74"/>
        <v>#REF!</v>
      </c>
      <c r="X37" s="211" t="str">
        <f t="shared" si="74"/>
        <v>#REF!</v>
      </c>
    </row>
    <row r="38">
      <c r="A38" s="211" t="str">
        <f t="shared" ref="A38:O38" si="75">'Municipality Case Trends'!A42</f>
        <v>#REF!</v>
      </c>
      <c r="B38" s="211" t="str">
        <f t="shared" si="75"/>
        <v>#REF!</v>
      </c>
      <c r="C38" s="211" t="str">
        <f t="shared" si="75"/>
        <v>#REF!</v>
      </c>
      <c r="D38" s="211" t="str">
        <f t="shared" si="75"/>
        <v>#REF!</v>
      </c>
      <c r="E38" s="211" t="str">
        <f t="shared" si="75"/>
        <v>#REF!</v>
      </c>
      <c r="F38" s="211" t="str">
        <f t="shared" si="75"/>
        <v>#REF!</v>
      </c>
      <c r="G38" s="211" t="str">
        <f t="shared" si="75"/>
        <v>#REF!</v>
      </c>
      <c r="H38" s="211" t="str">
        <f t="shared" si="75"/>
        <v>#REF!</v>
      </c>
      <c r="I38" s="211" t="str">
        <f t="shared" si="75"/>
        <v>#REF!</v>
      </c>
      <c r="J38" s="211" t="str">
        <f t="shared" si="75"/>
        <v>#REF!</v>
      </c>
      <c r="K38" s="211" t="str">
        <f t="shared" si="75"/>
        <v>#REF!</v>
      </c>
      <c r="L38" s="211" t="str">
        <f t="shared" si="75"/>
        <v>#REF!</v>
      </c>
      <c r="M38" s="211" t="str">
        <f t="shared" si="75"/>
        <v>#REF!</v>
      </c>
      <c r="N38" s="211" t="str">
        <f t="shared" si="75"/>
        <v>#REF!</v>
      </c>
      <c r="O38" s="211" t="str">
        <f t="shared" si="75"/>
        <v>#REF!</v>
      </c>
      <c r="P38" s="211" t="str">
        <f t="shared" ref="P38:X38" si="76">#REF!</f>
        <v>#REF!</v>
      </c>
      <c r="Q38" s="211" t="str">
        <f t="shared" si="76"/>
        <v>#REF!</v>
      </c>
      <c r="R38" s="211" t="str">
        <f t="shared" si="76"/>
        <v>#REF!</v>
      </c>
      <c r="S38" s="211" t="str">
        <f t="shared" si="76"/>
        <v>#REF!</v>
      </c>
      <c r="T38" s="211" t="str">
        <f t="shared" si="76"/>
        <v>#REF!</v>
      </c>
      <c r="U38" s="211" t="str">
        <f t="shared" si="76"/>
        <v>#REF!</v>
      </c>
      <c r="V38" s="211" t="str">
        <f t="shared" si="76"/>
        <v>#REF!</v>
      </c>
      <c r="W38" s="211" t="str">
        <f t="shared" si="76"/>
        <v>#REF!</v>
      </c>
      <c r="X38" s="211" t="str">
        <f t="shared" si="76"/>
        <v>#REF!</v>
      </c>
    </row>
    <row r="39">
      <c r="A39" s="211" t="str">
        <f t="shared" ref="A39:O39" si="77">'Municipality Case Trends'!A43</f>
        <v>#REF!</v>
      </c>
      <c r="B39" s="211" t="str">
        <f t="shared" si="77"/>
        <v>#REF!</v>
      </c>
      <c r="C39" s="211" t="str">
        <f t="shared" si="77"/>
        <v>#REF!</v>
      </c>
      <c r="D39" s="211" t="str">
        <f t="shared" si="77"/>
        <v>#REF!</v>
      </c>
      <c r="E39" s="211" t="str">
        <f t="shared" si="77"/>
        <v>#REF!</v>
      </c>
      <c r="F39" s="211" t="str">
        <f t="shared" si="77"/>
        <v>#REF!</v>
      </c>
      <c r="G39" s="211" t="str">
        <f t="shared" si="77"/>
        <v>#REF!</v>
      </c>
      <c r="H39" s="211" t="str">
        <f t="shared" si="77"/>
        <v>#REF!</v>
      </c>
      <c r="I39" s="211" t="str">
        <f t="shared" si="77"/>
        <v>#REF!</v>
      </c>
      <c r="J39" s="211" t="str">
        <f t="shared" si="77"/>
        <v>#REF!</v>
      </c>
      <c r="K39" s="211" t="str">
        <f t="shared" si="77"/>
        <v>#REF!</v>
      </c>
      <c r="L39" s="211" t="str">
        <f t="shared" si="77"/>
        <v>#REF!</v>
      </c>
      <c r="M39" s="211" t="str">
        <f t="shared" si="77"/>
        <v>#REF!</v>
      </c>
      <c r="N39" s="211" t="str">
        <f t="shared" si="77"/>
        <v>#REF!</v>
      </c>
      <c r="O39" s="211" t="str">
        <f t="shared" si="77"/>
        <v>#REF!</v>
      </c>
      <c r="P39" s="211" t="str">
        <f t="shared" ref="P39:X39" si="78">#REF!</f>
        <v>#REF!</v>
      </c>
      <c r="Q39" s="211" t="str">
        <f t="shared" si="78"/>
        <v>#REF!</v>
      </c>
      <c r="R39" s="211" t="str">
        <f t="shared" si="78"/>
        <v>#REF!</v>
      </c>
      <c r="S39" s="211" t="str">
        <f t="shared" si="78"/>
        <v>#REF!</v>
      </c>
      <c r="T39" s="211" t="str">
        <f t="shared" si="78"/>
        <v>#REF!</v>
      </c>
      <c r="U39" s="211" t="str">
        <f t="shared" si="78"/>
        <v>#REF!</v>
      </c>
      <c r="V39" s="211" t="str">
        <f t="shared" si="78"/>
        <v>#REF!</v>
      </c>
      <c r="W39" s="211" t="str">
        <f t="shared" si="78"/>
        <v>#REF!</v>
      </c>
      <c r="X39" s="211" t="str">
        <f t="shared" si="78"/>
        <v>#REF!</v>
      </c>
    </row>
    <row r="40">
      <c r="A40" s="211" t="str">
        <f t="shared" ref="A40:O40" si="79">'Municipality Case Trends'!A44</f>
        <v>#REF!</v>
      </c>
      <c r="B40" s="211" t="str">
        <f t="shared" si="79"/>
        <v>#REF!</v>
      </c>
      <c r="C40" s="211" t="str">
        <f t="shared" si="79"/>
        <v>#REF!</v>
      </c>
      <c r="D40" s="211" t="str">
        <f t="shared" si="79"/>
        <v>#REF!</v>
      </c>
      <c r="E40" s="211" t="str">
        <f t="shared" si="79"/>
        <v>#REF!</v>
      </c>
      <c r="F40" s="211" t="str">
        <f t="shared" si="79"/>
        <v>#REF!</v>
      </c>
      <c r="G40" s="211" t="str">
        <f t="shared" si="79"/>
        <v>#REF!</v>
      </c>
      <c r="H40" s="211" t="str">
        <f t="shared" si="79"/>
        <v>#REF!</v>
      </c>
      <c r="I40" s="211" t="str">
        <f t="shared" si="79"/>
        <v>#REF!</v>
      </c>
      <c r="J40" s="211" t="str">
        <f t="shared" si="79"/>
        <v>#REF!</v>
      </c>
      <c r="K40" s="211" t="str">
        <f t="shared" si="79"/>
        <v>#REF!</v>
      </c>
      <c r="L40" s="211" t="str">
        <f t="shared" si="79"/>
        <v>#REF!</v>
      </c>
      <c r="M40" s="211" t="str">
        <f t="shared" si="79"/>
        <v>#REF!</v>
      </c>
      <c r="N40" s="211" t="str">
        <f t="shared" si="79"/>
        <v>#REF!</v>
      </c>
      <c r="O40" s="211" t="str">
        <f t="shared" si="79"/>
        <v>#REF!</v>
      </c>
      <c r="P40" s="211" t="str">
        <f t="shared" ref="P40:X40" si="80">#REF!</f>
        <v>#REF!</v>
      </c>
      <c r="Q40" s="211" t="str">
        <f t="shared" si="80"/>
        <v>#REF!</v>
      </c>
      <c r="R40" s="211" t="str">
        <f t="shared" si="80"/>
        <v>#REF!</v>
      </c>
      <c r="S40" s="211" t="str">
        <f t="shared" si="80"/>
        <v>#REF!</v>
      </c>
      <c r="T40" s="211" t="str">
        <f t="shared" si="80"/>
        <v>#REF!</v>
      </c>
      <c r="U40" s="211" t="str">
        <f t="shared" si="80"/>
        <v>#REF!</v>
      </c>
      <c r="V40" s="211" t="str">
        <f t="shared" si="80"/>
        <v>#REF!</v>
      </c>
      <c r="W40" s="211" t="str">
        <f t="shared" si="80"/>
        <v>#REF!</v>
      </c>
      <c r="X40" s="211" t="str">
        <f t="shared" si="80"/>
        <v>#REF!</v>
      </c>
    </row>
    <row r="41">
      <c r="A41" s="211" t="str">
        <f t="shared" ref="A41:O41" si="81">'Municipality Case Trends'!A45</f>
        <v>#REF!</v>
      </c>
      <c r="B41" s="211" t="str">
        <f t="shared" si="81"/>
        <v>#REF!</v>
      </c>
      <c r="C41" s="211" t="str">
        <f t="shared" si="81"/>
        <v>#REF!</v>
      </c>
      <c r="D41" s="211" t="str">
        <f t="shared" si="81"/>
        <v>#REF!</v>
      </c>
      <c r="E41" s="211" t="str">
        <f t="shared" si="81"/>
        <v>#REF!</v>
      </c>
      <c r="F41" s="211" t="str">
        <f t="shared" si="81"/>
        <v>#REF!</v>
      </c>
      <c r="G41" s="211" t="str">
        <f t="shared" si="81"/>
        <v>#REF!</v>
      </c>
      <c r="H41" s="211" t="str">
        <f t="shared" si="81"/>
        <v>#REF!</v>
      </c>
      <c r="I41" s="211" t="str">
        <f t="shared" si="81"/>
        <v>#REF!</v>
      </c>
      <c r="J41" s="211" t="str">
        <f t="shared" si="81"/>
        <v>#REF!</v>
      </c>
      <c r="K41" s="211" t="str">
        <f t="shared" si="81"/>
        <v>#REF!</v>
      </c>
      <c r="L41" s="211" t="str">
        <f t="shared" si="81"/>
        <v>#REF!</v>
      </c>
      <c r="M41" s="211" t="str">
        <f t="shared" si="81"/>
        <v>#REF!</v>
      </c>
      <c r="N41" s="211" t="str">
        <f t="shared" si="81"/>
        <v>#REF!</v>
      </c>
      <c r="O41" s="211" t="str">
        <f t="shared" si="81"/>
        <v>#REF!</v>
      </c>
      <c r="P41" s="211" t="str">
        <f t="shared" ref="P41:X41" si="82">#REF!</f>
        <v>#REF!</v>
      </c>
      <c r="Q41" s="211" t="str">
        <f t="shared" si="82"/>
        <v>#REF!</v>
      </c>
      <c r="R41" s="211" t="str">
        <f t="shared" si="82"/>
        <v>#REF!</v>
      </c>
      <c r="S41" s="211" t="str">
        <f t="shared" si="82"/>
        <v>#REF!</v>
      </c>
      <c r="T41" s="211" t="str">
        <f t="shared" si="82"/>
        <v>#REF!</v>
      </c>
      <c r="U41" s="211" t="str">
        <f t="shared" si="82"/>
        <v>#REF!</v>
      </c>
      <c r="V41" s="211" t="str">
        <f t="shared" si="82"/>
        <v>#REF!</v>
      </c>
      <c r="W41" s="211" t="str">
        <f t="shared" si="82"/>
        <v>#REF!</v>
      </c>
      <c r="X41" s="211" t="str">
        <f t="shared" si="82"/>
        <v>#REF!</v>
      </c>
    </row>
    <row r="42">
      <c r="A42" s="211" t="str">
        <f t="shared" ref="A42:O42" si="83">'Municipality Case Trends'!A46</f>
        <v>#REF!</v>
      </c>
      <c r="B42" s="211" t="str">
        <f t="shared" si="83"/>
        <v>#REF!</v>
      </c>
      <c r="C42" s="211" t="str">
        <f t="shared" si="83"/>
        <v>#REF!</v>
      </c>
      <c r="D42" s="211" t="str">
        <f t="shared" si="83"/>
        <v>#REF!</v>
      </c>
      <c r="E42" s="211" t="str">
        <f t="shared" si="83"/>
        <v>#REF!</v>
      </c>
      <c r="F42" s="211" t="str">
        <f t="shared" si="83"/>
        <v>#REF!</v>
      </c>
      <c r="G42" s="211" t="str">
        <f t="shared" si="83"/>
        <v>#REF!</v>
      </c>
      <c r="H42" s="211" t="str">
        <f t="shared" si="83"/>
        <v>#REF!</v>
      </c>
      <c r="I42" s="211" t="str">
        <f t="shared" si="83"/>
        <v>#REF!</v>
      </c>
      <c r="J42" s="211" t="str">
        <f t="shared" si="83"/>
        <v>#REF!</v>
      </c>
      <c r="K42" s="211" t="str">
        <f t="shared" si="83"/>
        <v>#REF!</v>
      </c>
      <c r="L42" s="211" t="str">
        <f t="shared" si="83"/>
        <v>#REF!</v>
      </c>
      <c r="M42" s="211" t="str">
        <f t="shared" si="83"/>
        <v>#REF!</v>
      </c>
      <c r="N42" s="211" t="str">
        <f t="shared" si="83"/>
        <v>#REF!</v>
      </c>
      <c r="O42" s="211" t="str">
        <f t="shared" si="83"/>
        <v>#REF!</v>
      </c>
      <c r="P42" s="211" t="str">
        <f t="shared" ref="P42:X42" si="84">#REF!</f>
        <v>#REF!</v>
      </c>
      <c r="Q42" s="211" t="str">
        <f t="shared" si="84"/>
        <v>#REF!</v>
      </c>
      <c r="R42" s="211" t="str">
        <f t="shared" si="84"/>
        <v>#REF!</v>
      </c>
      <c r="S42" s="211" t="str">
        <f t="shared" si="84"/>
        <v>#REF!</v>
      </c>
      <c r="T42" s="211" t="str">
        <f t="shared" si="84"/>
        <v>#REF!</v>
      </c>
      <c r="U42" s="211" t="str">
        <f t="shared" si="84"/>
        <v>#REF!</v>
      </c>
      <c r="V42" s="211" t="str">
        <f t="shared" si="84"/>
        <v>#REF!</v>
      </c>
      <c r="W42" s="211" t="str">
        <f t="shared" si="84"/>
        <v>#REF!</v>
      </c>
      <c r="X42" s="211" t="str">
        <f t="shared" si="84"/>
        <v>#REF!</v>
      </c>
    </row>
    <row r="43">
      <c r="A43" s="211" t="str">
        <f>#REF!</f>
        <v>#REF!</v>
      </c>
    </row>
    <row r="44">
      <c r="A44" s="211" t="str">
        <f>'Municipality Case Trends'!A4</f>
        <v>#REF!</v>
      </c>
    </row>
    <row r="45">
      <c r="A45" s="211" t="str">
        <f t="shared" ref="A45:A57" si="85">#REF!</f>
        <v>#REF!</v>
      </c>
    </row>
    <row r="46">
      <c r="A46" s="211" t="str">
        <f t="shared" si="85"/>
        <v>#REF!</v>
      </c>
    </row>
    <row r="47">
      <c r="A47" s="211" t="str">
        <f t="shared" si="85"/>
        <v>#REF!</v>
      </c>
    </row>
    <row r="48">
      <c r="A48" s="211" t="str">
        <f t="shared" si="85"/>
        <v>#REF!</v>
      </c>
    </row>
    <row r="49">
      <c r="A49" s="211" t="str">
        <f t="shared" si="85"/>
        <v>#REF!</v>
      </c>
    </row>
    <row r="50">
      <c r="A50" s="211" t="str">
        <f t="shared" si="85"/>
        <v>#REF!</v>
      </c>
    </row>
    <row r="51">
      <c r="A51" s="211" t="str">
        <f t="shared" si="85"/>
        <v>#REF!</v>
      </c>
    </row>
    <row r="52">
      <c r="A52" s="211" t="str">
        <f t="shared" si="85"/>
        <v>#REF!</v>
      </c>
    </row>
    <row r="53">
      <c r="A53" s="211" t="str">
        <f t="shared" si="85"/>
        <v>#REF!</v>
      </c>
    </row>
    <row r="54">
      <c r="A54" s="211" t="str">
        <f t="shared" si="85"/>
        <v>#REF!</v>
      </c>
    </row>
    <row r="55">
      <c r="A55" s="211" t="str">
        <f t="shared" si="85"/>
        <v>#REF!</v>
      </c>
    </row>
    <row r="56">
      <c r="A56" s="211" t="str">
        <f t="shared" si="85"/>
        <v>#REF!</v>
      </c>
    </row>
    <row r="57">
      <c r="A57" s="211"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201.0</v>
      </c>
      <c r="M31" s="22">
        <v>2491.0</v>
      </c>
      <c r="N31" s="22">
        <v>2739.0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2732.0</v>
      </c>
      <c r="N32" s="22">
        <v>3044.0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3045.0</v>
      </c>
      <c r="N33" s="22">
        <v>3462.0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3229.0</v>
      </c>
      <c r="N34" s="22">
        <v>3724.0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3525.0</v>
      </c>
      <c r="N35" s="22">
        <v>4093.0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4165.0</v>
      </c>
      <c r="N36" s="22">
        <v>4833.0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4601.0</v>
      </c>
      <c r="N37" s="22">
        <v>5331.0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711.0</v>
      </c>
      <c r="M38" s="22">
        <v>5312.0</v>
      </c>
      <c r="N38" s="22">
        <v>6142.0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617.0</v>
      </c>
      <c r="M39" s="22">
        <v>5929.0</v>
      </c>
      <c r="N39" s="22">
        <v>6897.0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1064.0</v>
      </c>
      <c r="M40" s="22">
        <v>6993.0</v>
      </c>
      <c r="N40" s="22">
        <v>8142.0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1357.0</v>
      </c>
      <c r="L41" s="22">
        <v>1548.0</v>
      </c>
      <c r="M41" s="22">
        <v>8541.0</v>
      </c>
      <c r="N41" s="22">
        <v>9898.0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1618.0</v>
      </c>
      <c r="L42" s="22">
        <v>1478.0</v>
      </c>
      <c r="M42" s="22">
        <v>10019.0</v>
      </c>
      <c r="N42" s="22">
        <v>11637.0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1889.0</v>
      </c>
      <c r="L43" s="22">
        <v>1558.0</v>
      </c>
      <c r="M43" s="22">
        <v>11577.0</v>
      </c>
      <c r="N43" s="22">
        <v>13466.0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2166.0</v>
      </c>
      <c r="L44" s="22">
        <v>1354.0</v>
      </c>
      <c r="M44" s="22">
        <v>12931.0</v>
      </c>
      <c r="N44" s="22">
        <v>15097.0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2567.0</v>
      </c>
      <c r="L45" s="22">
        <v>2368.0</v>
      </c>
      <c r="M45" s="22">
        <v>15299.0</v>
      </c>
      <c r="N45" s="22">
        <v>17866.0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2847.0</v>
      </c>
      <c r="L46" s="22">
        <v>1714.0</v>
      </c>
      <c r="M46" s="22">
        <v>17013.0</v>
      </c>
      <c r="N46" s="22">
        <v>19860.0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1433.0</v>
      </c>
      <c r="M47" s="22">
        <v>18446.0</v>
      </c>
      <c r="N47" s="22">
        <v>21577.0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19283.0</v>
      </c>
      <c r="N48" s="22">
        <v>22601.0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20811.0</v>
      </c>
      <c r="N49" s="22">
        <v>24391.0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1549.0</v>
      </c>
      <c r="M50" s="22">
        <v>22360.0</v>
      </c>
      <c r="N50" s="22">
        <v>26246.0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2070.0</v>
      </c>
      <c r="M51" s="22">
        <v>24430.0</v>
      </c>
      <c r="N51" s="22">
        <v>28703.0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1444.0</v>
      </c>
      <c r="M52" s="22">
        <v>25874.0</v>
      </c>
      <c r="N52" s="22">
        <v>30437.0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1324.0</v>
      </c>
      <c r="M53" s="22">
        <v>27198.0</v>
      </c>
      <c r="N53" s="22">
        <v>32045.0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1739.0</v>
      </c>
      <c r="M54" s="22">
        <v>28937.0</v>
      </c>
      <c r="N54" s="22">
        <v>34120.0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1567.0</v>
      </c>
      <c r="M55" s="22">
        <v>30504.0</v>
      </c>
      <c r="N55" s="22">
        <v>36063.0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1700.0</v>
      </c>
      <c r="M56" s="22">
        <v>32204.0</v>
      </c>
      <c r="N56" s="22">
        <v>38147.0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1913.0</v>
      </c>
      <c r="M57" s="22">
        <v>34117.0</v>
      </c>
      <c r="N57" s="22">
        <v>40439.0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1853.0</v>
      </c>
      <c r="M58" s="22">
        <v>35970.0</v>
      </c>
      <c r="N58" s="22">
        <v>42704.0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2622.0</v>
      </c>
      <c r="M59" s="22">
        <v>38592.0</v>
      </c>
      <c r="N59" s="22">
        <v>45733.0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1762.0</v>
      </c>
      <c r="M60" s="22">
        <v>40354.0</v>
      </c>
      <c r="N60" s="22">
        <v>47795.0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1875.0</v>
      </c>
      <c r="M61" s="22">
        <v>42229.0</v>
      </c>
      <c r="N61" s="22">
        <v>49944.0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1161.0</v>
      </c>
      <c r="M62" s="22">
        <v>43390.0</v>
      </c>
      <c r="N62" s="22">
        <v>51311.0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1761.0</v>
      </c>
      <c r="M63" s="22">
        <v>45151.0</v>
      </c>
      <c r="N63" s="22">
        <v>53403.0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2420.0</v>
      </c>
      <c r="M64" s="22">
        <v>47571.0</v>
      </c>
      <c r="N64" s="22">
        <v>56194.0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1915.0</v>
      </c>
      <c r="M65" s="22">
        <v>49486.0</v>
      </c>
      <c r="N65" s="22">
        <v>58459.0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9298.0</v>
      </c>
      <c r="L66" s="22">
        <v>2168.0</v>
      </c>
      <c r="M66" s="22">
        <v>51654.0</v>
      </c>
      <c r="N66" s="22">
        <v>60952.0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1274.0</v>
      </c>
      <c r="M67" s="22">
        <v>52928.0</v>
      </c>
      <c r="N67" s="22">
        <v>62418.0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1576.0</v>
      </c>
      <c r="M68" s="22">
        <v>54504.0</v>
      </c>
      <c r="N68" s="22">
        <v>64177.0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1560.0</v>
      </c>
      <c r="M69" s="22">
        <v>56064.0</v>
      </c>
      <c r="N69" s="22">
        <v>66027.0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10262.0</v>
      </c>
      <c r="L70" s="22">
        <v>1958.0</v>
      </c>
      <c r="M70" s="22">
        <v>58022.0</v>
      </c>
      <c r="N70" s="22">
        <v>68284.0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1917.0</v>
      </c>
      <c r="M71" s="22">
        <v>59939.0</v>
      </c>
      <c r="N71" s="22">
        <v>70541.0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1960.0</v>
      </c>
      <c r="M72" s="22">
        <v>61899.0</v>
      </c>
      <c r="N72" s="22">
        <v>72771.0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11102.0</v>
      </c>
      <c r="L73" s="22">
        <v>1737.0</v>
      </c>
      <c r="M73" s="22">
        <v>63636.0</v>
      </c>
      <c r="N73" s="22">
        <v>74738.0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11392.0</v>
      </c>
      <c r="L74" s="22">
        <v>2256.0</v>
      </c>
      <c r="M74" s="22">
        <v>65892.0</v>
      </c>
      <c r="N74" s="22">
        <v>77284.0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11581.0</v>
      </c>
      <c r="L75" s="22">
        <v>1523.0</v>
      </c>
      <c r="M75" s="22">
        <v>67415.0</v>
      </c>
      <c r="N75" s="22">
        <v>78996.0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11755.0</v>
      </c>
      <c r="L76" s="22">
        <v>1301.0</v>
      </c>
      <c r="M76" s="22">
        <v>68716.0</v>
      </c>
      <c r="N76" s="22">
        <v>80471.0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11979.0</v>
      </c>
      <c r="L77" s="22">
        <v>1702.0</v>
      </c>
      <c r="M77" s="22">
        <v>70418.0</v>
      </c>
      <c r="N77" s="22">
        <v>82397.0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12178.0</v>
      </c>
      <c r="L78" s="22">
        <v>2001.0</v>
      </c>
      <c r="M78" s="22">
        <v>72419.0</v>
      </c>
      <c r="N78" s="22">
        <v>84597.0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12408.0</v>
      </c>
      <c r="L79" s="22">
        <v>2015.0</v>
      </c>
      <c r="M79" s="22">
        <v>74434.0</v>
      </c>
      <c r="N79" s="22">
        <v>86842.0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12640.0</v>
      </c>
      <c r="L80" s="22">
        <v>1805.0</v>
      </c>
      <c r="M80" s="22">
        <v>76239.0</v>
      </c>
      <c r="N80" s="22">
        <v>88879.0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12887.0</v>
      </c>
      <c r="L81" s="22">
        <v>1962.0</v>
      </c>
      <c r="M81" s="22">
        <v>78201.0</v>
      </c>
      <c r="N81" s="22">
        <v>91088.0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13013.0</v>
      </c>
      <c r="L82" s="22">
        <v>1555.0</v>
      </c>
      <c r="M82" s="22">
        <v>79756.0</v>
      </c>
      <c r="N82" s="22">
        <v>92769.0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13148.0</v>
      </c>
      <c r="L83" s="22">
        <v>1368.0</v>
      </c>
      <c r="M83" s="22">
        <v>81124.0</v>
      </c>
      <c r="N83" s="22">
        <v>94272.0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13363.0</v>
      </c>
      <c r="L84" s="22">
        <v>1926.0</v>
      </c>
      <c r="M84" s="22">
        <v>83050.0</v>
      </c>
      <c r="N84" s="22">
        <v>96413.0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13546.0</v>
      </c>
      <c r="L85" s="22">
        <v>1514.0</v>
      </c>
      <c r="M85" s="22">
        <v>84564.0</v>
      </c>
      <c r="N85" s="22">
        <v>98110.0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1937.0</v>
      </c>
      <c r="M86" s="22">
        <v>86501.0</v>
      </c>
      <c r="N86" s="22">
        <v>100215.0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1608.0</v>
      </c>
      <c r="M87" s="22">
        <v>88109.0</v>
      </c>
      <c r="N87" s="22">
        <v>102029.0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1271.0</v>
      </c>
      <c r="M88" s="22">
        <v>89380.0</v>
      </c>
      <c r="N88" s="22">
        <v>103409.0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14111.0</v>
      </c>
      <c r="L89" s="22">
        <v>773.0</v>
      </c>
      <c r="M89" s="22">
        <v>90153.0</v>
      </c>
      <c r="N89" s="22">
        <v>104264.0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762.0</v>
      </c>
      <c r="M90" s="22">
        <v>90915.0</v>
      </c>
      <c r="N90" s="22">
        <v>105102.0</v>
      </c>
      <c r="O90" s="23">
        <v>14.0</v>
      </c>
      <c r="P90" s="23">
        <v>1671.0</v>
      </c>
      <c r="Q90" s="23">
        <v>14.0</v>
      </c>
      <c r="R90" s="23">
        <v>1197.0</v>
      </c>
      <c r="S90" s="23">
        <v>0.0</v>
      </c>
      <c r="T90" s="22">
        <v>235.0</v>
      </c>
      <c r="U90" s="22">
        <v>239.0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14344.0</v>
      </c>
      <c r="L91" s="22">
        <v>1780.0</v>
      </c>
      <c r="M91" s="22">
        <v>92695.0</v>
      </c>
      <c r="N91" s="22">
        <v>107039.0</v>
      </c>
      <c r="O91" s="23">
        <v>24.0</v>
      </c>
      <c r="P91" s="23">
        <v>1695.0</v>
      </c>
      <c r="Q91" s="23">
        <v>22.0</v>
      </c>
      <c r="R91" s="23">
        <v>1219.0</v>
      </c>
      <c r="S91" s="23">
        <v>5.0</v>
      </c>
      <c r="T91" s="22">
        <v>240.0</v>
      </c>
      <c r="U91" s="22">
        <v>236.0</v>
      </c>
      <c r="V91" s="22">
        <v>238.0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1133.0</v>
      </c>
      <c r="M92" s="22">
        <v>93828.0</v>
      </c>
      <c r="N92" s="22">
        <v>108304.0</v>
      </c>
      <c r="O92" s="23">
        <v>20.0</v>
      </c>
      <c r="P92" s="23">
        <v>1715.0</v>
      </c>
      <c r="Q92" s="23">
        <v>18.0</v>
      </c>
      <c r="R92" s="23">
        <v>1237.0</v>
      </c>
      <c r="S92" s="23">
        <v>3.0</v>
      </c>
      <c r="T92" s="22">
        <v>243.0</v>
      </c>
      <c r="U92" s="22">
        <v>235.0</v>
      </c>
      <c r="V92" s="22">
        <v>237.0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1117.0</v>
      </c>
      <c r="M93" s="22">
        <v>94945.0</v>
      </c>
      <c r="N93" s="22">
        <v>109551.0</v>
      </c>
      <c r="O93" s="23">
        <v>17.0</v>
      </c>
      <c r="P93" s="23">
        <v>1732.0</v>
      </c>
      <c r="Q93" s="23">
        <v>29.0</v>
      </c>
      <c r="R93" s="23">
        <v>1266.0</v>
      </c>
      <c r="S93" s="23">
        <v>4.0</v>
      </c>
      <c r="T93" s="22">
        <v>247.0</v>
      </c>
      <c r="U93" s="22">
        <v>219.0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14779.0</v>
      </c>
      <c r="L94" s="22">
        <v>1570.0</v>
      </c>
      <c r="M94" s="22">
        <v>96515.0</v>
      </c>
      <c r="N94" s="22">
        <v>111294.0</v>
      </c>
      <c r="O94" s="23">
        <v>19.0</v>
      </c>
      <c r="P94" s="23">
        <v>1751.0</v>
      </c>
      <c r="Q94" s="23">
        <v>27.0</v>
      </c>
      <c r="R94" s="23">
        <v>1293.0</v>
      </c>
      <c r="S94" s="23">
        <v>6.0</v>
      </c>
      <c r="T94" s="22">
        <v>253.0</v>
      </c>
      <c r="U94" s="22">
        <v>205.0</v>
      </c>
      <c r="V94" s="22">
        <v>220.0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14888.0</v>
      </c>
      <c r="L95" s="22">
        <v>1819.0</v>
      </c>
      <c r="M95" s="22">
        <v>98334.0</v>
      </c>
      <c r="N95" s="22">
        <v>113222.0</v>
      </c>
      <c r="O95" s="23">
        <v>15.0</v>
      </c>
      <c r="P95" s="23">
        <v>1766.0</v>
      </c>
      <c r="Q95" s="23">
        <v>19.0</v>
      </c>
      <c r="R95" s="23">
        <v>1312.0</v>
      </c>
      <c r="S95" s="23">
        <v>4.0</v>
      </c>
      <c r="T95" s="22">
        <v>257.0</v>
      </c>
      <c r="U95" s="22">
        <v>197.0</v>
      </c>
      <c r="V95" s="22">
        <v>207.0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14966.0</v>
      </c>
      <c r="L96" s="22">
        <v>855.0</v>
      </c>
      <c r="M96" s="22">
        <v>99189.0</v>
      </c>
      <c r="N96" s="22">
        <v>114155.0</v>
      </c>
      <c r="O96" s="23">
        <v>11.0</v>
      </c>
      <c r="P96" s="23">
        <v>1777.0</v>
      </c>
      <c r="Q96" s="23">
        <v>10.0</v>
      </c>
      <c r="R96" s="23">
        <v>1322.0</v>
      </c>
      <c r="S96" s="23">
        <v>1.0</v>
      </c>
      <c r="T96" s="22">
        <v>258.0</v>
      </c>
      <c r="U96" s="22">
        <v>197.0</v>
      </c>
      <c r="V96" s="22">
        <v>200.0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15059.0</v>
      </c>
      <c r="L97" s="22">
        <v>1383.0</v>
      </c>
      <c r="M97" s="22">
        <v>100572.0</v>
      </c>
      <c r="N97" s="22">
        <v>115631.0</v>
      </c>
      <c r="O97" s="26">
        <v>8.0</v>
      </c>
      <c r="P97" s="26">
        <v>1785.0</v>
      </c>
      <c r="Q97" s="26">
        <v>14.0</v>
      </c>
      <c r="R97" s="26">
        <v>1336.0</v>
      </c>
      <c r="S97" s="26">
        <v>1.0</v>
      </c>
      <c r="T97" s="26">
        <v>259.0</v>
      </c>
      <c r="U97" s="26">
        <v>190.0</v>
      </c>
      <c r="V97" s="22">
        <v>195.0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15157.0</v>
      </c>
      <c r="L98" s="22">
        <v>1448.0</v>
      </c>
      <c r="M98" s="22">
        <v>102020.0</v>
      </c>
      <c r="N98" s="22">
        <v>117177.0</v>
      </c>
      <c r="O98" s="26">
        <v>8.0</v>
      </c>
      <c r="P98" s="26">
        <v>1793.0</v>
      </c>
      <c r="Q98" s="26">
        <v>9.0</v>
      </c>
      <c r="R98" s="26">
        <v>1345.0</v>
      </c>
      <c r="S98" s="26">
        <v>3.0</v>
      </c>
      <c r="T98" s="26">
        <v>262.0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15256.0</v>
      </c>
      <c r="L99" s="22">
        <v>1659.0</v>
      </c>
      <c r="M99" s="22">
        <v>103679.0</v>
      </c>
      <c r="N99" s="22">
        <v>118935.0</v>
      </c>
      <c r="O99" s="26">
        <v>14.0</v>
      </c>
      <c r="P99" s="26">
        <v>1807.0</v>
      </c>
      <c r="Q99" s="26">
        <v>18.0</v>
      </c>
      <c r="R99" s="26">
        <v>1363.0</v>
      </c>
      <c r="S99" s="26">
        <v>6.0</v>
      </c>
      <c r="T99" s="26">
        <v>268.0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15363.0</v>
      </c>
      <c r="L100" s="22">
        <v>2035.0</v>
      </c>
      <c r="M100" s="22">
        <v>105714.0</v>
      </c>
      <c r="N100" s="22">
        <v>121077.0</v>
      </c>
      <c r="O100" s="26">
        <v>7.0</v>
      </c>
      <c r="P100" s="26">
        <v>1814.0</v>
      </c>
      <c r="Q100" s="26">
        <v>25.0</v>
      </c>
      <c r="R100" s="26">
        <v>1388.0</v>
      </c>
      <c r="S100" s="26">
        <v>3.0</v>
      </c>
      <c r="T100" s="26">
        <v>271.0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15462.0</v>
      </c>
      <c r="L101" s="22">
        <v>1574.0</v>
      </c>
      <c r="M101" s="22">
        <v>107288.0</v>
      </c>
      <c r="N101" s="22">
        <v>122750.0</v>
      </c>
      <c r="O101" s="26">
        <v>15.0</v>
      </c>
      <c r="P101" s="26">
        <v>1829.0</v>
      </c>
      <c r="Q101" s="26">
        <v>13.0</v>
      </c>
      <c r="R101" s="26">
        <v>1401.0</v>
      </c>
      <c r="S101" s="26">
        <v>6.0</v>
      </c>
      <c r="T101" s="26">
        <v>277.0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15529.0</v>
      </c>
      <c r="L102" s="22">
        <v>1136.0</v>
      </c>
      <c r="M102" s="22">
        <v>108424.0</v>
      </c>
      <c r="N102" s="22">
        <v>123953.0</v>
      </c>
      <c r="O102" s="26">
        <v>10.0</v>
      </c>
      <c r="P102" s="26">
        <v>1839.0</v>
      </c>
      <c r="Q102" s="26">
        <v>7.0</v>
      </c>
      <c r="R102" s="26">
        <v>1408.0</v>
      </c>
      <c r="S102" s="26">
        <v>2.0</v>
      </c>
      <c r="T102" s="26">
        <v>279.0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15580.0</v>
      </c>
      <c r="L103" s="22">
        <v>782.0</v>
      </c>
      <c r="M103" s="22">
        <v>109206.0</v>
      </c>
      <c r="N103" s="22">
        <v>124786.0</v>
      </c>
      <c r="O103" s="26">
        <v>11.0</v>
      </c>
      <c r="P103" s="26">
        <v>1850.0</v>
      </c>
      <c r="Q103" s="26">
        <v>7.0</v>
      </c>
      <c r="R103" s="26">
        <v>1415.0</v>
      </c>
      <c r="S103" s="26">
        <v>1.0</v>
      </c>
      <c r="T103" s="26">
        <v>280.0</v>
      </c>
      <c r="U103" s="26">
        <v>155.0</v>
      </c>
      <c r="V103" s="26">
        <v>153.0</v>
      </c>
      <c r="W103" s="26">
        <v>25.0</v>
      </c>
      <c r="X103" s="26">
        <v>17.0</v>
      </c>
      <c r="Y103" s="22">
        <v>4.0</v>
      </c>
      <c r="Z103" s="22">
        <v>883.0</v>
      </c>
    </row>
    <row r="104" ht="14.25" customHeight="1">
      <c r="A104" s="27">
        <v>43990.0</v>
      </c>
      <c r="B104" s="28">
        <v>119.0</v>
      </c>
      <c r="C104" s="28">
        <v>134.0</v>
      </c>
      <c r="D104" s="28">
        <v>21819.0</v>
      </c>
      <c r="E104" s="29">
        <v>1849.0</v>
      </c>
      <c r="F104" s="30">
        <v>168744.0</v>
      </c>
      <c r="G104" s="30">
        <v>1968.0</v>
      </c>
      <c r="H104" s="30">
        <v>190563.0</v>
      </c>
      <c r="I104" s="29">
        <v>45.0</v>
      </c>
      <c r="J104" s="29">
        <v>54.0</v>
      </c>
      <c r="K104" s="29">
        <v>15625.0</v>
      </c>
      <c r="L104" s="29">
        <v>959.0</v>
      </c>
      <c r="M104" s="29">
        <v>110165.0</v>
      </c>
      <c r="N104" s="29">
        <v>125790.0</v>
      </c>
      <c r="O104" s="29">
        <v>15.0</v>
      </c>
      <c r="P104" s="31">
        <v>1865.0</v>
      </c>
      <c r="Q104" s="31">
        <v>12.0</v>
      </c>
      <c r="R104" s="31">
        <v>1427.0</v>
      </c>
      <c r="S104" s="31">
        <v>2.0</v>
      </c>
      <c r="T104" s="31">
        <v>282.0</v>
      </c>
      <c r="U104" s="31">
        <v>156.0</v>
      </c>
      <c r="V104" s="31">
        <v>154.0</v>
      </c>
      <c r="W104" s="31">
        <v>27.0</v>
      </c>
      <c r="X104" s="31">
        <v>18.0</v>
      </c>
      <c r="Y104" s="31">
        <v>4.0</v>
      </c>
      <c r="Z104" s="28">
        <v>887.0</v>
      </c>
    </row>
    <row r="105" ht="14.25" customHeight="1">
      <c r="A105" s="27">
        <v>43991.0</v>
      </c>
      <c r="B105" s="28">
        <v>223.0</v>
      </c>
      <c r="C105" s="28">
        <v>142.0</v>
      </c>
      <c r="D105" s="28">
        <v>22042.0</v>
      </c>
      <c r="E105" s="29">
        <v>2673.0</v>
      </c>
      <c r="F105" s="30">
        <v>171417.0</v>
      </c>
      <c r="G105" s="30">
        <v>2896.0</v>
      </c>
      <c r="H105" s="30">
        <v>193459.0</v>
      </c>
      <c r="I105" s="29">
        <v>64.0</v>
      </c>
      <c r="J105" s="29">
        <v>53.0</v>
      </c>
      <c r="K105" s="29">
        <v>15689.0</v>
      </c>
      <c r="L105" s="29">
        <v>1257.0</v>
      </c>
      <c r="M105" s="29">
        <v>111422.0</v>
      </c>
      <c r="N105" s="29">
        <v>127111.0</v>
      </c>
      <c r="O105" s="29">
        <v>10.0</v>
      </c>
      <c r="P105" s="31">
        <v>1875.0</v>
      </c>
      <c r="Q105" s="31">
        <v>18.0</v>
      </c>
      <c r="R105" s="31">
        <v>1445.0</v>
      </c>
      <c r="S105" s="31">
        <v>0.0</v>
      </c>
      <c r="T105" s="31">
        <v>282.0</v>
      </c>
      <c r="U105" s="31">
        <v>148.0</v>
      </c>
      <c r="V105" s="31">
        <v>153.0</v>
      </c>
      <c r="W105" s="31">
        <v>28.0</v>
      </c>
      <c r="X105" s="31">
        <v>21.0</v>
      </c>
      <c r="Y105" s="31">
        <v>1.0</v>
      </c>
      <c r="Z105" s="28">
        <v>888.0</v>
      </c>
    </row>
    <row r="106" ht="14.25" customHeight="1">
      <c r="A106" s="27">
        <v>43992.0</v>
      </c>
      <c r="B106" s="28">
        <v>209.0</v>
      </c>
      <c r="C106" s="28">
        <v>184.0</v>
      </c>
      <c r="D106" s="28">
        <v>22251.0</v>
      </c>
      <c r="E106" s="29">
        <v>2987.0</v>
      </c>
      <c r="F106" s="30">
        <v>174404.0</v>
      </c>
      <c r="G106" s="30">
        <v>3196.0</v>
      </c>
      <c r="H106" s="30">
        <v>196655.0</v>
      </c>
      <c r="I106" s="29">
        <v>101.0</v>
      </c>
      <c r="J106" s="29">
        <v>70.0</v>
      </c>
      <c r="K106" s="29">
        <v>15790.0</v>
      </c>
      <c r="L106" s="29">
        <v>1464.0</v>
      </c>
      <c r="M106" s="29">
        <v>112886.0</v>
      </c>
      <c r="N106" s="29">
        <v>128676.0</v>
      </c>
      <c r="O106" s="29">
        <v>13.0</v>
      </c>
      <c r="P106" s="31">
        <v>1888.0</v>
      </c>
      <c r="Q106" s="31">
        <v>12.0</v>
      </c>
      <c r="R106" s="31">
        <v>1457.0</v>
      </c>
      <c r="S106" s="31">
        <v>2.0</v>
      </c>
      <c r="T106" s="31">
        <v>284.0</v>
      </c>
      <c r="U106" s="31">
        <v>147.0</v>
      </c>
      <c r="V106" s="31">
        <v>150.0</v>
      </c>
      <c r="W106" s="31">
        <v>24.0</v>
      </c>
      <c r="X106" s="31">
        <v>17.0</v>
      </c>
      <c r="Y106" s="31">
        <v>4.0</v>
      </c>
      <c r="Z106" s="28">
        <v>892.0</v>
      </c>
    </row>
    <row r="107" ht="14.25" customHeight="1">
      <c r="A107" s="27">
        <v>43993.0</v>
      </c>
      <c r="B107" s="28">
        <v>195.0</v>
      </c>
      <c r="C107" s="28">
        <v>209.0</v>
      </c>
      <c r="D107" s="28">
        <v>22446.0</v>
      </c>
      <c r="E107" s="29">
        <v>3513.0</v>
      </c>
      <c r="F107" s="30">
        <v>177917.0</v>
      </c>
      <c r="G107" s="30">
        <v>3708.0</v>
      </c>
      <c r="H107" s="30">
        <v>200363.0</v>
      </c>
      <c r="I107" s="29">
        <v>88.0</v>
      </c>
      <c r="J107" s="29">
        <v>84.0</v>
      </c>
      <c r="K107" s="29">
        <v>15878.0</v>
      </c>
      <c r="L107" s="29">
        <v>1534.0</v>
      </c>
      <c r="M107" s="29">
        <v>114420.0</v>
      </c>
      <c r="N107" s="29">
        <v>130298.0</v>
      </c>
      <c r="O107" s="29">
        <v>7.0</v>
      </c>
      <c r="P107" s="31">
        <v>1895.0</v>
      </c>
      <c r="Q107" s="31">
        <v>15.0</v>
      </c>
      <c r="R107" s="31">
        <v>1472.0</v>
      </c>
      <c r="S107" s="31">
        <v>1.0</v>
      </c>
      <c r="T107" s="31">
        <v>285.0</v>
      </c>
      <c r="U107" s="31">
        <v>138.0</v>
      </c>
      <c r="V107" s="31">
        <v>144.0</v>
      </c>
      <c r="W107" s="31">
        <v>25.0</v>
      </c>
      <c r="X107" s="31">
        <v>16.0</v>
      </c>
      <c r="Y107" s="31">
        <v>6.0</v>
      </c>
      <c r="Z107" s="28">
        <v>898.0</v>
      </c>
    </row>
    <row r="108" ht="14.25" customHeight="1">
      <c r="A108" s="27">
        <v>43994.0</v>
      </c>
      <c r="B108" s="28">
        <v>209.0</v>
      </c>
      <c r="C108" s="28">
        <v>204.0</v>
      </c>
      <c r="D108" s="28">
        <v>22655.0</v>
      </c>
      <c r="E108" s="29">
        <v>4601.0</v>
      </c>
      <c r="F108" s="30">
        <v>182518.0</v>
      </c>
      <c r="G108" s="30">
        <v>4810.0</v>
      </c>
      <c r="H108" s="30">
        <v>205173.0</v>
      </c>
      <c r="I108" s="29">
        <v>78.0</v>
      </c>
      <c r="J108" s="29">
        <v>89.0</v>
      </c>
      <c r="K108" s="29">
        <v>15956.0</v>
      </c>
      <c r="L108" s="29">
        <v>2178.0</v>
      </c>
      <c r="M108" s="29">
        <v>116598.0</v>
      </c>
      <c r="N108" s="29">
        <v>132554.0</v>
      </c>
      <c r="O108" s="29">
        <v>9.0</v>
      </c>
      <c r="P108" s="31">
        <v>1904.0</v>
      </c>
      <c r="Q108" s="31">
        <v>15.0</v>
      </c>
      <c r="R108" s="31">
        <v>1487.0</v>
      </c>
      <c r="S108" s="31">
        <v>1.0</v>
      </c>
      <c r="T108" s="31">
        <v>286.0</v>
      </c>
      <c r="U108" s="31">
        <v>131.0</v>
      </c>
      <c r="V108" s="31">
        <v>139.0</v>
      </c>
      <c r="W108" s="31">
        <v>24.0</v>
      </c>
      <c r="X108" s="31">
        <v>16.0</v>
      </c>
      <c r="Y108" s="31">
        <v>2.0</v>
      </c>
      <c r="Z108" s="28">
        <v>900.0</v>
      </c>
    </row>
    <row r="109" ht="14.25" customHeight="1">
      <c r="A109" s="27">
        <v>43995.0</v>
      </c>
      <c r="B109" s="28">
        <v>113.0</v>
      </c>
      <c r="C109" s="28">
        <v>172.0</v>
      </c>
      <c r="D109" s="28">
        <v>22768.0</v>
      </c>
      <c r="E109" s="29">
        <v>3036.0</v>
      </c>
      <c r="F109" s="30">
        <v>185554.0</v>
      </c>
      <c r="G109" s="30">
        <v>3149.0</v>
      </c>
      <c r="H109" s="30">
        <v>208322.0</v>
      </c>
      <c r="I109" s="29">
        <v>49.0</v>
      </c>
      <c r="J109" s="29">
        <v>72.0</v>
      </c>
      <c r="K109" s="29">
        <v>16005.0</v>
      </c>
      <c r="L109" s="29">
        <v>1373.0</v>
      </c>
      <c r="M109" s="29">
        <v>117971.0</v>
      </c>
      <c r="N109" s="29">
        <v>133976.0</v>
      </c>
      <c r="O109" s="29">
        <v>6.0</v>
      </c>
      <c r="P109" s="31">
        <v>1910.0</v>
      </c>
      <c r="Q109" s="31">
        <v>4.0</v>
      </c>
      <c r="R109" s="31">
        <v>1491.0</v>
      </c>
      <c r="S109" s="31">
        <v>0.0</v>
      </c>
      <c r="T109" s="31">
        <v>286.0</v>
      </c>
      <c r="U109" s="31">
        <v>133.0</v>
      </c>
      <c r="V109" s="31">
        <v>134.0</v>
      </c>
      <c r="W109" s="31">
        <v>20.0</v>
      </c>
      <c r="X109" s="31">
        <v>15.0</v>
      </c>
      <c r="Y109" s="31">
        <v>3.0</v>
      </c>
      <c r="Z109" s="28">
        <v>903.0</v>
      </c>
    </row>
    <row r="110" ht="14.25" customHeight="1">
      <c r="A110" s="27">
        <v>43996.0</v>
      </c>
      <c r="B110" s="28">
        <v>81.0</v>
      </c>
      <c r="C110" s="28">
        <v>134.0</v>
      </c>
      <c r="D110" s="28">
        <v>22849.0</v>
      </c>
      <c r="E110" s="29">
        <v>2046.0</v>
      </c>
      <c r="F110" s="30">
        <v>187600.0</v>
      </c>
      <c r="G110" s="30">
        <v>2127.0</v>
      </c>
      <c r="H110" s="30">
        <v>210449.0</v>
      </c>
      <c r="I110" s="29">
        <v>33.0</v>
      </c>
      <c r="J110" s="29">
        <v>53.0</v>
      </c>
      <c r="K110" s="29">
        <v>16038.0</v>
      </c>
      <c r="L110" s="29">
        <v>968.0</v>
      </c>
      <c r="M110" s="29">
        <v>118939.0</v>
      </c>
      <c r="N110" s="29">
        <v>134977.0</v>
      </c>
      <c r="O110" s="29">
        <v>7.0</v>
      </c>
      <c r="P110" s="31">
        <v>1917.0</v>
      </c>
      <c r="Q110" s="31">
        <v>8.0</v>
      </c>
      <c r="R110" s="31">
        <v>1499.0</v>
      </c>
      <c r="S110" s="31">
        <v>1.0</v>
      </c>
      <c r="T110" s="31">
        <v>287.0</v>
      </c>
      <c r="U110" s="31">
        <v>131.0</v>
      </c>
      <c r="V110" s="31">
        <v>132.0</v>
      </c>
      <c r="W110" s="31">
        <v>20.0</v>
      </c>
      <c r="X110" s="31">
        <v>14.0</v>
      </c>
      <c r="Y110" s="31">
        <v>3.0</v>
      </c>
      <c r="Z110" s="28">
        <v>906.0</v>
      </c>
    </row>
    <row r="111" ht="14.25" customHeight="1">
      <c r="A111" s="27">
        <v>43997.0</v>
      </c>
      <c r="B111" s="28">
        <v>188.0</v>
      </c>
      <c r="C111" s="28">
        <v>127.0</v>
      </c>
      <c r="D111" s="28">
        <v>23037.0</v>
      </c>
      <c r="E111" s="29">
        <v>3108.0</v>
      </c>
      <c r="F111" s="30">
        <v>190708.0</v>
      </c>
      <c r="G111" s="30">
        <v>3296.0</v>
      </c>
      <c r="H111" s="30">
        <v>213745.0</v>
      </c>
      <c r="I111" s="29">
        <v>75.0</v>
      </c>
      <c r="J111" s="29">
        <v>52.0</v>
      </c>
      <c r="K111" s="29">
        <v>16113.0</v>
      </c>
      <c r="L111" s="29">
        <v>1790.0</v>
      </c>
      <c r="M111" s="29">
        <v>120729.0</v>
      </c>
      <c r="N111" s="29">
        <v>136842.0</v>
      </c>
      <c r="O111" s="29">
        <v>14.0</v>
      </c>
      <c r="P111" s="31">
        <v>1931.0</v>
      </c>
      <c r="Q111" s="31">
        <v>14.0</v>
      </c>
      <c r="R111" s="31">
        <v>1513.0</v>
      </c>
      <c r="S111" s="31">
        <v>0.0</v>
      </c>
      <c r="T111" s="31">
        <v>287.0</v>
      </c>
      <c r="U111" s="31">
        <v>131.0</v>
      </c>
      <c r="V111" s="31">
        <v>132.0</v>
      </c>
      <c r="W111" s="31">
        <v>20.0</v>
      </c>
      <c r="X111" s="31">
        <v>16.0</v>
      </c>
      <c r="Y111" s="31">
        <v>5.0</v>
      </c>
      <c r="Z111" s="28">
        <v>911.0</v>
      </c>
    </row>
    <row r="112" ht="14.25" customHeight="1">
      <c r="A112" s="27">
        <v>43998.0</v>
      </c>
      <c r="B112" s="28">
        <v>110.0</v>
      </c>
      <c r="C112" s="28">
        <v>126.0</v>
      </c>
      <c r="D112" s="28">
        <v>23147.0</v>
      </c>
      <c r="E112" s="29">
        <v>3017.0</v>
      </c>
      <c r="F112" s="30">
        <v>193725.0</v>
      </c>
      <c r="G112" s="30">
        <v>3127.0</v>
      </c>
      <c r="H112" s="30">
        <v>216872.0</v>
      </c>
      <c r="I112" s="29">
        <v>50.0</v>
      </c>
      <c r="J112" s="29">
        <v>53.0</v>
      </c>
      <c r="K112" s="29">
        <v>16163.0</v>
      </c>
      <c r="L112" s="29">
        <v>1577.0</v>
      </c>
      <c r="M112" s="29">
        <v>122306.0</v>
      </c>
      <c r="N112" s="29">
        <v>138469.0</v>
      </c>
      <c r="O112" s="29">
        <v>11.0</v>
      </c>
      <c r="P112" s="31">
        <v>1942.0</v>
      </c>
      <c r="Q112" s="31">
        <v>9.0</v>
      </c>
      <c r="R112" s="31">
        <v>1522.0</v>
      </c>
      <c r="S112" s="31">
        <v>1.0</v>
      </c>
      <c r="T112" s="31">
        <v>288.0</v>
      </c>
      <c r="U112" s="31">
        <v>132.0</v>
      </c>
      <c r="V112" s="31">
        <v>131.0</v>
      </c>
      <c r="W112" s="31">
        <v>22.0</v>
      </c>
      <c r="X112" s="31">
        <v>16.0</v>
      </c>
      <c r="Y112" s="31">
        <v>8.0</v>
      </c>
      <c r="Z112" s="28">
        <v>919.0</v>
      </c>
    </row>
    <row r="113" ht="14.25" customHeight="1">
      <c r="A113" s="27">
        <v>43999.0</v>
      </c>
      <c r="B113" s="28">
        <v>127.0</v>
      </c>
      <c r="C113" s="28">
        <v>142.0</v>
      </c>
      <c r="D113" s="28">
        <v>23274.0</v>
      </c>
      <c r="E113" s="29">
        <v>2835.0</v>
      </c>
      <c r="F113" s="30">
        <v>196560.0</v>
      </c>
      <c r="G113" s="30">
        <v>2962.0</v>
      </c>
      <c r="H113" s="30">
        <v>219834.0</v>
      </c>
      <c r="I113" s="29">
        <v>50.0</v>
      </c>
      <c r="J113" s="29">
        <v>58.0</v>
      </c>
      <c r="K113" s="29">
        <v>16213.0</v>
      </c>
      <c r="L113" s="29">
        <v>1318.0</v>
      </c>
      <c r="M113" s="29">
        <v>123624.0</v>
      </c>
      <c r="N113" s="29">
        <v>139837.0</v>
      </c>
      <c r="O113" s="29">
        <v>15.0</v>
      </c>
      <c r="P113" s="31">
        <v>1957.0</v>
      </c>
      <c r="Q113" s="31">
        <v>20.0</v>
      </c>
      <c r="R113" s="31">
        <v>1542.0</v>
      </c>
      <c r="S113" s="31">
        <v>4.0</v>
      </c>
      <c r="T113" s="31">
        <v>292.0</v>
      </c>
      <c r="U113" s="31">
        <v>123.0</v>
      </c>
      <c r="V113" s="31">
        <v>129.0</v>
      </c>
      <c r="W113" s="31">
        <v>18.0</v>
      </c>
      <c r="X113" s="31">
        <v>14.0</v>
      </c>
      <c r="Y113" s="31">
        <v>6.0</v>
      </c>
      <c r="Z113" s="28">
        <v>925.0</v>
      </c>
    </row>
    <row r="114" ht="14.25" customHeight="1">
      <c r="A114" s="27">
        <v>44000.0</v>
      </c>
      <c r="B114" s="28">
        <v>149.0</v>
      </c>
      <c r="C114" s="28">
        <v>129.0</v>
      </c>
      <c r="D114" s="28">
        <v>23423.0</v>
      </c>
      <c r="E114" s="29">
        <v>3047.0</v>
      </c>
      <c r="F114" s="30">
        <v>199607.0</v>
      </c>
      <c r="G114" s="30">
        <v>3196.0</v>
      </c>
      <c r="H114" s="30">
        <v>223030.0</v>
      </c>
      <c r="I114" s="29">
        <v>70.0</v>
      </c>
      <c r="J114" s="29">
        <v>57.0</v>
      </c>
      <c r="K114" s="29">
        <v>16283.0</v>
      </c>
      <c r="L114" s="29">
        <v>1312.0</v>
      </c>
      <c r="M114" s="29">
        <v>124936.0</v>
      </c>
      <c r="N114" s="29">
        <v>141219.0</v>
      </c>
      <c r="O114" s="29">
        <v>9.0</v>
      </c>
      <c r="P114" s="31">
        <v>1966.0</v>
      </c>
      <c r="Q114" s="31">
        <v>13.0</v>
      </c>
      <c r="R114" s="31">
        <v>1555.0</v>
      </c>
      <c r="S114" s="31">
        <v>1.0</v>
      </c>
      <c r="T114" s="31">
        <v>293.0</v>
      </c>
      <c r="U114" s="31">
        <v>118.0</v>
      </c>
      <c r="V114" s="31">
        <v>124.0</v>
      </c>
      <c r="W114" s="31">
        <v>19.0</v>
      </c>
      <c r="X114" s="31">
        <v>16.0</v>
      </c>
      <c r="Y114" s="31">
        <v>7.0</v>
      </c>
      <c r="Z114" s="28">
        <v>932.0</v>
      </c>
    </row>
    <row r="115" ht="14.25" customHeight="1">
      <c r="A115" s="27">
        <v>44001.0</v>
      </c>
      <c r="B115" s="28">
        <v>141.0</v>
      </c>
      <c r="C115" s="28">
        <v>139.0</v>
      </c>
      <c r="D115" s="28">
        <v>23564.0</v>
      </c>
      <c r="E115" s="29">
        <v>3769.0</v>
      </c>
      <c r="F115" s="30">
        <v>203376.0</v>
      </c>
      <c r="G115" s="30">
        <v>3910.0</v>
      </c>
      <c r="H115" s="30">
        <v>226940.0</v>
      </c>
      <c r="I115" s="29">
        <v>59.0</v>
      </c>
      <c r="J115" s="29">
        <v>60.0</v>
      </c>
      <c r="K115" s="29">
        <v>16342.0</v>
      </c>
      <c r="L115" s="29">
        <v>1370.0</v>
      </c>
      <c r="M115" s="29">
        <v>126306.0</v>
      </c>
      <c r="N115" s="29">
        <v>142648.0</v>
      </c>
      <c r="O115" s="29">
        <v>12.0</v>
      </c>
      <c r="P115" s="31">
        <v>1978.0</v>
      </c>
      <c r="Q115" s="31">
        <v>11.0</v>
      </c>
      <c r="R115" s="31">
        <v>1566.0</v>
      </c>
      <c r="S115" s="31">
        <v>1.0</v>
      </c>
      <c r="T115" s="31">
        <v>294.0</v>
      </c>
      <c r="U115" s="31">
        <v>118.0</v>
      </c>
      <c r="V115" s="31">
        <v>120.0</v>
      </c>
      <c r="W115" s="31">
        <v>20.0</v>
      </c>
      <c r="X115" s="31">
        <v>17.0</v>
      </c>
      <c r="Y115" s="31">
        <v>3.0</v>
      </c>
      <c r="Z115" s="28">
        <v>935.0</v>
      </c>
    </row>
    <row r="116" ht="14.25" customHeight="1">
      <c r="A116" s="27">
        <v>44002.0</v>
      </c>
      <c r="B116" s="28">
        <v>84.0</v>
      </c>
      <c r="C116" s="28">
        <v>125.0</v>
      </c>
      <c r="D116" s="28">
        <v>23648.0</v>
      </c>
      <c r="E116" s="29">
        <v>1891.0</v>
      </c>
      <c r="F116" s="30">
        <v>205267.0</v>
      </c>
      <c r="G116" s="30">
        <v>1975.0</v>
      </c>
      <c r="H116" s="30">
        <v>228915.0</v>
      </c>
      <c r="I116" s="29">
        <v>36.0</v>
      </c>
      <c r="J116" s="29">
        <v>55.0</v>
      </c>
      <c r="K116" s="29">
        <v>16378.0</v>
      </c>
      <c r="L116" s="29">
        <v>812.0</v>
      </c>
      <c r="M116" s="29">
        <v>127118.0</v>
      </c>
      <c r="N116" s="29">
        <v>143496.0</v>
      </c>
      <c r="O116" s="29">
        <v>9.0</v>
      </c>
      <c r="P116" s="31">
        <v>1987.0</v>
      </c>
      <c r="Q116" s="31">
        <v>12.0</v>
      </c>
      <c r="R116" s="31">
        <v>1578.0</v>
      </c>
      <c r="S116" s="31">
        <v>0.0</v>
      </c>
      <c r="T116" s="31">
        <v>294.0</v>
      </c>
      <c r="U116" s="31">
        <v>115.0</v>
      </c>
      <c r="V116" s="31">
        <v>117.0</v>
      </c>
      <c r="W116" s="31">
        <v>20.0</v>
      </c>
      <c r="X116" s="31">
        <v>18.0</v>
      </c>
      <c r="Y116" s="31">
        <v>4.0</v>
      </c>
      <c r="Z116" s="28">
        <v>939.0</v>
      </c>
    </row>
    <row r="117" ht="14.25" customHeight="1">
      <c r="A117" s="27">
        <v>44003.0</v>
      </c>
      <c r="B117" s="28">
        <v>37.0</v>
      </c>
      <c r="C117" s="28">
        <v>87.0</v>
      </c>
      <c r="D117" s="28">
        <v>23685.0</v>
      </c>
      <c r="E117" s="29">
        <v>1064.0</v>
      </c>
      <c r="F117" s="30">
        <v>206331.0</v>
      </c>
      <c r="G117" s="30">
        <v>1101.0</v>
      </c>
      <c r="H117" s="30">
        <v>230016.0</v>
      </c>
      <c r="I117" s="29">
        <v>29.0</v>
      </c>
      <c r="J117" s="29">
        <v>41.0</v>
      </c>
      <c r="K117" s="29">
        <v>16407.0</v>
      </c>
      <c r="L117" s="29">
        <v>692.0</v>
      </c>
      <c r="M117" s="29">
        <v>127810.0</v>
      </c>
      <c r="N117" s="29">
        <v>144217.0</v>
      </c>
      <c r="O117" s="29">
        <v>8.0</v>
      </c>
      <c r="P117" s="31">
        <v>1995.0</v>
      </c>
      <c r="Q117" s="31">
        <v>5.0</v>
      </c>
      <c r="R117" s="31">
        <v>1583.0</v>
      </c>
      <c r="S117" s="31">
        <v>0.0</v>
      </c>
      <c r="T117" s="31">
        <v>294.0</v>
      </c>
      <c r="U117" s="31">
        <v>118.0</v>
      </c>
      <c r="V117" s="31">
        <v>117.0</v>
      </c>
      <c r="W117" s="31">
        <v>20.0</v>
      </c>
      <c r="X117" s="31">
        <v>18.0</v>
      </c>
      <c r="Y117" s="31">
        <v>2.0</v>
      </c>
      <c r="Z117" s="28">
        <v>941.0</v>
      </c>
    </row>
    <row r="118" ht="14.25" customHeight="1">
      <c r="A118" s="27">
        <v>44004.0</v>
      </c>
      <c r="B118" s="28">
        <v>138.0</v>
      </c>
      <c r="C118" s="28">
        <v>86.0</v>
      </c>
      <c r="D118" s="28">
        <v>23823.0</v>
      </c>
      <c r="E118" s="29">
        <v>3730.0</v>
      </c>
      <c r="F118" s="30">
        <v>210061.0</v>
      </c>
      <c r="G118" s="30">
        <v>3868.0</v>
      </c>
      <c r="H118" s="30">
        <v>233884.0</v>
      </c>
      <c r="I118" s="29">
        <v>65.0</v>
      </c>
      <c r="J118" s="29">
        <v>43.0</v>
      </c>
      <c r="K118" s="29">
        <v>16472.0</v>
      </c>
      <c r="L118" s="29">
        <v>1705.0</v>
      </c>
      <c r="M118" s="29">
        <v>129515.0</v>
      </c>
      <c r="N118" s="29">
        <v>145987.0</v>
      </c>
      <c r="O118" s="29">
        <v>12.0</v>
      </c>
      <c r="P118" s="31">
        <v>2007.0</v>
      </c>
      <c r="Q118" s="31">
        <v>16.0</v>
      </c>
      <c r="R118" s="31">
        <v>1599.0</v>
      </c>
      <c r="S118" s="31">
        <v>0.0</v>
      </c>
      <c r="T118" s="31">
        <v>294.0</v>
      </c>
      <c r="U118" s="31">
        <v>114.0</v>
      </c>
      <c r="V118" s="31">
        <v>116.0</v>
      </c>
      <c r="W118" s="31">
        <v>19.0</v>
      </c>
      <c r="X118" s="31">
        <v>18.0</v>
      </c>
      <c r="Y118" s="31">
        <v>2.0</v>
      </c>
      <c r="Z118" s="28">
        <v>943.0</v>
      </c>
    </row>
    <row r="119" ht="14.25" customHeight="1">
      <c r="A119" s="27">
        <v>44005.0</v>
      </c>
      <c r="B119" s="28">
        <v>163.0</v>
      </c>
      <c r="C119" s="28">
        <v>113.0</v>
      </c>
      <c r="D119" s="28">
        <v>23986.0</v>
      </c>
      <c r="E119" s="29">
        <v>3831.0</v>
      </c>
      <c r="F119" s="30">
        <v>213892.0</v>
      </c>
      <c r="G119" s="30">
        <v>3994.0</v>
      </c>
      <c r="H119" s="30">
        <v>237878.0</v>
      </c>
      <c r="I119" s="29">
        <v>81.0</v>
      </c>
      <c r="J119" s="29">
        <v>58.0</v>
      </c>
      <c r="K119" s="29">
        <v>16553.0</v>
      </c>
      <c r="L119" s="29">
        <v>1780.0</v>
      </c>
      <c r="M119" s="29">
        <v>131295.0</v>
      </c>
      <c r="N119" s="29">
        <v>147848.0</v>
      </c>
      <c r="O119" s="29">
        <v>3.0</v>
      </c>
      <c r="P119" s="31">
        <v>2010.0</v>
      </c>
      <c r="Q119" s="31">
        <v>13.0</v>
      </c>
      <c r="R119" s="31">
        <v>1612.0</v>
      </c>
      <c r="S119" s="31">
        <v>3.0</v>
      </c>
      <c r="T119" s="31">
        <v>297.0</v>
      </c>
      <c r="U119" s="31">
        <v>101.0</v>
      </c>
      <c r="V119" s="31">
        <v>111.0</v>
      </c>
      <c r="W119" s="31">
        <v>18.0</v>
      </c>
      <c r="X119" s="31">
        <v>18.0</v>
      </c>
      <c r="Y119" s="31">
        <v>7.0</v>
      </c>
      <c r="Z119" s="28">
        <v>950.0</v>
      </c>
    </row>
    <row r="120" ht="14.25" customHeight="1">
      <c r="A120" s="27">
        <v>44006.0</v>
      </c>
      <c r="B120" s="28">
        <v>120.0</v>
      </c>
      <c r="C120" s="28">
        <v>140.0</v>
      </c>
      <c r="D120" s="28">
        <v>24106.0</v>
      </c>
      <c r="E120" s="29">
        <v>3502.0</v>
      </c>
      <c r="F120" s="30">
        <v>217394.0</v>
      </c>
      <c r="G120" s="30">
        <v>3622.0</v>
      </c>
      <c r="H120" s="30">
        <v>241500.0</v>
      </c>
      <c r="I120" s="29">
        <v>44.0</v>
      </c>
      <c r="J120" s="29">
        <v>63.0</v>
      </c>
      <c r="K120" s="29">
        <v>16597.0</v>
      </c>
      <c r="L120" s="29">
        <v>1685.0</v>
      </c>
      <c r="M120" s="29">
        <v>132980.0</v>
      </c>
      <c r="N120" s="29">
        <v>149577.0</v>
      </c>
      <c r="O120" s="29">
        <v>9.0</v>
      </c>
      <c r="P120" s="31">
        <v>2019.0</v>
      </c>
      <c r="Q120" s="31">
        <v>10.0</v>
      </c>
      <c r="R120" s="31">
        <v>1622.0</v>
      </c>
      <c r="S120" s="31">
        <v>1.0</v>
      </c>
      <c r="T120" s="31">
        <v>298.0</v>
      </c>
      <c r="U120" s="31">
        <v>99.0</v>
      </c>
      <c r="V120" s="31">
        <v>105.0</v>
      </c>
      <c r="W120" s="31">
        <v>18.0</v>
      </c>
      <c r="X120" s="31">
        <v>18.0</v>
      </c>
      <c r="Y120" s="31">
        <v>5.0</v>
      </c>
      <c r="Z120" s="28">
        <v>955.0</v>
      </c>
    </row>
    <row r="121" ht="14.25" customHeight="1">
      <c r="A121" s="27">
        <v>44007.0</v>
      </c>
      <c r="B121" s="28">
        <v>103.0</v>
      </c>
      <c r="C121" s="28">
        <v>129.0</v>
      </c>
      <c r="D121" s="28">
        <v>24209.0</v>
      </c>
      <c r="E121" s="29">
        <v>2883.0</v>
      </c>
      <c r="F121" s="30">
        <v>220277.0</v>
      </c>
      <c r="G121" s="30">
        <v>2986.0</v>
      </c>
      <c r="H121" s="30">
        <v>244486.0</v>
      </c>
      <c r="I121" s="29">
        <v>50.0</v>
      </c>
      <c r="J121" s="29">
        <v>58.0</v>
      </c>
      <c r="K121" s="29">
        <v>16647.0</v>
      </c>
      <c r="L121" s="29">
        <v>1512.0</v>
      </c>
      <c r="M121" s="29">
        <v>134492.0</v>
      </c>
      <c r="N121" s="29">
        <v>151139.0</v>
      </c>
      <c r="O121" s="29">
        <v>6.0</v>
      </c>
      <c r="P121" s="31">
        <v>2025.0</v>
      </c>
      <c r="Q121" s="31">
        <v>14.0</v>
      </c>
      <c r="R121" s="31">
        <v>1636.0</v>
      </c>
      <c r="S121" s="31">
        <v>1.0</v>
      </c>
      <c r="T121" s="31">
        <v>299.0</v>
      </c>
      <c r="U121" s="31">
        <v>90.0</v>
      </c>
      <c r="V121" s="31">
        <v>97.0</v>
      </c>
      <c r="W121" s="31">
        <v>17.0</v>
      </c>
      <c r="X121" s="31">
        <v>17.0</v>
      </c>
      <c r="Y121" s="31">
        <v>1.0</v>
      </c>
      <c r="Z121" s="28">
        <v>956.0</v>
      </c>
    </row>
    <row r="122" ht="14.25" customHeight="1">
      <c r="A122" s="27">
        <v>44008.0</v>
      </c>
      <c r="B122" s="28">
        <v>94.0</v>
      </c>
      <c r="C122" s="28">
        <v>106.0</v>
      </c>
      <c r="D122" s="28">
        <v>24303.0</v>
      </c>
      <c r="E122" s="29">
        <v>2488.0</v>
      </c>
      <c r="F122" s="30">
        <v>222765.0</v>
      </c>
      <c r="G122" s="30">
        <v>2582.0</v>
      </c>
      <c r="H122" s="30">
        <v>247068.0</v>
      </c>
      <c r="I122" s="29">
        <v>60.0</v>
      </c>
      <c r="J122" s="29">
        <v>51.0</v>
      </c>
      <c r="K122" s="29">
        <v>16707.0</v>
      </c>
      <c r="L122" s="29">
        <v>1331.0</v>
      </c>
      <c r="M122" s="29">
        <v>135823.0</v>
      </c>
      <c r="N122" s="29">
        <v>152530.0</v>
      </c>
      <c r="O122" s="29">
        <v>2.0</v>
      </c>
      <c r="P122" s="31">
        <v>2027.0</v>
      </c>
      <c r="Q122" s="31">
        <v>10.0</v>
      </c>
      <c r="R122" s="31">
        <v>1646.0</v>
      </c>
      <c r="S122" s="31">
        <v>0.0</v>
      </c>
      <c r="T122" s="31">
        <v>299.0</v>
      </c>
      <c r="U122" s="31">
        <v>82.0</v>
      </c>
      <c r="V122" s="31">
        <v>90.0</v>
      </c>
      <c r="W122" s="31">
        <v>18.0</v>
      </c>
      <c r="X122" s="31">
        <v>18.0</v>
      </c>
      <c r="Y122" s="31">
        <v>1.0</v>
      </c>
      <c r="Z122" s="28">
        <v>957.0</v>
      </c>
    </row>
    <row r="123" ht="14.25" customHeight="1">
      <c r="A123" s="27">
        <v>44009.0</v>
      </c>
      <c r="B123" s="28">
        <v>84.0</v>
      </c>
      <c r="C123" s="28">
        <v>94.0</v>
      </c>
      <c r="D123" s="28">
        <v>24387.0</v>
      </c>
      <c r="E123" s="29">
        <v>3214.0</v>
      </c>
      <c r="F123" s="30">
        <v>225979.0</v>
      </c>
      <c r="G123" s="30">
        <v>3298.0</v>
      </c>
      <c r="H123" s="30">
        <v>250366.0</v>
      </c>
      <c r="I123" s="29">
        <v>37.0</v>
      </c>
      <c r="J123" s="29">
        <v>49.0</v>
      </c>
      <c r="K123" s="29">
        <v>16744.0</v>
      </c>
      <c r="L123" s="29">
        <v>1218.0</v>
      </c>
      <c r="M123" s="29">
        <v>137041.0</v>
      </c>
      <c r="N123" s="29">
        <v>153785.0</v>
      </c>
      <c r="O123" s="29">
        <v>5.0</v>
      </c>
      <c r="P123" s="31">
        <v>2032.0</v>
      </c>
      <c r="Q123" s="31">
        <v>3.0</v>
      </c>
      <c r="R123" s="31">
        <v>1649.0</v>
      </c>
      <c r="S123" s="31">
        <v>1.0</v>
      </c>
      <c r="T123" s="31">
        <v>300.0</v>
      </c>
      <c r="U123" s="31">
        <v>83.0</v>
      </c>
      <c r="V123" s="31">
        <v>85.0</v>
      </c>
      <c r="W123" s="31">
        <v>17.0</v>
      </c>
      <c r="X123" s="31">
        <v>17.0</v>
      </c>
      <c r="Y123" s="31">
        <v>5.0</v>
      </c>
      <c r="Z123" s="28">
        <v>962.0</v>
      </c>
    </row>
    <row r="124" ht="14.25" customHeight="1">
      <c r="A124" s="27">
        <v>44010.0</v>
      </c>
      <c r="B124" s="28">
        <v>39.0</v>
      </c>
      <c r="C124" s="28">
        <v>72.0</v>
      </c>
      <c r="D124" s="28">
        <v>24426.0</v>
      </c>
      <c r="E124" s="29">
        <v>1469.0</v>
      </c>
      <c r="F124" s="30">
        <v>227448.0</v>
      </c>
      <c r="G124" s="30">
        <v>1508.0</v>
      </c>
      <c r="H124" s="30">
        <v>251874.0</v>
      </c>
      <c r="I124" s="29">
        <v>17.0</v>
      </c>
      <c r="J124" s="29">
        <v>38.0</v>
      </c>
      <c r="K124" s="29">
        <v>16761.0</v>
      </c>
      <c r="L124" s="29">
        <v>595.0</v>
      </c>
      <c r="M124" s="29">
        <v>137636.0</v>
      </c>
      <c r="N124" s="29">
        <v>154397.0</v>
      </c>
      <c r="O124" s="29">
        <v>4.0</v>
      </c>
      <c r="P124" s="31">
        <v>2036.0</v>
      </c>
      <c r="Q124" s="31">
        <v>4.0</v>
      </c>
      <c r="R124" s="31">
        <v>1653.0</v>
      </c>
      <c r="S124" s="31">
        <v>4.0</v>
      </c>
      <c r="T124" s="31">
        <v>304.0</v>
      </c>
      <c r="U124" s="31">
        <v>79.0</v>
      </c>
      <c r="V124" s="31">
        <v>81.0</v>
      </c>
      <c r="W124" s="31">
        <v>15.0</v>
      </c>
      <c r="X124" s="31">
        <v>14.0</v>
      </c>
      <c r="Y124" s="31">
        <v>6.0</v>
      </c>
      <c r="Z124" s="28">
        <v>968.0</v>
      </c>
    </row>
    <row r="125" ht="14.25" customHeight="1">
      <c r="A125" s="27">
        <v>44011.0</v>
      </c>
      <c r="B125" s="28">
        <v>85.0</v>
      </c>
      <c r="C125" s="28">
        <v>69.0</v>
      </c>
      <c r="D125" s="28">
        <v>24511.0</v>
      </c>
      <c r="E125" s="29">
        <v>3697.0</v>
      </c>
      <c r="F125" s="30">
        <v>231145.0</v>
      </c>
      <c r="G125" s="30">
        <v>3782.0</v>
      </c>
      <c r="H125" s="30">
        <v>255656.0</v>
      </c>
      <c r="I125" s="29">
        <v>39.0</v>
      </c>
      <c r="J125" s="29">
        <v>31.0</v>
      </c>
      <c r="K125" s="29">
        <v>16800.0</v>
      </c>
      <c r="L125" s="29">
        <v>1352.0</v>
      </c>
      <c r="M125" s="29">
        <v>138988.0</v>
      </c>
      <c r="N125" s="29">
        <v>155788.0</v>
      </c>
      <c r="O125" s="29">
        <v>4.0</v>
      </c>
      <c r="P125" s="31">
        <v>2040.0</v>
      </c>
      <c r="Q125" s="31">
        <v>5.0</v>
      </c>
      <c r="R125" s="31">
        <v>1658.0</v>
      </c>
      <c r="S125" s="31">
        <v>0.0</v>
      </c>
      <c r="T125" s="31">
        <v>304.0</v>
      </c>
      <c r="U125" s="31">
        <v>78.0</v>
      </c>
      <c r="V125" s="31">
        <v>80.0</v>
      </c>
      <c r="W125" s="31">
        <v>14.0</v>
      </c>
      <c r="X125" s="31">
        <v>14.0</v>
      </c>
      <c r="Y125" s="31">
        <v>1.0</v>
      </c>
      <c r="Z125" s="28">
        <v>969.0</v>
      </c>
    </row>
    <row r="126" ht="14.25" customHeight="1">
      <c r="A126" s="27">
        <v>44012.0</v>
      </c>
      <c r="B126" s="28">
        <v>57.0</v>
      </c>
      <c r="C126" s="28">
        <v>60.0</v>
      </c>
      <c r="D126" s="28">
        <v>24568.0</v>
      </c>
      <c r="E126" s="29">
        <v>1957.0</v>
      </c>
      <c r="F126" s="30">
        <v>233102.0</v>
      </c>
      <c r="G126" s="30">
        <v>2014.0</v>
      </c>
      <c r="H126" s="30">
        <v>257670.0</v>
      </c>
      <c r="I126" s="29">
        <v>33.0</v>
      </c>
      <c r="J126" s="29">
        <v>30.0</v>
      </c>
      <c r="K126" s="29">
        <v>16833.0</v>
      </c>
      <c r="L126" s="29">
        <v>995.0</v>
      </c>
      <c r="M126" s="29">
        <v>139983.0</v>
      </c>
      <c r="N126" s="29">
        <v>156816.0</v>
      </c>
      <c r="O126" s="29">
        <v>1.0</v>
      </c>
      <c r="P126" s="31">
        <v>2041.0</v>
      </c>
      <c r="Q126" s="31">
        <v>5.0</v>
      </c>
      <c r="R126" s="31">
        <v>1663.0</v>
      </c>
      <c r="S126" s="31">
        <v>1.0</v>
      </c>
      <c r="T126" s="31">
        <v>305.0</v>
      </c>
      <c r="U126" s="31">
        <v>73.0</v>
      </c>
      <c r="V126" s="31">
        <v>77.0</v>
      </c>
      <c r="W126" s="31">
        <v>12.0</v>
      </c>
      <c r="X126" s="31">
        <v>11.0</v>
      </c>
      <c r="Y126" s="31">
        <v>4.0</v>
      </c>
      <c r="Z126" s="28">
        <v>973.0</v>
      </c>
    </row>
    <row r="127" ht="14.25" customHeight="1">
      <c r="A127" s="27">
        <v>44013.0</v>
      </c>
      <c r="B127" s="28">
        <v>144.0</v>
      </c>
      <c r="C127" s="28">
        <v>95.0</v>
      </c>
      <c r="D127" s="28">
        <v>24712.0</v>
      </c>
      <c r="E127" s="29">
        <v>4098.0</v>
      </c>
      <c r="F127" s="30">
        <v>237200.0</v>
      </c>
      <c r="G127" s="30">
        <v>4242.0</v>
      </c>
      <c r="H127" s="30">
        <v>261912.0</v>
      </c>
      <c r="I127" s="29">
        <v>78.0</v>
      </c>
      <c r="J127" s="29">
        <v>50.0</v>
      </c>
      <c r="K127" s="29">
        <v>16911.0</v>
      </c>
      <c r="L127" s="29">
        <v>1934.0</v>
      </c>
      <c r="M127" s="29">
        <v>141917.0</v>
      </c>
      <c r="N127" s="29">
        <v>158828.0</v>
      </c>
      <c r="O127" s="29">
        <v>7.0</v>
      </c>
      <c r="P127" s="31">
        <v>2048.0</v>
      </c>
      <c r="Q127" s="31">
        <v>9.0</v>
      </c>
      <c r="R127" s="31">
        <v>1672.0</v>
      </c>
      <c r="S127" s="31">
        <v>0.0</v>
      </c>
      <c r="T127" s="31">
        <v>305.0</v>
      </c>
      <c r="U127" s="31">
        <v>71.0</v>
      </c>
      <c r="V127" s="31">
        <v>74.0</v>
      </c>
      <c r="W127" s="31">
        <v>11.0</v>
      </c>
      <c r="X127" s="31">
        <v>11.0</v>
      </c>
      <c r="Y127" s="31">
        <v>1.0</v>
      </c>
      <c r="Z127" s="28">
        <v>974.0</v>
      </c>
    </row>
    <row r="128" ht="14.25" customHeight="1">
      <c r="A128" s="27">
        <v>44014.0</v>
      </c>
      <c r="B128" s="28">
        <v>103.0</v>
      </c>
      <c r="C128" s="28">
        <v>101.0</v>
      </c>
      <c r="D128" s="28">
        <v>24815.0</v>
      </c>
      <c r="E128" s="29">
        <v>2803.0</v>
      </c>
      <c r="F128" s="30">
        <v>240003.0</v>
      </c>
      <c r="G128" s="30">
        <v>2906.0</v>
      </c>
      <c r="H128" s="30">
        <v>264818.0</v>
      </c>
      <c r="I128" s="29">
        <v>59.0</v>
      </c>
      <c r="J128" s="29">
        <v>57.0</v>
      </c>
      <c r="K128" s="29">
        <v>16970.0</v>
      </c>
      <c r="L128" s="29">
        <v>1088.0</v>
      </c>
      <c r="M128" s="29">
        <v>143005.0</v>
      </c>
      <c r="N128" s="29">
        <v>159975.0</v>
      </c>
      <c r="O128" s="29">
        <v>5.0</v>
      </c>
      <c r="P128" s="31">
        <v>2053.0</v>
      </c>
      <c r="Q128" s="31">
        <v>5.0</v>
      </c>
      <c r="R128" s="31">
        <v>1677.0</v>
      </c>
      <c r="S128" s="31">
        <v>1.0</v>
      </c>
      <c r="T128" s="31">
        <v>306.0</v>
      </c>
      <c r="U128" s="31">
        <v>70.0</v>
      </c>
      <c r="V128" s="31">
        <v>71.0</v>
      </c>
      <c r="W128" s="31">
        <v>10.0</v>
      </c>
      <c r="X128" s="31">
        <v>10.0</v>
      </c>
      <c r="Y128" s="31">
        <v>3.0</v>
      </c>
      <c r="Z128" s="28">
        <v>977.0</v>
      </c>
    </row>
    <row r="129" ht="14.25" customHeight="1">
      <c r="A129" s="27">
        <v>44015.0</v>
      </c>
      <c r="B129" s="28">
        <v>50.0</v>
      </c>
      <c r="C129" s="28">
        <v>99.0</v>
      </c>
      <c r="D129" s="28">
        <v>24865.0</v>
      </c>
      <c r="E129" s="29">
        <v>2076.0</v>
      </c>
      <c r="F129" s="30">
        <v>242079.0</v>
      </c>
      <c r="G129" s="30">
        <v>2126.0</v>
      </c>
      <c r="H129" s="30">
        <v>266944.0</v>
      </c>
      <c r="I129" s="29">
        <v>25.0</v>
      </c>
      <c r="J129" s="29">
        <v>54.0</v>
      </c>
      <c r="K129" s="29">
        <v>16995.0</v>
      </c>
      <c r="L129" s="29">
        <v>778.0</v>
      </c>
      <c r="M129" s="29">
        <v>143783.0</v>
      </c>
      <c r="N129" s="29">
        <v>160778.0</v>
      </c>
      <c r="O129" s="29">
        <v>9.0</v>
      </c>
      <c r="P129" s="31">
        <v>2062.0</v>
      </c>
      <c r="Q129" s="31">
        <v>6.0</v>
      </c>
      <c r="R129" s="31">
        <v>1683.0</v>
      </c>
      <c r="S129" s="31">
        <v>0.0</v>
      </c>
      <c r="T129" s="31">
        <v>306.0</v>
      </c>
      <c r="U129" s="31">
        <v>73.0</v>
      </c>
      <c r="V129" s="31">
        <v>71.0</v>
      </c>
      <c r="W129" s="31">
        <v>9.0</v>
      </c>
      <c r="X129" s="31">
        <v>9.0</v>
      </c>
      <c r="Y129" s="31">
        <v>3.0</v>
      </c>
      <c r="Z129" s="28">
        <v>980.0</v>
      </c>
    </row>
    <row r="130" ht="14.25" customHeight="1">
      <c r="A130" s="27">
        <v>44016.0</v>
      </c>
      <c r="B130" s="28">
        <v>57.0</v>
      </c>
      <c r="C130" s="28">
        <v>70.0</v>
      </c>
      <c r="D130" s="28">
        <v>24922.0</v>
      </c>
      <c r="E130" s="29">
        <v>2345.0</v>
      </c>
      <c r="F130" s="30">
        <v>244424.0</v>
      </c>
      <c r="G130" s="30">
        <v>2402.0</v>
      </c>
      <c r="H130" s="30">
        <v>269346.0</v>
      </c>
      <c r="I130" s="29">
        <v>33.0</v>
      </c>
      <c r="J130" s="29">
        <v>39.0</v>
      </c>
      <c r="K130" s="29">
        <v>17028.0</v>
      </c>
      <c r="L130" s="29">
        <v>1011.0</v>
      </c>
      <c r="M130" s="29">
        <v>144794.0</v>
      </c>
      <c r="N130" s="29">
        <v>161822.0</v>
      </c>
      <c r="O130" s="29">
        <v>2.0</v>
      </c>
      <c r="P130" s="31">
        <v>2064.0</v>
      </c>
      <c r="Q130" s="31">
        <v>4.0</v>
      </c>
      <c r="R130" s="31">
        <v>1687.0</v>
      </c>
      <c r="S130" s="31">
        <v>1.0</v>
      </c>
      <c r="T130" s="31">
        <v>307.0</v>
      </c>
      <c r="U130" s="31">
        <v>70.0</v>
      </c>
      <c r="V130" s="31">
        <v>71.0</v>
      </c>
      <c r="W130" s="31">
        <v>10.0</v>
      </c>
      <c r="X130" s="31">
        <v>9.0</v>
      </c>
      <c r="Y130" s="31">
        <v>2.0</v>
      </c>
      <c r="Z130" s="28">
        <v>982.0</v>
      </c>
    </row>
    <row r="131" ht="14.25" customHeight="1">
      <c r="A131" s="27">
        <v>44017.0</v>
      </c>
      <c r="B131" s="28">
        <v>49.0</v>
      </c>
      <c r="C131" s="28">
        <v>52.0</v>
      </c>
      <c r="D131" s="28">
        <v>24971.0</v>
      </c>
      <c r="E131" s="29">
        <v>2932.0</v>
      </c>
      <c r="F131" s="30">
        <v>247356.0</v>
      </c>
      <c r="G131" s="30">
        <v>2981.0</v>
      </c>
      <c r="H131" s="30">
        <v>272327.0</v>
      </c>
      <c r="I131" s="29">
        <v>26.0</v>
      </c>
      <c r="J131" s="29">
        <v>28.0</v>
      </c>
      <c r="K131" s="29">
        <v>17054.0</v>
      </c>
      <c r="L131" s="29">
        <v>1443.0</v>
      </c>
      <c r="M131" s="29">
        <v>146237.0</v>
      </c>
      <c r="N131" s="29">
        <v>163291.0</v>
      </c>
      <c r="O131" s="29">
        <v>1.0</v>
      </c>
      <c r="P131" s="31">
        <v>2065.0</v>
      </c>
      <c r="Q131" s="31">
        <v>2.0</v>
      </c>
      <c r="R131" s="31">
        <v>1689.0</v>
      </c>
      <c r="S131" s="31">
        <v>1.0</v>
      </c>
      <c r="T131" s="31">
        <v>308.0</v>
      </c>
      <c r="U131" s="31">
        <v>68.0</v>
      </c>
      <c r="V131" s="31">
        <v>70.0</v>
      </c>
      <c r="W131" s="31">
        <v>8.0</v>
      </c>
      <c r="X131" s="31">
        <v>8.0</v>
      </c>
      <c r="Y131" s="31">
        <v>2.0</v>
      </c>
      <c r="Z131" s="28">
        <v>984.0</v>
      </c>
    </row>
    <row r="132" ht="14.25" customHeight="1">
      <c r="A132" s="27">
        <v>44018.0</v>
      </c>
      <c r="B132" s="28">
        <v>101.0</v>
      </c>
      <c r="C132" s="28">
        <v>69.0</v>
      </c>
      <c r="D132" s="28">
        <v>25072.0</v>
      </c>
      <c r="E132" s="29">
        <v>2811.0</v>
      </c>
      <c r="F132" s="30">
        <v>250167.0</v>
      </c>
      <c r="G132" s="30">
        <v>2912.0</v>
      </c>
      <c r="H132" s="30">
        <v>275239.0</v>
      </c>
      <c r="I132" s="29">
        <v>57.0</v>
      </c>
      <c r="J132" s="29">
        <v>39.0</v>
      </c>
      <c r="K132" s="29">
        <v>17111.0</v>
      </c>
      <c r="L132" s="29">
        <v>1551.0</v>
      </c>
      <c r="M132" s="29">
        <v>147788.0</v>
      </c>
      <c r="N132" s="29">
        <v>164899.0</v>
      </c>
      <c r="O132" s="29">
        <v>6.0</v>
      </c>
      <c r="P132" s="31">
        <v>2071.0</v>
      </c>
      <c r="Q132" s="31">
        <v>6.0</v>
      </c>
      <c r="R132" s="31">
        <v>1695.0</v>
      </c>
      <c r="S132" s="31">
        <v>0.0</v>
      </c>
      <c r="T132" s="31">
        <v>308.0</v>
      </c>
      <c r="U132" s="31">
        <v>68.0</v>
      </c>
      <c r="V132" s="31">
        <v>69.0</v>
      </c>
      <c r="W132" s="31">
        <v>9.0</v>
      </c>
      <c r="X132" s="31">
        <v>9.0</v>
      </c>
      <c r="Y132" s="31">
        <v>4.0</v>
      </c>
      <c r="Z132" s="28">
        <v>988.0</v>
      </c>
    </row>
    <row r="133" ht="14.25" customHeight="1">
      <c r="A133" s="27">
        <v>44019.0</v>
      </c>
      <c r="B133" s="28">
        <v>81.0</v>
      </c>
      <c r="C133" s="28">
        <v>77.0</v>
      </c>
      <c r="D133" s="28">
        <v>25153.0</v>
      </c>
      <c r="E133" s="29">
        <v>3457.0</v>
      </c>
      <c r="F133" s="30">
        <v>253624.0</v>
      </c>
      <c r="G133" s="30">
        <v>3538.0</v>
      </c>
      <c r="H133" s="30">
        <v>278777.0</v>
      </c>
      <c r="I133" s="29">
        <v>47.0</v>
      </c>
      <c r="J133" s="29">
        <v>43.0</v>
      </c>
      <c r="K133" s="29">
        <v>17158.0</v>
      </c>
      <c r="L133" s="29">
        <v>1535.0</v>
      </c>
      <c r="M133" s="29">
        <v>149323.0</v>
      </c>
      <c r="N133" s="29">
        <v>166481.0</v>
      </c>
      <c r="O133" s="29">
        <v>5.0</v>
      </c>
      <c r="P133" s="31">
        <v>2076.0</v>
      </c>
      <c r="Q133" s="31">
        <v>7.0</v>
      </c>
      <c r="R133" s="31">
        <v>1702.0</v>
      </c>
      <c r="S133" s="31">
        <v>0.0</v>
      </c>
      <c r="T133" s="31">
        <v>308.0</v>
      </c>
      <c r="U133" s="31">
        <v>66.0</v>
      </c>
      <c r="V133" s="31">
        <v>67.0</v>
      </c>
      <c r="W133" s="31">
        <v>8.0</v>
      </c>
      <c r="X133" s="31">
        <v>8.0</v>
      </c>
      <c r="Y133" s="31">
        <v>2.0</v>
      </c>
      <c r="Z133" s="28">
        <v>990.0</v>
      </c>
    </row>
    <row r="134" ht="14.25" customHeight="1">
      <c r="A134" s="27">
        <v>44020.0</v>
      </c>
      <c r="B134" s="28">
        <v>105.0</v>
      </c>
      <c r="C134" s="28">
        <v>96.0</v>
      </c>
      <c r="D134" s="28">
        <v>25258.0</v>
      </c>
      <c r="E134" s="29">
        <v>3403.0</v>
      </c>
      <c r="F134" s="30">
        <v>257027.0</v>
      </c>
      <c r="G134" s="30">
        <v>3508.0</v>
      </c>
      <c r="H134" s="30">
        <v>282285.0</v>
      </c>
      <c r="I134" s="29">
        <v>64.0</v>
      </c>
      <c r="J134" s="29">
        <v>56.0</v>
      </c>
      <c r="K134" s="29">
        <v>17222.0</v>
      </c>
      <c r="L134" s="29">
        <v>1423.0</v>
      </c>
      <c r="M134" s="29">
        <v>150746.0</v>
      </c>
      <c r="N134" s="29">
        <v>167968.0</v>
      </c>
      <c r="O134" s="29">
        <v>4.0</v>
      </c>
      <c r="P134" s="31">
        <v>2080.0</v>
      </c>
      <c r="Q134" s="31">
        <v>2.0</v>
      </c>
      <c r="R134" s="31">
        <v>1704.0</v>
      </c>
      <c r="S134" s="31">
        <v>0.0</v>
      </c>
      <c r="T134" s="31">
        <v>308.0</v>
      </c>
      <c r="U134" s="31">
        <v>68.0</v>
      </c>
      <c r="V134" s="31">
        <v>67.0</v>
      </c>
      <c r="W134" s="31">
        <v>9.0</v>
      </c>
      <c r="X134" s="31">
        <v>8.0</v>
      </c>
      <c r="Y134" s="31">
        <v>0.0</v>
      </c>
      <c r="Z134" s="28">
        <v>990.0</v>
      </c>
    </row>
    <row r="135" ht="14.25" customHeight="1">
      <c r="A135" s="27">
        <v>44021.0</v>
      </c>
      <c r="B135" s="28">
        <v>94.0</v>
      </c>
      <c r="C135" s="28">
        <v>93.0</v>
      </c>
      <c r="D135" s="28">
        <v>25352.0</v>
      </c>
      <c r="E135" s="29">
        <v>3712.0</v>
      </c>
      <c r="F135" s="30">
        <v>260739.0</v>
      </c>
      <c r="G135" s="30">
        <v>3806.0</v>
      </c>
      <c r="H135" s="30">
        <v>286091.0</v>
      </c>
      <c r="I135" s="29">
        <v>50.0</v>
      </c>
      <c r="J135" s="29">
        <v>54.0</v>
      </c>
      <c r="K135" s="29">
        <v>17272.0</v>
      </c>
      <c r="L135" s="29">
        <v>1626.0</v>
      </c>
      <c r="M135" s="29">
        <v>152372.0</v>
      </c>
      <c r="N135" s="29">
        <v>169644.0</v>
      </c>
      <c r="O135" s="29">
        <v>9.0</v>
      </c>
      <c r="P135" s="31">
        <v>2089.0</v>
      </c>
      <c r="Q135" s="31">
        <v>3.0</v>
      </c>
      <c r="R135" s="31">
        <v>1707.0</v>
      </c>
      <c r="S135" s="31">
        <v>0.0</v>
      </c>
      <c r="T135" s="31">
        <v>308.0</v>
      </c>
      <c r="U135" s="31">
        <v>74.0</v>
      </c>
      <c r="V135" s="31">
        <v>69.0</v>
      </c>
      <c r="W135" s="31">
        <v>9.0</v>
      </c>
      <c r="X135" s="31">
        <v>8.0</v>
      </c>
      <c r="Y135" s="31">
        <v>0.0</v>
      </c>
      <c r="Z135" s="28">
        <v>990.0</v>
      </c>
    </row>
    <row r="136" ht="14.25" customHeight="1">
      <c r="A136" s="27">
        <v>44022.0</v>
      </c>
      <c r="B136" s="28">
        <v>131.0</v>
      </c>
      <c r="C136" s="28">
        <v>110.0</v>
      </c>
      <c r="D136" s="28">
        <v>25483.0</v>
      </c>
      <c r="E136" s="29">
        <v>4431.0</v>
      </c>
      <c r="F136" s="30">
        <v>265170.0</v>
      </c>
      <c r="G136" s="30">
        <v>4562.0</v>
      </c>
      <c r="H136" s="30">
        <v>290653.0</v>
      </c>
      <c r="I136" s="29">
        <v>80.0</v>
      </c>
      <c r="J136" s="29">
        <v>65.0</v>
      </c>
      <c r="K136" s="29">
        <v>17352.0</v>
      </c>
      <c r="L136" s="29">
        <v>2079.0</v>
      </c>
      <c r="M136" s="29">
        <v>154451.0</v>
      </c>
      <c r="N136" s="29">
        <v>171803.0</v>
      </c>
      <c r="O136" s="29">
        <v>6.0</v>
      </c>
      <c r="P136" s="31">
        <v>2095.0</v>
      </c>
      <c r="Q136" s="31">
        <v>3.0</v>
      </c>
      <c r="R136" s="31">
        <v>1710.0</v>
      </c>
      <c r="S136" s="31">
        <v>2.0</v>
      </c>
      <c r="T136" s="31">
        <v>310.0</v>
      </c>
      <c r="U136" s="31">
        <v>75.0</v>
      </c>
      <c r="V136" s="31">
        <v>72.0</v>
      </c>
      <c r="W136" s="31">
        <v>7.0</v>
      </c>
      <c r="X136" s="31">
        <v>7.0</v>
      </c>
      <c r="Y136" s="31">
        <v>3.0</v>
      </c>
      <c r="Z136" s="28">
        <v>993.0</v>
      </c>
    </row>
    <row r="137" ht="14.25" customHeight="1">
      <c r="A137" s="27">
        <v>44023.0</v>
      </c>
      <c r="B137" s="28">
        <v>63.0</v>
      </c>
      <c r="C137" s="28">
        <v>96.0</v>
      </c>
      <c r="D137" s="28">
        <v>25546.0</v>
      </c>
      <c r="E137" s="29">
        <v>2932.0</v>
      </c>
      <c r="F137" s="30">
        <v>268102.0</v>
      </c>
      <c r="G137" s="30">
        <v>2995.0</v>
      </c>
      <c r="H137" s="30">
        <v>293648.0</v>
      </c>
      <c r="I137" s="29">
        <v>36.0</v>
      </c>
      <c r="J137" s="29">
        <v>55.0</v>
      </c>
      <c r="K137" s="29">
        <v>17388.0</v>
      </c>
      <c r="L137" s="29">
        <v>1316.0</v>
      </c>
      <c r="M137" s="29">
        <v>155767.0</v>
      </c>
      <c r="N137" s="29">
        <v>173155.0</v>
      </c>
      <c r="O137" s="29">
        <v>6.0</v>
      </c>
      <c r="P137" s="31">
        <v>2101.0</v>
      </c>
      <c r="Q137" s="31">
        <v>3.0</v>
      </c>
      <c r="R137" s="31">
        <v>1713.0</v>
      </c>
      <c r="S137" s="31">
        <v>1.0</v>
      </c>
      <c r="T137" s="31">
        <v>311.0</v>
      </c>
      <c r="U137" s="31">
        <v>77.0</v>
      </c>
      <c r="V137" s="31">
        <v>75.0</v>
      </c>
      <c r="W137" s="31">
        <v>6.0</v>
      </c>
      <c r="X137" s="31">
        <v>6.0</v>
      </c>
      <c r="Y137" s="31">
        <v>3.0</v>
      </c>
      <c r="Z137" s="28">
        <v>996.0</v>
      </c>
    </row>
    <row r="138" ht="14.25" customHeight="1">
      <c r="A138" s="27">
        <v>44024.0</v>
      </c>
      <c r="B138" s="28">
        <v>47.0</v>
      </c>
      <c r="C138" s="28">
        <v>80.0</v>
      </c>
      <c r="D138" s="28">
        <v>25593.0</v>
      </c>
      <c r="E138" s="29">
        <v>1836.0</v>
      </c>
      <c r="F138" s="30">
        <v>269938.0</v>
      </c>
      <c r="G138" s="30">
        <v>1883.0</v>
      </c>
      <c r="H138" s="30">
        <v>295531.0</v>
      </c>
      <c r="I138" s="29">
        <v>34.0</v>
      </c>
      <c r="J138" s="29">
        <v>50.0</v>
      </c>
      <c r="K138" s="29">
        <v>17422.0</v>
      </c>
      <c r="L138" s="29">
        <v>943.0</v>
      </c>
      <c r="M138" s="29">
        <v>156710.0</v>
      </c>
      <c r="N138" s="29">
        <v>174132.0</v>
      </c>
      <c r="O138" s="29">
        <v>1.0</v>
      </c>
      <c r="P138" s="31">
        <v>2102.0</v>
      </c>
      <c r="Q138" s="31">
        <v>3.0</v>
      </c>
      <c r="R138" s="31">
        <v>1716.0</v>
      </c>
      <c r="S138" s="31">
        <v>1.0</v>
      </c>
      <c r="T138" s="31">
        <v>312.0</v>
      </c>
      <c r="U138" s="31">
        <v>74.0</v>
      </c>
      <c r="V138" s="31">
        <v>75.0</v>
      </c>
      <c r="W138" s="31">
        <v>6.0</v>
      </c>
      <c r="X138" s="31">
        <v>5.0</v>
      </c>
      <c r="Y138" s="31">
        <v>3.0</v>
      </c>
      <c r="Z138" s="28">
        <v>999.0</v>
      </c>
    </row>
    <row r="139" ht="14.25" customHeight="1">
      <c r="A139" s="27">
        <v>44025.0</v>
      </c>
      <c r="B139" s="28">
        <v>84.0</v>
      </c>
      <c r="C139" s="28">
        <v>65.0</v>
      </c>
      <c r="D139" s="28">
        <v>25677.0</v>
      </c>
      <c r="E139" s="29">
        <v>3201.0</v>
      </c>
      <c r="F139" s="30">
        <v>273139.0</v>
      </c>
      <c r="G139" s="30">
        <v>3285.0</v>
      </c>
      <c r="H139" s="30">
        <v>298816.0</v>
      </c>
      <c r="I139" s="29">
        <v>61.0</v>
      </c>
      <c r="J139" s="29">
        <v>44.0</v>
      </c>
      <c r="K139" s="29">
        <v>17483.0</v>
      </c>
      <c r="L139" s="29">
        <v>1505.0</v>
      </c>
      <c r="M139" s="29">
        <v>158215.0</v>
      </c>
      <c r="N139" s="29">
        <v>175698.0</v>
      </c>
      <c r="O139" s="29">
        <v>8.0</v>
      </c>
      <c r="P139" s="31">
        <v>2110.0</v>
      </c>
      <c r="Q139" s="31">
        <v>10.0</v>
      </c>
      <c r="R139" s="31">
        <v>1726.0</v>
      </c>
      <c r="S139" s="31">
        <v>0.0</v>
      </c>
      <c r="T139" s="31">
        <v>312.0</v>
      </c>
      <c r="U139" s="31">
        <v>72.0</v>
      </c>
      <c r="V139" s="31">
        <v>74.0</v>
      </c>
      <c r="W139" s="31">
        <v>6.0</v>
      </c>
      <c r="X139" s="31">
        <v>5.0</v>
      </c>
      <c r="Y139" s="31">
        <v>1.0</v>
      </c>
      <c r="Z139" s="28">
        <v>1000.0</v>
      </c>
    </row>
    <row r="140" ht="14.25" customHeight="1">
      <c r="A140" s="27">
        <v>44026.0</v>
      </c>
      <c r="B140" s="28">
        <v>73.0</v>
      </c>
      <c r="C140" s="28">
        <v>68.0</v>
      </c>
      <c r="D140" s="28">
        <v>25750.0</v>
      </c>
      <c r="E140" s="29">
        <v>3291.0</v>
      </c>
      <c r="F140" s="30">
        <v>276430.0</v>
      </c>
      <c r="G140" s="30">
        <v>3364.0</v>
      </c>
      <c r="H140" s="30">
        <v>302180.0</v>
      </c>
      <c r="I140" s="29">
        <v>43.0</v>
      </c>
      <c r="J140" s="29">
        <v>46.0</v>
      </c>
      <c r="K140" s="29">
        <v>17526.0</v>
      </c>
      <c r="L140" s="29">
        <v>1375.0</v>
      </c>
      <c r="M140" s="29">
        <v>159590.0</v>
      </c>
      <c r="N140" s="29">
        <v>177116.0</v>
      </c>
      <c r="O140" s="29">
        <v>7.0</v>
      </c>
      <c r="P140" s="31">
        <v>2117.0</v>
      </c>
      <c r="Q140" s="31">
        <v>4.0</v>
      </c>
      <c r="R140" s="31">
        <v>1730.0</v>
      </c>
      <c r="S140" s="31">
        <v>0.0</v>
      </c>
      <c r="T140" s="31">
        <v>312.0</v>
      </c>
      <c r="U140" s="31">
        <v>75.0</v>
      </c>
      <c r="V140" s="31">
        <v>74.0</v>
      </c>
      <c r="W140" s="31">
        <v>5.0</v>
      </c>
      <c r="X140" s="31">
        <v>5.0</v>
      </c>
      <c r="Y140" s="31">
        <v>1.0</v>
      </c>
      <c r="Z140" s="28">
        <v>1001.0</v>
      </c>
    </row>
    <row r="141" ht="14.25" customHeight="1">
      <c r="A141" s="27">
        <v>44027.0</v>
      </c>
      <c r="B141" s="28">
        <v>130.0</v>
      </c>
      <c r="C141" s="28">
        <v>96.0</v>
      </c>
      <c r="D141" s="28">
        <v>25880.0</v>
      </c>
      <c r="E141" s="29">
        <v>4172.0</v>
      </c>
      <c r="F141" s="30">
        <v>280602.0</v>
      </c>
      <c r="G141" s="30">
        <v>4302.0</v>
      </c>
      <c r="H141" s="30">
        <v>306482.0</v>
      </c>
      <c r="I141" s="29">
        <v>99.0</v>
      </c>
      <c r="J141" s="29">
        <v>68.0</v>
      </c>
      <c r="K141" s="29">
        <v>17625.0</v>
      </c>
      <c r="L141" s="29">
        <v>1751.0</v>
      </c>
      <c r="M141" s="29">
        <v>161341.0</v>
      </c>
      <c r="N141" s="29">
        <v>178966.0</v>
      </c>
      <c r="O141" s="29">
        <v>5.0</v>
      </c>
      <c r="P141" s="31">
        <v>2122.0</v>
      </c>
      <c r="Q141" s="31">
        <v>7.0</v>
      </c>
      <c r="R141" s="31">
        <v>1737.0</v>
      </c>
      <c r="S141" s="31">
        <v>0.0</v>
      </c>
      <c r="T141" s="31">
        <v>312.0</v>
      </c>
      <c r="U141" s="31">
        <v>73.0</v>
      </c>
      <c r="V141" s="31">
        <v>73.0</v>
      </c>
      <c r="W141" s="31">
        <v>5.0</v>
      </c>
      <c r="X141" s="31">
        <v>4.0</v>
      </c>
      <c r="Y141" s="31">
        <v>0.0</v>
      </c>
      <c r="Z141" s="28">
        <v>1001.0</v>
      </c>
    </row>
    <row r="142" ht="14.25" customHeight="1">
      <c r="A142" s="27">
        <v>44028.0</v>
      </c>
      <c r="B142" s="28">
        <v>102.0</v>
      </c>
      <c r="C142" s="28">
        <v>102.0</v>
      </c>
      <c r="D142" s="28">
        <v>25982.0</v>
      </c>
      <c r="E142" s="29">
        <v>3733.0</v>
      </c>
      <c r="F142" s="30">
        <v>284335.0</v>
      </c>
      <c r="G142" s="30">
        <v>3835.0</v>
      </c>
      <c r="H142" s="30">
        <v>310317.0</v>
      </c>
      <c r="I142" s="29">
        <v>75.0</v>
      </c>
      <c r="J142" s="29">
        <v>72.0</v>
      </c>
      <c r="K142" s="29">
        <v>17700.0</v>
      </c>
      <c r="L142" s="29">
        <v>1619.0</v>
      </c>
      <c r="M142" s="29">
        <v>162960.0</v>
      </c>
      <c r="N142" s="29">
        <v>180660.0</v>
      </c>
      <c r="O142" s="29">
        <v>6.0</v>
      </c>
      <c r="P142" s="31">
        <v>2128.0</v>
      </c>
      <c r="Q142" s="31">
        <v>9.0</v>
      </c>
      <c r="R142" s="31">
        <v>1746.0</v>
      </c>
      <c r="S142" s="31">
        <v>0.0</v>
      </c>
      <c r="T142" s="31">
        <v>312.0</v>
      </c>
      <c r="U142" s="31">
        <v>70.0</v>
      </c>
      <c r="V142" s="31">
        <v>73.0</v>
      </c>
      <c r="W142" s="31">
        <v>6.0</v>
      </c>
      <c r="X142" s="31">
        <v>5.0</v>
      </c>
      <c r="Y142" s="31">
        <v>1.0</v>
      </c>
      <c r="Z142" s="28">
        <v>1002.0</v>
      </c>
    </row>
    <row r="143" ht="14.25" customHeight="1">
      <c r="A143" s="27">
        <v>44029.0</v>
      </c>
      <c r="B143" s="28">
        <v>156.0</v>
      </c>
      <c r="C143" s="28">
        <v>129.0</v>
      </c>
      <c r="D143" s="28">
        <v>26138.0</v>
      </c>
      <c r="E143" s="29">
        <v>4236.0</v>
      </c>
      <c r="F143" s="30">
        <v>288571.0</v>
      </c>
      <c r="G143" s="30">
        <v>4392.0</v>
      </c>
      <c r="H143" s="30">
        <v>314709.0</v>
      </c>
      <c r="I143" s="29">
        <v>79.0</v>
      </c>
      <c r="J143" s="29">
        <v>84.0</v>
      </c>
      <c r="K143" s="29">
        <v>17779.0</v>
      </c>
      <c r="L143" s="29">
        <v>1846.0</v>
      </c>
      <c r="M143" s="29">
        <v>164806.0</v>
      </c>
      <c r="N143" s="29">
        <v>182585.0</v>
      </c>
      <c r="O143" s="29">
        <v>14.0</v>
      </c>
      <c r="P143" s="31">
        <v>2142.0</v>
      </c>
      <c r="Q143" s="31">
        <v>3.0</v>
      </c>
      <c r="R143" s="31">
        <v>1749.0</v>
      </c>
      <c r="S143" s="31">
        <v>1.0</v>
      </c>
      <c r="T143" s="31">
        <v>313.0</v>
      </c>
      <c r="U143" s="31">
        <v>80.0</v>
      </c>
      <c r="V143" s="31">
        <v>74.0</v>
      </c>
      <c r="W143" s="31">
        <v>5.0</v>
      </c>
      <c r="X143" s="31">
        <v>5.0</v>
      </c>
      <c r="Y143" s="31">
        <v>2.0</v>
      </c>
      <c r="Z143" s="28">
        <v>1004.0</v>
      </c>
    </row>
    <row r="144" ht="14.25" customHeight="1">
      <c r="A144" s="27">
        <v>44030.0</v>
      </c>
      <c r="B144" s="28">
        <v>85.0</v>
      </c>
      <c r="C144" s="28">
        <v>114.0</v>
      </c>
      <c r="D144" s="28">
        <v>26223.0</v>
      </c>
      <c r="E144" s="29">
        <v>3267.0</v>
      </c>
      <c r="F144" s="30">
        <v>291838.0</v>
      </c>
      <c r="G144" s="30">
        <v>3352.0</v>
      </c>
      <c r="H144" s="30">
        <v>318061.0</v>
      </c>
      <c r="I144" s="29">
        <v>70.0</v>
      </c>
      <c r="J144" s="29">
        <v>75.0</v>
      </c>
      <c r="K144" s="29">
        <v>17849.0</v>
      </c>
      <c r="L144" s="29">
        <v>1399.0</v>
      </c>
      <c r="M144" s="29">
        <v>166205.0</v>
      </c>
      <c r="N144" s="29">
        <v>184054.0</v>
      </c>
      <c r="O144" s="29">
        <v>5.0</v>
      </c>
      <c r="P144" s="31">
        <v>2147.0</v>
      </c>
      <c r="Q144" s="31">
        <v>9.0</v>
      </c>
      <c r="R144" s="31">
        <v>1758.0</v>
      </c>
      <c r="S144" s="31">
        <v>1.0</v>
      </c>
      <c r="T144" s="31">
        <v>314.0</v>
      </c>
      <c r="U144" s="31">
        <v>75.0</v>
      </c>
      <c r="V144" s="31">
        <v>75.0</v>
      </c>
      <c r="W144" s="31">
        <v>5.0</v>
      </c>
      <c r="X144" s="31">
        <v>4.0</v>
      </c>
      <c r="Y144" s="31">
        <v>4.0</v>
      </c>
      <c r="Z144" s="28">
        <v>1008.0</v>
      </c>
    </row>
    <row r="145" ht="14.25" customHeight="1">
      <c r="A145" s="27">
        <v>44031.0</v>
      </c>
      <c r="B145" s="28">
        <v>82.0</v>
      </c>
      <c r="C145" s="28">
        <v>108.0</v>
      </c>
      <c r="D145" s="28">
        <v>26305.0</v>
      </c>
      <c r="E145" s="29">
        <v>2693.0</v>
      </c>
      <c r="F145" s="30">
        <v>294531.0</v>
      </c>
      <c r="G145" s="30">
        <v>2775.0</v>
      </c>
      <c r="H145" s="30">
        <v>320836.0</v>
      </c>
      <c r="I145" s="29">
        <v>57.0</v>
      </c>
      <c r="J145" s="29">
        <v>69.0</v>
      </c>
      <c r="K145" s="29">
        <v>17906.0</v>
      </c>
      <c r="L145" s="29">
        <v>1149.0</v>
      </c>
      <c r="M145" s="29">
        <v>167354.0</v>
      </c>
      <c r="N145" s="29">
        <v>185260.0</v>
      </c>
      <c r="O145" s="29">
        <v>7.0</v>
      </c>
      <c r="P145" s="31">
        <v>2154.0</v>
      </c>
      <c r="Q145" s="31">
        <v>3.0</v>
      </c>
      <c r="R145" s="31">
        <v>1761.0</v>
      </c>
      <c r="S145" s="31">
        <v>0.0</v>
      </c>
      <c r="T145" s="31">
        <v>314.0</v>
      </c>
      <c r="U145" s="31">
        <v>79.0</v>
      </c>
      <c r="V145" s="31">
        <v>78.0</v>
      </c>
      <c r="W145" s="31">
        <v>6.0</v>
      </c>
      <c r="X145" s="31">
        <v>4.0</v>
      </c>
      <c r="Y145" s="31">
        <v>2.0</v>
      </c>
      <c r="Z145" s="28">
        <v>1010.0</v>
      </c>
    </row>
    <row r="146" ht="14.25" customHeight="1">
      <c r="A146" s="27">
        <v>44032.0</v>
      </c>
      <c r="B146" s="28">
        <v>71.0</v>
      </c>
      <c r="C146" s="28">
        <v>79.0</v>
      </c>
      <c r="D146" s="28">
        <v>26376.0</v>
      </c>
      <c r="E146" s="29">
        <v>2664.0</v>
      </c>
      <c r="F146" s="30">
        <v>297195.0</v>
      </c>
      <c r="G146" s="30">
        <v>2735.0</v>
      </c>
      <c r="H146" s="30">
        <v>323571.0</v>
      </c>
      <c r="I146" s="29">
        <v>68.0</v>
      </c>
      <c r="J146" s="29">
        <v>65.0</v>
      </c>
      <c r="K146" s="29">
        <v>17974.0</v>
      </c>
      <c r="L146" s="29">
        <v>1464.0</v>
      </c>
      <c r="M146" s="29">
        <v>168818.0</v>
      </c>
      <c r="N146" s="29">
        <v>186792.0</v>
      </c>
      <c r="O146" s="29">
        <v>9.0</v>
      </c>
      <c r="P146" s="31">
        <v>2163.0</v>
      </c>
      <c r="Q146" s="31">
        <v>7.0</v>
      </c>
      <c r="R146" s="31">
        <v>1768.0</v>
      </c>
      <c r="S146" s="31">
        <v>0.0</v>
      </c>
      <c r="T146" s="31">
        <v>314.0</v>
      </c>
      <c r="U146" s="31">
        <v>81.0</v>
      </c>
      <c r="V146" s="31">
        <v>78.0</v>
      </c>
      <c r="W146" s="31">
        <v>7.0</v>
      </c>
      <c r="X146" s="31">
        <v>5.0</v>
      </c>
      <c r="Y146" s="31">
        <v>2.0</v>
      </c>
      <c r="Z146" s="28">
        <v>1012.0</v>
      </c>
    </row>
    <row r="147" ht="14.25" customHeight="1">
      <c r="A147" s="27">
        <v>44033.0</v>
      </c>
      <c r="B147" s="28">
        <v>130.0</v>
      </c>
      <c r="C147" s="28">
        <v>94.0</v>
      </c>
      <c r="D147" s="28">
        <v>26506.0</v>
      </c>
      <c r="E147" s="29">
        <v>4298.0</v>
      </c>
      <c r="F147" s="30">
        <v>301493.0</v>
      </c>
      <c r="G147" s="30">
        <v>4428.0</v>
      </c>
      <c r="H147" s="30">
        <v>327999.0</v>
      </c>
      <c r="I147" s="29">
        <v>109.0</v>
      </c>
      <c r="J147" s="29">
        <v>78.0</v>
      </c>
      <c r="K147" s="29">
        <v>18083.0</v>
      </c>
      <c r="L147" s="29">
        <v>1919.0</v>
      </c>
      <c r="M147" s="29">
        <v>170737.0</v>
      </c>
      <c r="N147" s="29">
        <v>188820.0</v>
      </c>
      <c r="O147" s="29">
        <v>9.0</v>
      </c>
      <c r="P147" s="31">
        <v>2172.0</v>
      </c>
      <c r="Q147" s="31">
        <v>11.0</v>
      </c>
      <c r="R147" s="31">
        <v>1779.0</v>
      </c>
      <c r="S147" s="31">
        <v>0.0</v>
      </c>
      <c r="T147" s="31">
        <v>314.0</v>
      </c>
      <c r="U147" s="31">
        <v>79.0</v>
      </c>
      <c r="V147" s="31">
        <v>80.0</v>
      </c>
      <c r="W147" s="31">
        <v>9.0</v>
      </c>
      <c r="X147" s="31">
        <v>6.0</v>
      </c>
      <c r="Y147" s="31">
        <v>1.0</v>
      </c>
      <c r="Z147" s="28">
        <v>1013.0</v>
      </c>
    </row>
    <row r="148" ht="14.25" customHeight="1">
      <c r="A148" s="27">
        <v>44034.0</v>
      </c>
      <c r="B148" s="28">
        <v>130.0</v>
      </c>
      <c r="C148" s="28">
        <v>110.0</v>
      </c>
      <c r="D148" s="28">
        <v>26636.0</v>
      </c>
      <c r="E148" s="29">
        <v>3926.0</v>
      </c>
      <c r="F148" s="30">
        <v>305419.0</v>
      </c>
      <c r="G148" s="30">
        <v>4056.0</v>
      </c>
      <c r="H148" s="30">
        <v>332055.0</v>
      </c>
      <c r="I148" s="29">
        <v>86.0</v>
      </c>
      <c r="J148" s="29">
        <v>88.0</v>
      </c>
      <c r="K148" s="29">
        <v>18169.0</v>
      </c>
      <c r="L148" s="29">
        <v>1683.0</v>
      </c>
      <c r="M148" s="29">
        <v>172420.0</v>
      </c>
      <c r="N148" s="29">
        <v>190589.0</v>
      </c>
      <c r="O148" s="29">
        <v>11.0</v>
      </c>
      <c r="P148" s="31">
        <v>2183.0</v>
      </c>
      <c r="Q148" s="31">
        <v>11.0</v>
      </c>
      <c r="R148" s="31">
        <v>1790.0</v>
      </c>
      <c r="S148" s="31">
        <v>1.0</v>
      </c>
      <c r="T148" s="31">
        <v>315.0</v>
      </c>
      <c r="U148" s="31">
        <v>78.0</v>
      </c>
      <c r="V148" s="31">
        <v>79.0</v>
      </c>
      <c r="W148" s="31">
        <v>7.0</v>
      </c>
      <c r="X148" s="31">
        <v>6.0</v>
      </c>
      <c r="Y148" s="31">
        <v>1.0</v>
      </c>
      <c r="Z148" s="28">
        <v>1014.0</v>
      </c>
    </row>
    <row r="149" ht="14.25" customHeight="1">
      <c r="A149" s="27">
        <v>44035.0</v>
      </c>
      <c r="B149" s="28">
        <v>141.0</v>
      </c>
      <c r="C149" s="28">
        <v>134.0</v>
      </c>
      <c r="D149" s="28">
        <v>26777.0</v>
      </c>
      <c r="E149" s="29">
        <v>4412.0</v>
      </c>
      <c r="F149" s="30">
        <v>309831.0</v>
      </c>
      <c r="G149" s="30">
        <v>4553.0</v>
      </c>
      <c r="H149" s="30">
        <v>336608.0</v>
      </c>
      <c r="I149" s="29">
        <v>115.0</v>
      </c>
      <c r="J149" s="29">
        <v>103.0</v>
      </c>
      <c r="K149" s="29">
        <v>18284.0</v>
      </c>
      <c r="L149" s="29">
        <v>1989.0</v>
      </c>
      <c r="M149" s="29">
        <v>174409.0</v>
      </c>
      <c r="N149" s="29">
        <v>192693.0</v>
      </c>
      <c r="O149" s="29">
        <v>8.0</v>
      </c>
      <c r="P149" s="31">
        <v>2191.0</v>
      </c>
      <c r="Q149" s="31">
        <v>6.0</v>
      </c>
      <c r="R149" s="31">
        <v>1796.0</v>
      </c>
      <c r="S149" s="31">
        <v>0.0</v>
      </c>
      <c r="T149" s="31">
        <v>315.0</v>
      </c>
      <c r="U149" s="31">
        <v>80.0</v>
      </c>
      <c r="V149" s="31">
        <v>79.0</v>
      </c>
      <c r="W149" s="31">
        <v>8.0</v>
      </c>
      <c r="X149" s="31">
        <v>7.0</v>
      </c>
      <c r="Y149" s="31">
        <v>0.0</v>
      </c>
      <c r="Z149" s="28">
        <v>1014.0</v>
      </c>
    </row>
    <row r="150" ht="14.25" customHeight="1">
      <c r="A150" s="27">
        <v>44036.0</v>
      </c>
      <c r="B150" s="28">
        <v>172.0</v>
      </c>
      <c r="C150" s="28">
        <v>148.0</v>
      </c>
      <c r="D150" s="28">
        <v>26949.0</v>
      </c>
      <c r="E150" s="29">
        <v>5959.0</v>
      </c>
      <c r="F150" s="30">
        <v>315790.0</v>
      </c>
      <c r="G150" s="30">
        <v>6131.0</v>
      </c>
      <c r="H150" s="30">
        <v>342739.0</v>
      </c>
      <c r="I150" s="29">
        <v>119.0</v>
      </c>
      <c r="J150" s="29">
        <v>107.0</v>
      </c>
      <c r="K150" s="29">
        <v>18403.0</v>
      </c>
      <c r="L150" s="29">
        <v>2322.0</v>
      </c>
      <c r="M150" s="29">
        <v>176731.0</v>
      </c>
      <c r="N150" s="29">
        <v>195134.0</v>
      </c>
      <c r="O150" s="29">
        <v>14.0</v>
      </c>
      <c r="P150" s="31">
        <v>2205.0</v>
      </c>
      <c r="Q150" s="31">
        <v>14.0</v>
      </c>
      <c r="R150" s="31">
        <v>1810.0</v>
      </c>
      <c r="S150" s="31">
        <v>0.0</v>
      </c>
      <c r="T150" s="31">
        <v>315.0</v>
      </c>
      <c r="U150" s="31">
        <v>80.0</v>
      </c>
      <c r="V150" s="31">
        <v>79.0</v>
      </c>
      <c r="W150" s="31">
        <v>9.0</v>
      </c>
      <c r="X150" s="31">
        <v>7.0</v>
      </c>
      <c r="Y150" s="31">
        <v>0.0</v>
      </c>
      <c r="Z150" s="28">
        <v>1014.0</v>
      </c>
    </row>
    <row r="151" ht="14.25" customHeight="1">
      <c r="A151" s="27">
        <v>44037.0</v>
      </c>
      <c r="B151" s="28">
        <v>134.0</v>
      </c>
      <c r="C151" s="28">
        <v>149.0</v>
      </c>
      <c r="D151" s="28">
        <v>27083.0</v>
      </c>
      <c r="E151" s="29">
        <v>4398.0</v>
      </c>
      <c r="F151" s="30">
        <v>320188.0</v>
      </c>
      <c r="G151" s="30">
        <v>4532.0</v>
      </c>
      <c r="H151" s="30">
        <v>347271.0</v>
      </c>
      <c r="I151" s="29">
        <v>108.0</v>
      </c>
      <c r="J151" s="29">
        <v>114.0</v>
      </c>
      <c r="K151" s="29">
        <v>18511.0</v>
      </c>
      <c r="L151" s="29">
        <v>2100.0</v>
      </c>
      <c r="M151" s="29">
        <v>178831.0</v>
      </c>
      <c r="N151" s="29">
        <v>197342.0</v>
      </c>
      <c r="O151" s="29">
        <v>7.0</v>
      </c>
      <c r="P151" s="31">
        <v>2212.0</v>
      </c>
      <c r="Q151" s="31">
        <v>7.0</v>
      </c>
      <c r="R151" s="31">
        <v>1817.0</v>
      </c>
      <c r="S151" s="31">
        <v>0.0</v>
      </c>
      <c r="T151" s="31">
        <v>315.0</v>
      </c>
      <c r="U151" s="31">
        <v>80.0</v>
      </c>
      <c r="V151" s="31">
        <v>80.0</v>
      </c>
      <c r="W151" s="31">
        <v>10.0</v>
      </c>
      <c r="X151" s="31">
        <v>8.0</v>
      </c>
      <c r="Y151" s="31">
        <v>2.0</v>
      </c>
      <c r="Z151" s="28">
        <v>1016.0</v>
      </c>
    </row>
    <row r="152" ht="14.25" customHeight="1">
      <c r="A152" s="27">
        <v>44038.0</v>
      </c>
      <c r="B152" s="28">
        <v>62.0</v>
      </c>
      <c r="C152" s="28">
        <v>123.0</v>
      </c>
      <c r="D152" s="28">
        <v>27145.0</v>
      </c>
      <c r="E152" s="29">
        <v>3027.0</v>
      </c>
      <c r="F152" s="30">
        <v>323215.0</v>
      </c>
      <c r="G152" s="30">
        <v>3089.0</v>
      </c>
      <c r="H152" s="30">
        <v>350360.0</v>
      </c>
      <c r="I152" s="29">
        <v>54.0</v>
      </c>
      <c r="J152" s="29">
        <v>94.0</v>
      </c>
      <c r="K152" s="29">
        <v>18565.0</v>
      </c>
      <c r="L152" s="29">
        <v>1336.0</v>
      </c>
      <c r="M152" s="29">
        <v>180167.0</v>
      </c>
      <c r="N152" s="29">
        <v>198732.0</v>
      </c>
      <c r="O152" s="29">
        <v>8.0</v>
      </c>
      <c r="P152" s="31">
        <v>2220.0</v>
      </c>
      <c r="Q152" s="31">
        <v>9.0</v>
      </c>
      <c r="R152" s="31">
        <v>1826.0</v>
      </c>
      <c r="S152" s="31">
        <v>0.0</v>
      </c>
      <c r="T152" s="31">
        <v>315.0</v>
      </c>
      <c r="U152" s="31">
        <v>79.0</v>
      </c>
      <c r="V152" s="31">
        <v>80.0</v>
      </c>
      <c r="W152" s="31">
        <v>11.0</v>
      </c>
      <c r="X152" s="31">
        <v>7.0</v>
      </c>
      <c r="Y152" s="31">
        <v>1.0</v>
      </c>
      <c r="Z152" s="28">
        <v>1017.0</v>
      </c>
    </row>
    <row r="153" ht="14.25" customHeight="1">
      <c r="A153" s="27">
        <v>44039.0</v>
      </c>
      <c r="B153" s="28">
        <v>188.0</v>
      </c>
      <c r="C153" s="28">
        <v>128.0</v>
      </c>
      <c r="D153" s="28">
        <v>27333.0</v>
      </c>
      <c r="E153" s="29">
        <v>4190.0</v>
      </c>
      <c r="F153" s="30">
        <v>327405.0</v>
      </c>
      <c r="G153" s="30">
        <v>4378.0</v>
      </c>
      <c r="H153" s="30">
        <v>354738.0</v>
      </c>
      <c r="I153" s="29">
        <v>138.0</v>
      </c>
      <c r="J153" s="29">
        <v>100.0</v>
      </c>
      <c r="K153" s="29">
        <v>18703.0</v>
      </c>
      <c r="L153" s="29">
        <v>2350.0</v>
      </c>
      <c r="M153" s="29">
        <v>182517.0</v>
      </c>
      <c r="N153" s="29">
        <v>201220.0</v>
      </c>
      <c r="O153" s="29">
        <v>12.0</v>
      </c>
      <c r="P153" s="31">
        <v>2232.0</v>
      </c>
      <c r="Q153" s="31">
        <v>7.0</v>
      </c>
      <c r="R153" s="31">
        <v>1833.0</v>
      </c>
      <c r="S153" s="31">
        <v>0.0</v>
      </c>
      <c r="T153" s="31">
        <v>315.0</v>
      </c>
      <c r="U153" s="31">
        <v>84.0</v>
      </c>
      <c r="V153" s="31">
        <v>81.0</v>
      </c>
      <c r="W153" s="31">
        <v>13.0</v>
      </c>
      <c r="X153" s="31">
        <v>8.0</v>
      </c>
      <c r="Y153" s="31">
        <v>1.0</v>
      </c>
      <c r="Z153" s="28">
        <v>1018.0</v>
      </c>
    </row>
    <row r="154" ht="14.25" customHeight="1">
      <c r="A154" s="27">
        <v>44040.0</v>
      </c>
      <c r="B154" s="28">
        <v>105.0</v>
      </c>
      <c r="C154" s="28">
        <v>118.0</v>
      </c>
      <c r="D154" s="28">
        <v>27438.0</v>
      </c>
      <c r="E154" s="29">
        <v>3834.0</v>
      </c>
      <c r="F154" s="30">
        <v>331239.0</v>
      </c>
      <c r="G154" s="30">
        <v>3939.0</v>
      </c>
      <c r="H154" s="30">
        <v>358677.0</v>
      </c>
      <c r="I154" s="29">
        <v>94.0</v>
      </c>
      <c r="J154" s="29">
        <v>95.0</v>
      </c>
      <c r="K154" s="29">
        <v>18797.0</v>
      </c>
      <c r="L154" s="29">
        <v>1635.0</v>
      </c>
      <c r="M154" s="29">
        <v>184152.0</v>
      </c>
      <c r="N154" s="29">
        <v>202949.0</v>
      </c>
      <c r="O154" s="29">
        <v>5.0</v>
      </c>
      <c r="P154" s="31">
        <v>2237.0</v>
      </c>
      <c r="Q154" s="31">
        <v>5.0</v>
      </c>
      <c r="R154" s="31">
        <v>1838.0</v>
      </c>
      <c r="S154" s="31">
        <v>0.0</v>
      </c>
      <c r="T154" s="31">
        <v>315.0</v>
      </c>
      <c r="U154" s="31">
        <v>84.0</v>
      </c>
      <c r="V154" s="31">
        <v>82.0</v>
      </c>
      <c r="W154" s="31">
        <v>14.0</v>
      </c>
      <c r="X154" s="31">
        <v>7.0</v>
      </c>
      <c r="Y154" s="31">
        <v>1.0</v>
      </c>
      <c r="Z154" s="28">
        <v>1019.0</v>
      </c>
    </row>
    <row r="155" ht="14.25" customHeight="1">
      <c r="A155" s="27">
        <v>44041.0</v>
      </c>
      <c r="B155" s="28">
        <v>191.0</v>
      </c>
      <c r="C155" s="28">
        <v>161.0</v>
      </c>
      <c r="D155" s="28">
        <v>27629.0</v>
      </c>
      <c r="E155" s="29">
        <v>5137.0</v>
      </c>
      <c r="F155" s="30">
        <v>336376.0</v>
      </c>
      <c r="G155" s="30">
        <v>5328.0</v>
      </c>
      <c r="H155" s="30">
        <v>364005.0</v>
      </c>
      <c r="I155" s="29">
        <v>154.0</v>
      </c>
      <c r="J155" s="29">
        <v>129.0</v>
      </c>
      <c r="K155" s="29">
        <v>18951.0</v>
      </c>
      <c r="L155" s="29">
        <v>2324.0</v>
      </c>
      <c r="M155" s="29">
        <v>186476.0</v>
      </c>
      <c r="N155" s="29">
        <v>205427.0</v>
      </c>
      <c r="O155" s="29">
        <v>11.0</v>
      </c>
      <c r="P155" s="31">
        <v>2248.0</v>
      </c>
      <c r="Q155" s="31">
        <v>12.0</v>
      </c>
      <c r="R155" s="31">
        <v>1850.0</v>
      </c>
      <c r="S155" s="31">
        <v>0.0</v>
      </c>
      <c r="T155" s="31">
        <v>315.0</v>
      </c>
      <c r="U155" s="31">
        <v>83.0</v>
      </c>
      <c r="V155" s="31">
        <v>84.0</v>
      </c>
      <c r="W155" s="31">
        <v>15.0</v>
      </c>
      <c r="X155" s="31">
        <v>7.0</v>
      </c>
      <c r="Y155" s="31">
        <v>0.0</v>
      </c>
      <c r="Z155" s="28">
        <v>1019.0</v>
      </c>
    </row>
    <row r="156" ht="14.25" customHeight="1">
      <c r="A156" s="27">
        <v>44042.0</v>
      </c>
      <c r="B156" s="28">
        <v>121.0</v>
      </c>
      <c r="C156" s="28">
        <v>139.0</v>
      </c>
      <c r="D156" s="28">
        <v>27750.0</v>
      </c>
      <c r="E156" s="29">
        <v>4344.0</v>
      </c>
      <c r="F156" s="30">
        <v>340720.0</v>
      </c>
      <c r="G156" s="30">
        <v>4465.0</v>
      </c>
      <c r="H156" s="30">
        <v>368470.0</v>
      </c>
      <c r="I156" s="29">
        <v>97.0</v>
      </c>
      <c r="J156" s="29">
        <v>115.0</v>
      </c>
      <c r="K156" s="29">
        <v>19048.0</v>
      </c>
      <c r="L156" s="29">
        <v>1650.0</v>
      </c>
      <c r="M156" s="29">
        <v>188126.0</v>
      </c>
      <c r="N156" s="29">
        <v>207174.0</v>
      </c>
      <c r="O156" s="29">
        <v>6.0</v>
      </c>
      <c r="P156" s="31">
        <v>2254.0</v>
      </c>
      <c r="Q156" s="31">
        <v>2.0</v>
      </c>
      <c r="R156" s="31">
        <v>1852.0</v>
      </c>
      <c r="S156" s="31">
        <v>1.0</v>
      </c>
      <c r="T156" s="31">
        <v>316.0</v>
      </c>
      <c r="U156" s="31">
        <v>86.0</v>
      </c>
      <c r="V156" s="31">
        <v>84.0</v>
      </c>
      <c r="W156" s="31">
        <v>15.0</v>
      </c>
      <c r="X156" s="31">
        <v>6.0</v>
      </c>
      <c r="Y156" s="31">
        <v>1.0</v>
      </c>
      <c r="Z156" s="28">
        <v>1020.0</v>
      </c>
    </row>
    <row r="157" ht="14.25" customHeight="1">
      <c r="A157" s="27">
        <v>44043.0</v>
      </c>
      <c r="B157" s="28">
        <v>131.0</v>
      </c>
      <c r="C157" s="28">
        <v>148.0</v>
      </c>
      <c r="D157" s="28">
        <v>27881.0</v>
      </c>
      <c r="E157" s="29">
        <v>5508.0</v>
      </c>
      <c r="F157" s="30">
        <v>346228.0</v>
      </c>
      <c r="G157" s="30">
        <v>5639.0</v>
      </c>
      <c r="H157" s="30">
        <v>374109.0</v>
      </c>
      <c r="I157" s="29">
        <v>89.0</v>
      </c>
      <c r="J157" s="29">
        <v>113.0</v>
      </c>
      <c r="K157" s="29">
        <v>19137.0</v>
      </c>
      <c r="L157" s="29">
        <v>1854.0</v>
      </c>
      <c r="M157" s="29">
        <v>189980.0</v>
      </c>
      <c r="N157" s="29">
        <v>209117.0</v>
      </c>
      <c r="O157" s="29">
        <v>8.0</v>
      </c>
      <c r="P157" s="31">
        <v>2262.0</v>
      </c>
      <c r="Q157" s="31">
        <v>10.0</v>
      </c>
      <c r="R157" s="31">
        <v>1862.0</v>
      </c>
      <c r="S157" s="31">
        <v>0.0</v>
      </c>
      <c r="T157" s="31">
        <v>316.0</v>
      </c>
      <c r="U157" s="31">
        <v>84.0</v>
      </c>
      <c r="V157" s="31">
        <v>84.0</v>
      </c>
      <c r="W157" s="31">
        <v>15.0</v>
      </c>
      <c r="X157" s="31">
        <v>7.0</v>
      </c>
      <c r="Y157" s="31">
        <v>1.0</v>
      </c>
      <c r="Z157" s="28">
        <v>1021.0</v>
      </c>
    </row>
    <row r="158" ht="14.25" customHeight="1">
      <c r="A158" s="27">
        <v>44044.0</v>
      </c>
      <c r="B158" s="28">
        <v>108.0</v>
      </c>
      <c r="C158" s="28">
        <v>120.0</v>
      </c>
      <c r="D158" s="28">
        <v>27989.0</v>
      </c>
      <c r="E158" s="29">
        <v>4288.0</v>
      </c>
      <c r="F158" s="30">
        <v>350516.0</v>
      </c>
      <c r="G158" s="30">
        <v>4396.0</v>
      </c>
      <c r="H158" s="30">
        <v>378505.0</v>
      </c>
      <c r="I158" s="29">
        <v>88.0</v>
      </c>
      <c r="J158" s="29">
        <v>91.0</v>
      </c>
      <c r="K158" s="29">
        <v>19225.0</v>
      </c>
      <c r="L158" s="29">
        <v>1559.0</v>
      </c>
      <c r="M158" s="29">
        <v>191539.0</v>
      </c>
      <c r="N158" s="29">
        <v>210764.0</v>
      </c>
      <c r="O158" s="29">
        <v>7.0</v>
      </c>
      <c r="P158" s="31">
        <v>2269.0</v>
      </c>
      <c r="Q158" s="31">
        <v>2.0</v>
      </c>
      <c r="R158" s="31">
        <v>1864.0</v>
      </c>
      <c r="S158" s="31">
        <v>0.0</v>
      </c>
      <c r="T158" s="31">
        <v>316.0</v>
      </c>
      <c r="U158" s="31">
        <v>89.0</v>
      </c>
      <c r="V158" s="31">
        <v>86.0</v>
      </c>
      <c r="W158" s="31">
        <v>14.0</v>
      </c>
      <c r="X158" s="31">
        <v>7.0</v>
      </c>
      <c r="Y158" s="31">
        <v>1.0</v>
      </c>
      <c r="Z158" s="28">
        <v>1022.0</v>
      </c>
    </row>
    <row r="159" ht="14.25" customHeight="1">
      <c r="A159" s="27">
        <v>44045.0</v>
      </c>
      <c r="B159" s="28">
        <v>84.0</v>
      </c>
      <c r="C159" s="28">
        <v>108.0</v>
      </c>
      <c r="D159" s="28">
        <v>28073.0</v>
      </c>
      <c r="E159" s="29">
        <v>2802.0</v>
      </c>
      <c r="F159" s="30">
        <v>353318.0</v>
      </c>
      <c r="G159" s="30">
        <v>2886.0</v>
      </c>
      <c r="H159" s="30">
        <v>381391.0</v>
      </c>
      <c r="I159" s="29">
        <v>62.0</v>
      </c>
      <c r="J159" s="29">
        <v>80.0</v>
      </c>
      <c r="K159" s="29">
        <v>19287.0</v>
      </c>
      <c r="L159" s="29">
        <v>1274.0</v>
      </c>
      <c r="M159" s="29">
        <v>192813.0</v>
      </c>
      <c r="N159" s="29">
        <v>212100.0</v>
      </c>
      <c r="O159" s="29">
        <v>12.0</v>
      </c>
      <c r="P159" s="31">
        <v>2281.0</v>
      </c>
      <c r="Q159" s="31">
        <v>12.0</v>
      </c>
      <c r="R159" s="31">
        <v>1876.0</v>
      </c>
      <c r="S159" s="31">
        <v>2.0</v>
      </c>
      <c r="T159" s="31">
        <v>318.0</v>
      </c>
      <c r="U159" s="31">
        <v>87.0</v>
      </c>
      <c r="V159" s="31">
        <v>87.0</v>
      </c>
      <c r="W159" s="31">
        <v>14.0</v>
      </c>
      <c r="X159" s="31">
        <v>8.0</v>
      </c>
      <c r="Y159" s="31">
        <v>2.0</v>
      </c>
      <c r="Z159" s="28">
        <v>1024.0</v>
      </c>
    </row>
    <row r="160" ht="14.25" customHeight="1">
      <c r="A160" s="27">
        <v>44046.0</v>
      </c>
      <c r="B160" s="28">
        <v>187.0</v>
      </c>
      <c r="C160" s="28">
        <v>126.0</v>
      </c>
      <c r="D160" s="28">
        <v>28260.0</v>
      </c>
      <c r="E160" s="29">
        <v>5238.0</v>
      </c>
      <c r="F160" s="30">
        <v>358556.0</v>
      </c>
      <c r="G160" s="30">
        <v>5425.0</v>
      </c>
      <c r="H160" s="30">
        <v>386816.0</v>
      </c>
      <c r="I160" s="29">
        <v>150.0</v>
      </c>
      <c r="J160" s="29">
        <v>100.0</v>
      </c>
      <c r="K160" s="29">
        <v>19437.0</v>
      </c>
      <c r="L160" s="29">
        <v>2202.0</v>
      </c>
      <c r="M160" s="29">
        <v>195015.0</v>
      </c>
      <c r="N160" s="29">
        <v>214452.0</v>
      </c>
      <c r="O160" s="29">
        <v>13.0</v>
      </c>
      <c r="P160" s="31">
        <v>2294.0</v>
      </c>
      <c r="Q160" s="31">
        <v>12.0</v>
      </c>
      <c r="R160" s="31">
        <v>1888.0</v>
      </c>
      <c r="S160" s="31">
        <v>0.0</v>
      </c>
      <c r="T160" s="31">
        <v>318.0</v>
      </c>
      <c r="U160" s="31">
        <v>88.0</v>
      </c>
      <c r="V160" s="31">
        <v>88.0</v>
      </c>
      <c r="W160" s="31">
        <v>16.0</v>
      </c>
      <c r="X160" s="31">
        <v>7.0</v>
      </c>
      <c r="Y160" s="31">
        <v>1.0</v>
      </c>
      <c r="Z160" s="28">
        <v>1025.0</v>
      </c>
    </row>
    <row r="161" ht="14.25" customHeight="1">
      <c r="A161" s="27">
        <v>44047.0</v>
      </c>
      <c r="B161" s="28">
        <v>126.0</v>
      </c>
      <c r="C161" s="28">
        <v>132.0</v>
      </c>
      <c r="D161" s="28">
        <v>28386.0</v>
      </c>
      <c r="E161" s="29">
        <v>3691.0</v>
      </c>
      <c r="F161" s="30">
        <v>362247.0</v>
      </c>
      <c r="G161" s="30">
        <v>3817.0</v>
      </c>
      <c r="H161" s="30">
        <v>390633.0</v>
      </c>
      <c r="I161" s="29">
        <v>99.0</v>
      </c>
      <c r="J161" s="29">
        <v>104.0</v>
      </c>
      <c r="K161" s="29">
        <v>19536.0</v>
      </c>
      <c r="L161" s="29">
        <v>1772.0</v>
      </c>
      <c r="M161" s="29">
        <v>196787.0</v>
      </c>
      <c r="N161" s="29">
        <v>216323.0</v>
      </c>
      <c r="O161" s="29">
        <v>8.0</v>
      </c>
      <c r="P161" s="31">
        <v>2302.0</v>
      </c>
      <c r="Q161" s="31">
        <v>6.0</v>
      </c>
      <c r="R161" s="31">
        <v>1894.0</v>
      </c>
      <c r="S161" s="31">
        <v>1.0</v>
      </c>
      <c r="T161" s="31">
        <v>319.0</v>
      </c>
      <c r="U161" s="31">
        <v>89.0</v>
      </c>
      <c r="V161" s="31">
        <v>88.0</v>
      </c>
      <c r="W161" s="31">
        <v>12.0</v>
      </c>
      <c r="X161" s="31">
        <v>5.0</v>
      </c>
      <c r="Y161" s="31">
        <v>2.0</v>
      </c>
      <c r="Z161" s="28">
        <v>1027.0</v>
      </c>
    </row>
    <row r="162" ht="14.25" customHeight="1">
      <c r="A162" s="27">
        <v>44048.0</v>
      </c>
      <c r="B162" s="28">
        <v>148.0</v>
      </c>
      <c r="C162" s="28">
        <v>154.0</v>
      </c>
      <c r="D162" s="28">
        <v>28534.0</v>
      </c>
      <c r="E162" s="29">
        <v>5932.0</v>
      </c>
      <c r="F162" s="30">
        <v>368179.0</v>
      </c>
      <c r="G162" s="30">
        <v>6080.0</v>
      </c>
      <c r="H162" s="30">
        <v>396713.0</v>
      </c>
      <c r="I162" s="29">
        <v>118.0</v>
      </c>
      <c r="J162" s="29">
        <v>122.0</v>
      </c>
      <c r="K162" s="29">
        <v>19654.0</v>
      </c>
      <c r="L162" s="29">
        <v>2472.0</v>
      </c>
      <c r="M162" s="29">
        <v>199259.0</v>
      </c>
      <c r="N162" s="29">
        <v>218913.0</v>
      </c>
      <c r="O162" s="29">
        <v>12.0</v>
      </c>
      <c r="P162" s="31">
        <v>2314.0</v>
      </c>
      <c r="Q162" s="31">
        <v>10.0</v>
      </c>
      <c r="R162" s="31">
        <v>1904.0</v>
      </c>
      <c r="S162" s="31">
        <v>1.0</v>
      </c>
      <c r="T162" s="31">
        <v>320.0</v>
      </c>
      <c r="U162" s="31">
        <v>90.0</v>
      </c>
      <c r="V162" s="31">
        <v>89.0</v>
      </c>
      <c r="W162" s="31">
        <v>10.0</v>
      </c>
      <c r="X162" s="31">
        <v>5.0</v>
      </c>
      <c r="Y162" s="31">
        <v>2.0</v>
      </c>
      <c r="Z162" s="28">
        <v>1029.0</v>
      </c>
    </row>
    <row r="163" ht="14.25" customHeight="1">
      <c r="A163" s="27">
        <v>44049.0</v>
      </c>
      <c r="B163" s="28">
        <v>169.0</v>
      </c>
      <c r="C163" s="28">
        <v>148.0</v>
      </c>
      <c r="D163" s="28">
        <v>28703.0</v>
      </c>
      <c r="E163" s="29">
        <v>5533.0</v>
      </c>
      <c r="F163" s="30">
        <v>373712.0</v>
      </c>
      <c r="G163" s="30">
        <v>5702.0</v>
      </c>
      <c r="H163" s="30">
        <v>402415.0</v>
      </c>
      <c r="I163" s="29">
        <v>121.0</v>
      </c>
      <c r="J163" s="29">
        <v>113.0</v>
      </c>
      <c r="K163" s="29">
        <v>19775.0</v>
      </c>
      <c r="L163" s="29">
        <v>2408.0</v>
      </c>
      <c r="M163" s="29">
        <v>201667.0</v>
      </c>
      <c r="N163" s="29">
        <v>221442.0</v>
      </c>
      <c r="O163" s="29">
        <v>7.0</v>
      </c>
      <c r="P163" s="31">
        <v>2321.0</v>
      </c>
      <c r="Q163" s="31">
        <v>9.0</v>
      </c>
      <c r="R163" s="31">
        <v>1913.0</v>
      </c>
      <c r="S163" s="31">
        <v>0.0</v>
      </c>
      <c r="T163" s="31">
        <v>320.0</v>
      </c>
      <c r="U163" s="31">
        <v>88.0</v>
      </c>
      <c r="V163" s="31">
        <v>89.0</v>
      </c>
      <c r="W163" s="31">
        <v>9.0</v>
      </c>
      <c r="X163" s="31">
        <v>4.0</v>
      </c>
      <c r="Y163" s="31">
        <v>0.0</v>
      </c>
      <c r="Z163" s="28">
        <v>1029.0</v>
      </c>
    </row>
    <row r="164" ht="14.25" customHeight="1">
      <c r="A164" s="27">
        <v>44050.0</v>
      </c>
      <c r="B164" s="28">
        <v>122.0</v>
      </c>
      <c r="C164" s="28">
        <v>146.0</v>
      </c>
      <c r="D164" s="28">
        <v>28825.0</v>
      </c>
      <c r="E164" s="29">
        <v>4845.0</v>
      </c>
      <c r="F164" s="30">
        <v>378557.0</v>
      </c>
      <c r="G164" s="30">
        <v>4967.0</v>
      </c>
      <c r="H164" s="30">
        <v>407382.0</v>
      </c>
      <c r="I164" s="29">
        <v>87.0</v>
      </c>
      <c r="J164" s="29">
        <v>109.0</v>
      </c>
      <c r="K164" s="29">
        <v>19862.0</v>
      </c>
      <c r="L164" s="29">
        <v>2146.0</v>
      </c>
      <c r="M164" s="29">
        <v>203813.0</v>
      </c>
      <c r="N164" s="29">
        <v>223675.0</v>
      </c>
      <c r="O164" s="29">
        <v>13.0</v>
      </c>
      <c r="P164" s="31">
        <v>2334.0</v>
      </c>
      <c r="Q164" s="31">
        <v>10.0</v>
      </c>
      <c r="R164" s="31">
        <v>1923.0</v>
      </c>
      <c r="S164" s="31">
        <v>1.0</v>
      </c>
      <c r="T164" s="31">
        <v>321.0</v>
      </c>
      <c r="U164" s="31">
        <v>90.0</v>
      </c>
      <c r="V164" s="31">
        <v>89.0</v>
      </c>
      <c r="W164" s="31">
        <v>9.0</v>
      </c>
      <c r="X164" s="31">
        <v>3.0</v>
      </c>
      <c r="Y164" s="31">
        <v>2.0</v>
      </c>
      <c r="Z164" s="28">
        <v>1031.0</v>
      </c>
    </row>
    <row r="165" ht="14.25" customHeight="1">
      <c r="A165" s="27">
        <v>44051.0</v>
      </c>
      <c r="B165" s="28">
        <v>123.0</v>
      </c>
      <c r="C165" s="28">
        <v>138.0</v>
      </c>
      <c r="D165" s="28">
        <v>28948.0</v>
      </c>
      <c r="E165" s="29">
        <v>4106.0</v>
      </c>
      <c r="F165" s="30">
        <v>382663.0</v>
      </c>
      <c r="G165" s="30">
        <v>4229.0</v>
      </c>
      <c r="H165" s="30">
        <v>411611.0</v>
      </c>
      <c r="I165" s="29">
        <v>92.0</v>
      </c>
      <c r="J165" s="29">
        <v>100.0</v>
      </c>
      <c r="K165" s="29">
        <v>19954.0</v>
      </c>
      <c r="L165" s="29">
        <v>1780.0</v>
      </c>
      <c r="M165" s="29">
        <v>205593.0</v>
      </c>
      <c r="N165" s="29">
        <v>225547.0</v>
      </c>
      <c r="O165" s="29">
        <v>19.0</v>
      </c>
      <c r="P165" s="31">
        <v>2353.0</v>
      </c>
      <c r="Q165" s="31">
        <v>6.0</v>
      </c>
      <c r="R165" s="31">
        <v>1929.0</v>
      </c>
      <c r="S165" s="31">
        <v>1.0</v>
      </c>
      <c r="T165" s="31">
        <v>322.0</v>
      </c>
      <c r="U165" s="31">
        <v>102.0</v>
      </c>
      <c r="V165" s="31">
        <v>93.0</v>
      </c>
      <c r="W165" s="31">
        <v>8.0</v>
      </c>
      <c r="X165" s="31">
        <v>3.0</v>
      </c>
      <c r="Y165" s="31">
        <v>1.0</v>
      </c>
      <c r="Z165" s="28">
        <v>1032.0</v>
      </c>
    </row>
    <row r="166" ht="14.25" customHeight="1">
      <c r="A166" s="27">
        <v>44052.0</v>
      </c>
      <c r="B166" s="28">
        <v>42.0</v>
      </c>
      <c r="C166" s="28">
        <v>96.0</v>
      </c>
      <c r="D166" s="28">
        <v>28990.0</v>
      </c>
      <c r="E166" s="29">
        <v>1722.0</v>
      </c>
      <c r="F166" s="30">
        <v>384385.0</v>
      </c>
      <c r="G166" s="30">
        <v>1764.0</v>
      </c>
      <c r="H166" s="30">
        <v>413375.0</v>
      </c>
      <c r="I166" s="29">
        <v>35.0</v>
      </c>
      <c r="J166" s="29">
        <v>71.0</v>
      </c>
      <c r="K166" s="29">
        <v>19989.0</v>
      </c>
      <c r="L166" s="29">
        <v>1075.0</v>
      </c>
      <c r="M166" s="29">
        <v>206668.0</v>
      </c>
      <c r="N166" s="29">
        <v>226657.0</v>
      </c>
      <c r="O166" s="29">
        <v>8.0</v>
      </c>
      <c r="P166" s="31">
        <v>2361.0</v>
      </c>
      <c r="Q166" s="31">
        <v>10.0</v>
      </c>
      <c r="R166" s="31">
        <v>1939.0</v>
      </c>
      <c r="S166" s="31">
        <v>0.0</v>
      </c>
      <c r="T166" s="31">
        <v>322.0</v>
      </c>
      <c r="U166" s="31">
        <v>100.0</v>
      </c>
      <c r="V166" s="31">
        <v>97.0</v>
      </c>
      <c r="W166" s="31">
        <v>9.0</v>
      </c>
      <c r="X166" s="31">
        <v>4.0</v>
      </c>
      <c r="Y166" s="31">
        <v>0.0</v>
      </c>
      <c r="Z166" s="28">
        <v>1032.0</v>
      </c>
    </row>
    <row r="167" ht="14.25" customHeight="1">
      <c r="A167" s="27">
        <v>44053.0</v>
      </c>
      <c r="B167" s="28">
        <v>149.0</v>
      </c>
      <c r="C167" s="28">
        <v>105.0</v>
      </c>
      <c r="D167" s="28">
        <v>29139.0</v>
      </c>
      <c r="E167" s="29">
        <v>4580.0</v>
      </c>
      <c r="F167" s="30">
        <v>388965.0</v>
      </c>
      <c r="G167" s="30">
        <v>4729.0</v>
      </c>
      <c r="H167" s="30">
        <v>418104.0</v>
      </c>
      <c r="I167" s="29">
        <v>113.0</v>
      </c>
      <c r="J167" s="29">
        <v>80.0</v>
      </c>
      <c r="K167" s="29">
        <v>20102.0</v>
      </c>
      <c r="L167" s="29">
        <v>2029.0</v>
      </c>
      <c r="M167" s="29">
        <v>208697.0</v>
      </c>
      <c r="N167" s="29">
        <v>228799.0</v>
      </c>
      <c r="O167" s="29">
        <v>11.0</v>
      </c>
      <c r="P167" s="31">
        <v>2372.0</v>
      </c>
      <c r="Q167" s="31">
        <v>12.0</v>
      </c>
      <c r="R167" s="31">
        <v>1951.0</v>
      </c>
      <c r="S167" s="31">
        <v>0.0</v>
      </c>
      <c r="T167" s="31">
        <v>322.0</v>
      </c>
      <c r="U167" s="31">
        <v>99.0</v>
      </c>
      <c r="V167" s="31">
        <v>100.0</v>
      </c>
      <c r="W167" s="31">
        <v>9.0</v>
      </c>
      <c r="X167" s="31">
        <v>4.0</v>
      </c>
      <c r="Y167" s="31">
        <v>1.0</v>
      </c>
      <c r="Z167" s="28">
        <v>1033.0</v>
      </c>
    </row>
    <row r="168" ht="14.25" customHeight="1">
      <c r="A168" s="27">
        <v>44054.0</v>
      </c>
      <c r="B168" s="28">
        <v>105.0</v>
      </c>
      <c r="C168" s="28">
        <v>99.0</v>
      </c>
      <c r="D168" s="28">
        <v>29244.0</v>
      </c>
      <c r="E168" s="29">
        <v>4325.0</v>
      </c>
      <c r="F168" s="30">
        <v>393290.0</v>
      </c>
      <c r="G168" s="30">
        <v>4430.0</v>
      </c>
      <c r="H168" s="30">
        <v>422534.0</v>
      </c>
      <c r="I168" s="29">
        <v>92.0</v>
      </c>
      <c r="J168" s="29">
        <v>80.0</v>
      </c>
      <c r="K168" s="29">
        <v>20194.0</v>
      </c>
      <c r="L168" s="29">
        <v>2266.0</v>
      </c>
      <c r="M168" s="29">
        <v>210963.0</v>
      </c>
      <c r="N168" s="29">
        <v>231157.0</v>
      </c>
      <c r="O168" s="29">
        <v>6.0</v>
      </c>
      <c r="P168" s="31">
        <v>2378.0</v>
      </c>
      <c r="Q168" s="31">
        <v>14.0</v>
      </c>
      <c r="R168" s="31">
        <v>1965.0</v>
      </c>
      <c r="S168" s="31">
        <v>0.0</v>
      </c>
      <c r="T168" s="31">
        <v>322.0</v>
      </c>
      <c r="U168" s="31">
        <v>91.0</v>
      </c>
      <c r="V168" s="31">
        <v>97.0</v>
      </c>
      <c r="W168" s="31">
        <v>10.0</v>
      </c>
      <c r="X168" s="31">
        <v>4.0</v>
      </c>
      <c r="Y168" s="31">
        <v>3.0</v>
      </c>
      <c r="Z168" s="28">
        <v>1036.0</v>
      </c>
    </row>
    <row r="169" ht="14.25" customHeight="1">
      <c r="A169" s="27">
        <v>44055.0</v>
      </c>
      <c r="B169" s="28">
        <v>121.0</v>
      </c>
      <c r="C169" s="28">
        <v>125.0</v>
      </c>
      <c r="D169" s="28">
        <v>29365.0</v>
      </c>
      <c r="E169" s="29">
        <v>5184.0</v>
      </c>
      <c r="F169" s="30">
        <v>398474.0</v>
      </c>
      <c r="G169" s="30">
        <v>5305.0</v>
      </c>
      <c r="H169" s="30">
        <v>427839.0</v>
      </c>
      <c r="I169" s="29">
        <v>101.0</v>
      </c>
      <c r="J169" s="29">
        <v>102.0</v>
      </c>
      <c r="K169" s="29">
        <v>20295.0</v>
      </c>
      <c r="L169" s="29">
        <v>2630.0</v>
      </c>
      <c r="M169" s="29">
        <v>213593.0</v>
      </c>
      <c r="N169" s="29">
        <v>233888.0</v>
      </c>
      <c r="O169" s="29">
        <v>8.0</v>
      </c>
      <c r="P169" s="31">
        <v>2386.0</v>
      </c>
      <c r="Q169" s="31">
        <v>11.0</v>
      </c>
      <c r="R169" s="31">
        <v>1976.0</v>
      </c>
      <c r="S169" s="31">
        <v>0.0</v>
      </c>
      <c r="T169" s="31">
        <v>322.0</v>
      </c>
      <c r="U169" s="31">
        <v>88.0</v>
      </c>
      <c r="V169" s="31">
        <v>93.0</v>
      </c>
      <c r="W169" s="31">
        <v>9.0</v>
      </c>
      <c r="X169" s="31">
        <v>3.0</v>
      </c>
      <c r="Y169" s="31">
        <v>1.0</v>
      </c>
      <c r="Z169" s="28">
        <v>1037.0</v>
      </c>
    </row>
    <row r="170" ht="14.25" customHeight="1">
      <c r="A170" s="27">
        <v>44056.0</v>
      </c>
      <c r="B170" s="28">
        <v>135.0</v>
      </c>
      <c r="C170" s="28">
        <v>120.0</v>
      </c>
      <c r="D170" s="28">
        <v>29500.0</v>
      </c>
      <c r="E170" s="29">
        <v>4191.0</v>
      </c>
      <c r="F170" s="30">
        <v>402665.0</v>
      </c>
      <c r="G170" s="30">
        <v>4326.0</v>
      </c>
      <c r="H170" s="30">
        <v>432165.0</v>
      </c>
      <c r="I170" s="29">
        <v>95.0</v>
      </c>
      <c r="J170" s="29">
        <v>96.0</v>
      </c>
      <c r="K170" s="29">
        <v>20390.0</v>
      </c>
      <c r="L170" s="29">
        <v>1907.0</v>
      </c>
      <c r="M170" s="29">
        <v>215500.0</v>
      </c>
      <c r="N170" s="29">
        <v>235890.0</v>
      </c>
      <c r="O170" s="29">
        <v>13.0</v>
      </c>
      <c r="P170" s="31">
        <v>2399.0</v>
      </c>
      <c r="Q170" s="31">
        <v>12.0</v>
      </c>
      <c r="R170" s="31">
        <v>1988.0</v>
      </c>
      <c r="S170" s="31">
        <v>0.0</v>
      </c>
      <c r="T170" s="31">
        <v>322.0</v>
      </c>
      <c r="U170" s="31">
        <v>89.0</v>
      </c>
      <c r="V170" s="31">
        <v>89.0</v>
      </c>
      <c r="W170" s="31">
        <v>11.0</v>
      </c>
      <c r="X170" s="31">
        <v>3.0</v>
      </c>
      <c r="Y170" s="31">
        <v>0.0</v>
      </c>
      <c r="Z170" s="28">
        <v>1037.0</v>
      </c>
    </row>
    <row r="171" ht="14.25" customHeight="1">
      <c r="A171" s="27">
        <v>44057.0</v>
      </c>
      <c r="B171" s="28">
        <v>145.0</v>
      </c>
      <c r="C171" s="28">
        <v>134.0</v>
      </c>
      <c r="D171" s="28">
        <v>29645.0</v>
      </c>
      <c r="E171" s="29">
        <v>5492.0</v>
      </c>
      <c r="F171" s="30">
        <v>408157.0</v>
      </c>
      <c r="G171" s="30">
        <v>5637.0</v>
      </c>
      <c r="H171" s="30">
        <v>437802.0</v>
      </c>
      <c r="I171" s="29">
        <v>99.0</v>
      </c>
      <c r="J171" s="29">
        <v>98.0</v>
      </c>
      <c r="K171" s="29">
        <v>20489.0</v>
      </c>
      <c r="L171" s="29">
        <v>1976.0</v>
      </c>
      <c r="M171" s="29">
        <v>217476.0</v>
      </c>
      <c r="N171" s="29">
        <v>237965.0</v>
      </c>
      <c r="O171" s="29">
        <v>13.0</v>
      </c>
      <c r="P171" s="31">
        <v>2412.0</v>
      </c>
      <c r="Q171" s="31">
        <v>11.0</v>
      </c>
      <c r="R171" s="31">
        <v>1999.0</v>
      </c>
      <c r="S171" s="31">
        <v>0.0</v>
      </c>
      <c r="T171" s="31">
        <v>322.0</v>
      </c>
      <c r="U171" s="31">
        <v>91.0</v>
      </c>
      <c r="V171" s="31">
        <v>89.0</v>
      </c>
      <c r="W171" s="31">
        <v>11.0</v>
      </c>
      <c r="X171" s="31">
        <v>4.0</v>
      </c>
      <c r="Y171" s="31">
        <v>3.0</v>
      </c>
      <c r="Z171" s="28">
        <v>1040.0</v>
      </c>
    </row>
    <row r="172" ht="14.25" customHeight="1">
      <c r="A172" s="27">
        <v>44058.0</v>
      </c>
      <c r="B172" s="28">
        <v>105.0</v>
      </c>
      <c r="C172" s="28">
        <v>128.0</v>
      </c>
      <c r="D172" s="28">
        <v>29750.0</v>
      </c>
      <c r="E172" s="29">
        <v>4533.0</v>
      </c>
      <c r="F172" s="30">
        <v>412690.0</v>
      </c>
      <c r="G172" s="30">
        <v>4638.0</v>
      </c>
      <c r="H172" s="30">
        <v>442440.0</v>
      </c>
      <c r="I172" s="29">
        <v>89.0</v>
      </c>
      <c r="J172" s="29">
        <v>94.0</v>
      </c>
      <c r="K172" s="29">
        <v>20578.0</v>
      </c>
      <c r="L172" s="29">
        <v>1694.0</v>
      </c>
      <c r="M172" s="29">
        <v>219170.0</v>
      </c>
      <c r="N172" s="29">
        <v>239748.0</v>
      </c>
      <c r="O172" s="29">
        <v>8.0</v>
      </c>
      <c r="P172" s="31">
        <v>2420.0</v>
      </c>
      <c r="Q172" s="31">
        <v>11.0</v>
      </c>
      <c r="R172" s="31">
        <v>2010.0</v>
      </c>
      <c r="S172" s="31">
        <v>1.0</v>
      </c>
      <c r="T172" s="31">
        <v>323.0</v>
      </c>
      <c r="U172" s="31">
        <v>87.0</v>
      </c>
      <c r="V172" s="31">
        <v>89.0</v>
      </c>
      <c r="W172" s="31">
        <v>11.0</v>
      </c>
      <c r="X172" s="31">
        <v>5.0</v>
      </c>
      <c r="Y172" s="31">
        <v>0.0</v>
      </c>
      <c r="Z172" s="28">
        <v>1040.0</v>
      </c>
    </row>
    <row r="173" ht="14.25" customHeight="1">
      <c r="A173" s="27">
        <v>44059.0</v>
      </c>
      <c r="B173" s="28">
        <v>83.0</v>
      </c>
      <c r="C173" s="28">
        <v>111.0</v>
      </c>
      <c r="D173" s="28">
        <v>29833.0</v>
      </c>
      <c r="E173" s="29">
        <v>2785.0</v>
      </c>
      <c r="F173" s="30">
        <v>415475.0</v>
      </c>
      <c r="G173" s="30">
        <v>2868.0</v>
      </c>
      <c r="H173" s="30">
        <v>445308.0</v>
      </c>
      <c r="I173" s="29">
        <v>70.0</v>
      </c>
      <c r="J173" s="29">
        <v>86.0</v>
      </c>
      <c r="K173" s="29">
        <v>20648.0</v>
      </c>
      <c r="L173" s="29">
        <v>980.0</v>
      </c>
      <c r="M173" s="29">
        <v>220150.0</v>
      </c>
      <c r="N173" s="29">
        <v>240798.0</v>
      </c>
      <c r="O173" s="29">
        <v>7.0</v>
      </c>
      <c r="P173" s="31">
        <v>2427.0</v>
      </c>
      <c r="Q173" s="31">
        <v>6.0</v>
      </c>
      <c r="R173" s="31">
        <v>2016.0</v>
      </c>
      <c r="S173" s="31">
        <v>4.0</v>
      </c>
      <c r="T173" s="31">
        <v>327.0</v>
      </c>
      <c r="U173" s="31">
        <v>84.0</v>
      </c>
      <c r="V173" s="31">
        <v>87.0</v>
      </c>
      <c r="W173" s="31">
        <v>8.0</v>
      </c>
      <c r="X173" s="31">
        <v>4.0</v>
      </c>
      <c r="Y173" s="31">
        <v>6.0</v>
      </c>
      <c r="Z173" s="28">
        <v>1046.0</v>
      </c>
    </row>
    <row r="174" ht="14.25" customHeight="1">
      <c r="A174" s="27">
        <v>44060.0</v>
      </c>
      <c r="B174" s="28">
        <v>106.0</v>
      </c>
      <c r="C174" s="28">
        <v>98.0</v>
      </c>
      <c r="D174" s="28">
        <v>29939.0</v>
      </c>
      <c r="E174" s="29">
        <v>4570.0</v>
      </c>
      <c r="F174" s="30">
        <v>420045.0</v>
      </c>
      <c r="G174" s="30">
        <v>4676.0</v>
      </c>
      <c r="H174" s="30">
        <v>449984.0</v>
      </c>
      <c r="I174" s="29">
        <v>88.0</v>
      </c>
      <c r="J174" s="29">
        <v>82.0</v>
      </c>
      <c r="K174" s="29">
        <v>20736.0</v>
      </c>
      <c r="L174" s="29">
        <v>2399.0</v>
      </c>
      <c r="M174" s="29">
        <v>222549.0</v>
      </c>
      <c r="N174" s="29">
        <v>243285.0</v>
      </c>
      <c r="O174" s="29">
        <v>10.0</v>
      </c>
      <c r="P174" s="31">
        <v>2437.0</v>
      </c>
      <c r="Q174" s="31">
        <v>7.0</v>
      </c>
      <c r="R174" s="31">
        <v>2023.0</v>
      </c>
      <c r="S174" s="31">
        <v>0.0</v>
      </c>
      <c r="T174" s="31">
        <v>327.0</v>
      </c>
      <c r="U174" s="31">
        <v>87.0</v>
      </c>
      <c r="V174" s="31">
        <v>86.0</v>
      </c>
      <c r="W174" s="31">
        <v>8.0</v>
      </c>
      <c r="X174" s="31">
        <v>5.0</v>
      </c>
      <c r="Y174" s="31">
        <v>2.0</v>
      </c>
      <c r="Z174" s="28">
        <v>1048.0</v>
      </c>
    </row>
    <row r="175" ht="14.25" customHeight="1">
      <c r="A175" s="27">
        <v>44061.0</v>
      </c>
      <c r="B175" s="28">
        <v>128.0</v>
      </c>
      <c r="C175" s="28">
        <v>106.0</v>
      </c>
      <c r="D175" s="28">
        <v>30067.0</v>
      </c>
      <c r="E175" s="29">
        <v>5049.0</v>
      </c>
      <c r="F175" s="30">
        <v>425094.0</v>
      </c>
      <c r="G175" s="30">
        <v>5177.0</v>
      </c>
      <c r="H175" s="30">
        <v>455161.0</v>
      </c>
      <c r="I175" s="29">
        <v>95.0</v>
      </c>
      <c r="J175" s="29">
        <v>84.0</v>
      </c>
      <c r="K175" s="29">
        <v>20831.0</v>
      </c>
      <c r="L175" s="29">
        <v>2770.0</v>
      </c>
      <c r="M175" s="29">
        <v>225319.0</v>
      </c>
      <c r="N175" s="29">
        <v>246150.0</v>
      </c>
      <c r="O175" s="29">
        <v>11.0</v>
      </c>
      <c r="P175" s="31">
        <v>2448.0</v>
      </c>
      <c r="Q175" s="31">
        <v>9.0</v>
      </c>
      <c r="R175" s="31">
        <v>2032.0</v>
      </c>
      <c r="S175" s="31">
        <v>1.0</v>
      </c>
      <c r="T175" s="31">
        <v>328.0</v>
      </c>
      <c r="U175" s="31">
        <v>88.0</v>
      </c>
      <c r="V175" s="31">
        <v>86.0</v>
      </c>
      <c r="W175" s="31">
        <v>8.0</v>
      </c>
      <c r="X175" s="31">
        <v>4.0</v>
      </c>
      <c r="Y175" s="31">
        <v>5.0</v>
      </c>
      <c r="Z175" s="28">
        <v>1053.0</v>
      </c>
    </row>
    <row r="176" ht="14.25" customHeight="1">
      <c r="A176" s="27">
        <v>44062.0</v>
      </c>
      <c r="B176" s="28">
        <v>114.0</v>
      </c>
      <c r="C176" s="28">
        <v>116.0</v>
      </c>
      <c r="D176" s="28">
        <v>30181.0</v>
      </c>
      <c r="E176" s="29">
        <v>5407.0</v>
      </c>
      <c r="F176" s="30">
        <v>430501.0</v>
      </c>
      <c r="G176" s="30">
        <v>5521.0</v>
      </c>
      <c r="H176" s="30">
        <v>460682.0</v>
      </c>
      <c r="I176" s="29">
        <v>89.0</v>
      </c>
      <c r="J176" s="29">
        <v>91.0</v>
      </c>
      <c r="K176" s="29">
        <v>20920.0</v>
      </c>
      <c r="L176" s="29">
        <v>2662.0</v>
      </c>
      <c r="M176" s="29">
        <v>227981.0</v>
      </c>
      <c r="N176" s="29">
        <v>248901.0</v>
      </c>
      <c r="O176" s="29">
        <v>8.0</v>
      </c>
      <c r="P176" s="31">
        <v>2456.0</v>
      </c>
      <c r="Q176" s="31">
        <v>9.0</v>
      </c>
      <c r="R176" s="31">
        <v>2041.0</v>
      </c>
      <c r="S176" s="31">
        <v>1.0</v>
      </c>
      <c r="T176" s="31">
        <v>329.0</v>
      </c>
      <c r="U176" s="31">
        <v>86.0</v>
      </c>
      <c r="V176" s="31">
        <v>87.0</v>
      </c>
      <c r="W176" s="31">
        <v>9.0</v>
      </c>
      <c r="X176" s="31">
        <v>5.0</v>
      </c>
      <c r="Y176" s="31">
        <v>0.0</v>
      </c>
      <c r="Z176" s="28">
        <v>1053.0</v>
      </c>
    </row>
    <row r="177" ht="14.25" customHeight="1">
      <c r="A177" s="27">
        <v>44063.0</v>
      </c>
      <c r="B177" s="28">
        <v>174.0</v>
      </c>
      <c r="C177" s="28">
        <v>139.0</v>
      </c>
      <c r="D177" s="28">
        <v>30355.0</v>
      </c>
      <c r="E177" s="29">
        <v>8220.0</v>
      </c>
      <c r="F177" s="30">
        <v>438721.0</v>
      </c>
      <c r="G177" s="30">
        <v>8394.0</v>
      </c>
      <c r="H177" s="30">
        <v>469076.0</v>
      </c>
      <c r="I177" s="29">
        <v>139.0</v>
      </c>
      <c r="J177" s="29">
        <v>108.0</v>
      </c>
      <c r="K177" s="29">
        <v>21059.0</v>
      </c>
      <c r="L177" s="29">
        <v>3558.0</v>
      </c>
      <c r="M177" s="29">
        <v>231539.0</v>
      </c>
      <c r="N177" s="29">
        <v>252598.0</v>
      </c>
      <c r="O177" s="29">
        <v>12.0</v>
      </c>
      <c r="P177" s="31">
        <v>2468.0</v>
      </c>
      <c r="Q177" s="31">
        <v>6.0</v>
      </c>
      <c r="R177" s="31">
        <v>2047.0</v>
      </c>
      <c r="S177" s="31">
        <v>2.0</v>
      </c>
      <c r="T177" s="31">
        <v>331.0</v>
      </c>
      <c r="U177" s="31">
        <v>90.0</v>
      </c>
      <c r="V177" s="31">
        <v>88.0</v>
      </c>
      <c r="W177" s="31">
        <v>10.0</v>
      </c>
      <c r="X177" s="31">
        <v>5.0</v>
      </c>
      <c r="Y177" s="31">
        <v>3.0</v>
      </c>
      <c r="Z177" s="28">
        <v>1056.0</v>
      </c>
    </row>
    <row r="178" ht="14.25" customHeight="1">
      <c r="A178" s="27">
        <v>44064.0</v>
      </c>
      <c r="B178" s="28">
        <v>154.0</v>
      </c>
      <c r="C178" s="28">
        <v>147.0</v>
      </c>
      <c r="D178" s="28">
        <v>30509.0</v>
      </c>
      <c r="E178" s="29">
        <v>6816.0</v>
      </c>
      <c r="F178" s="30">
        <v>445537.0</v>
      </c>
      <c r="G178" s="30">
        <v>6970.0</v>
      </c>
      <c r="H178" s="30">
        <v>476046.0</v>
      </c>
      <c r="I178" s="29">
        <v>126.0</v>
      </c>
      <c r="J178" s="29">
        <v>118.0</v>
      </c>
      <c r="K178" s="29">
        <v>21185.0</v>
      </c>
      <c r="L178" s="29">
        <v>2965.0</v>
      </c>
      <c r="M178" s="29">
        <v>234504.0</v>
      </c>
      <c r="N178" s="29">
        <v>255689.0</v>
      </c>
      <c r="O178" s="29">
        <v>8.0</v>
      </c>
      <c r="P178" s="31">
        <v>2476.0</v>
      </c>
      <c r="Q178" s="31">
        <v>5.0</v>
      </c>
      <c r="R178" s="31">
        <v>2052.0</v>
      </c>
      <c r="S178" s="31">
        <v>1.0</v>
      </c>
      <c r="T178" s="31">
        <v>332.0</v>
      </c>
      <c r="U178" s="31">
        <v>92.0</v>
      </c>
      <c r="V178" s="31">
        <v>89.0</v>
      </c>
      <c r="W178" s="31">
        <v>9.0</v>
      </c>
      <c r="X178" s="31">
        <v>4.0</v>
      </c>
      <c r="Y178" s="31">
        <v>2.0</v>
      </c>
      <c r="Z178" s="28">
        <v>1058.0</v>
      </c>
    </row>
    <row r="179" ht="14.25" customHeight="1">
      <c r="A179" s="27">
        <v>44065.0</v>
      </c>
      <c r="B179" s="28">
        <v>96.0</v>
      </c>
      <c r="C179" s="28">
        <v>141.0</v>
      </c>
      <c r="D179" s="28">
        <v>30605.0</v>
      </c>
      <c r="E179" s="29">
        <v>5957.0</v>
      </c>
      <c r="F179" s="30">
        <v>451494.0</v>
      </c>
      <c r="G179" s="30">
        <v>6053.0</v>
      </c>
      <c r="H179" s="30">
        <v>482099.0</v>
      </c>
      <c r="I179" s="29">
        <v>84.0</v>
      </c>
      <c r="J179" s="29">
        <v>116.0</v>
      </c>
      <c r="K179" s="29">
        <v>21269.0</v>
      </c>
      <c r="L179" s="29">
        <v>2627.0</v>
      </c>
      <c r="M179" s="29">
        <v>237131.0</v>
      </c>
      <c r="N179" s="29">
        <v>258400.0</v>
      </c>
      <c r="O179" s="29">
        <v>10.0</v>
      </c>
      <c r="P179" s="31">
        <v>2486.0</v>
      </c>
      <c r="Q179" s="31">
        <v>12.0</v>
      </c>
      <c r="R179" s="31">
        <v>2064.0</v>
      </c>
      <c r="S179" s="31">
        <v>0.0</v>
      </c>
      <c r="T179" s="31">
        <v>332.0</v>
      </c>
      <c r="U179" s="31">
        <v>90.0</v>
      </c>
      <c r="V179" s="31">
        <v>91.0</v>
      </c>
      <c r="W179" s="31">
        <v>11.0</v>
      </c>
      <c r="X179" s="31">
        <v>4.0</v>
      </c>
      <c r="Y179" s="31">
        <v>1.0</v>
      </c>
      <c r="Z179" s="28">
        <v>1059.0</v>
      </c>
    </row>
    <row r="180" ht="14.25" customHeight="1">
      <c r="A180" s="27">
        <v>44066.0</v>
      </c>
      <c r="B180" s="28">
        <v>70.0</v>
      </c>
      <c r="C180" s="28">
        <v>107.0</v>
      </c>
      <c r="D180" s="28">
        <v>30675.0</v>
      </c>
      <c r="E180" s="29">
        <v>4365.0</v>
      </c>
      <c r="F180" s="30">
        <v>455859.0</v>
      </c>
      <c r="G180" s="30">
        <v>4435.0</v>
      </c>
      <c r="H180" s="30">
        <v>486534.0</v>
      </c>
      <c r="I180" s="29">
        <v>56.0</v>
      </c>
      <c r="J180" s="29">
        <v>89.0</v>
      </c>
      <c r="K180" s="29">
        <v>21325.0</v>
      </c>
      <c r="L180" s="29">
        <v>2476.0</v>
      </c>
      <c r="M180" s="29">
        <v>239607.0</v>
      </c>
      <c r="N180" s="29">
        <v>260932.0</v>
      </c>
      <c r="O180" s="29">
        <v>11.0</v>
      </c>
      <c r="P180" s="31">
        <v>2497.0</v>
      </c>
      <c r="Q180" s="31">
        <v>6.0</v>
      </c>
      <c r="R180" s="31">
        <v>2070.0</v>
      </c>
      <c r="S180" s="31">
        <v>0.0</v>
      </c>
      <c r="T180" s="31">
        <v>332.0</v>
      </c>
      <c r="U180" s="31">
        <v>95.0</v>
      </c>
      <c r="V180" s="31">
        <v>92.0</v>
      </c>
      <c r="W180" s="31">
        <v>11.0</v>
      </c>
      <c r="X180" s="31">
        <v>2.0</v>
      </c>
      <c r="Y180" s="31">
        <v>1.0</v>
      </c>
      <c r="Z180" s="28">
        <v>1060.0</v>
      </c>
    </row>
    <row r="181" ht="14.25" customHeight="1">
      <c r="A181" s="27">
        <v>44067.0</v>
      </c>
      <c r="B181" s="28">
        <v>105.0</v>
      </c>
      <c r="C181" s="28">
        <v>90.0</v>
      </c>
      <c r="D181" s="28">
        <v>30780.0</v>
      </c>
      <c r="E181" s="29">
        <v>5776.0</v>
      </c>
      <c r="F181" s="30">
        <v>461635.0</v>
      </c>
      <c r="G181" s="30">
        <v>5881.0</v>
      </c>
      <c r="H181" s="30">
        <v>492415.0</v>
      </c>
      <c r="I181" s="29">
        <v>77.0</v>
      </c>
      <c r="J181" s="29">
        <v>72.0</v>
      </c>
      <c r="K181" s="29">
        <v>21402.0</v>
      </c>
      <c r="L181" s="29">
        <v>3161.0</v>
      </c>
      <c r="M181" s="29">
        <v>242768.0</v>
      </c>
      <c r="N181" s="29">
        <v>264170.0</v>
      </c>
      <c r="O181" s="29">
        <v>7.0</v>
      </c>
      <c r="P181" s="31">
        <v>2504.0</v>
      </c>
      <c r="Q181" s="31">
        <v>10.0</v>
      </c>
      <c r="R181" s="31">
        <v>2080.0</v>
      </c>
      <c r="S181" s="31">
        <v>1.0</v>
      </c>
      <c r="T181" s="31">
        <v>333.0</v>
      </c>
      <c r="U181" s="31">
        <v>91.0</v>
      </c>
      <c r="V181" s="31">
        <v>92.0</v>
      </c>
      <c r="W181" s="31">
        <v>13.0</v>
      </c>
      <c r="X181" s="31">
        <v>4.0</v>
      </c>
      <c r="Y181" s="31">
        <v>1.0</v>
      </c>
      <c r="Z181" s="28">
        <v>1061.0</v>
      </c>
    </row>
    <row r="182" ht="14.25" customHeight="1">
      <c r="A182" s="27">
        <v>44068.0</v>
      </c>
      <c r="B182" s="28">
        <v>108.0</v>
      </c>
      <c r="C182" s="28">
        <v>94.0</v>
      </c>
      <c r="D182" s="28">
        <v>30888.0</v>
      </c>
      <c r="E182" s="29">
        <v>4796.0</v>
      </c>
      <c r="F182" s="30">
        <v>466431.0</v>
      </c>
      <c r="G182" s="30">
        <v>4904.0</v>
      </c>
      <c r="H182" s="30">
        <v>497319.0</v>
      </c>
      <c r="I182" s="29">
        <v>92.0</v>
      </c>
      <c r="J182" s="29">
        <v>75.0</v>
      </c>
      <c r="K182" s="29">
        <v>21494.0</v>
      </c>
      <c r="L182" s="29">
        <v>2302.0</v>
      </c>
      <c r="M182" s="29">
        <v>245070.0</v>
      </c>
      <c r="N182" s="29">
        <v>266564.0</v>
      </c>
      <c r="O182" s="29">
        <v>10.0</v>
      </c>
      <c r="P182" s="31">
        <v>2514.0</v>
      </c>
      <c r="Q182" s="31">
        <v>4.0</v>
      </c>
      <c r="R182" s="31">
        <v>2084.0</v>
      </c>
      <c r="S182" s="31">
        <v>1.0</v>
      </c>
      <c r="T182" s="31">
        <v>334.0</v>
      </c>
      <c r="U182" s="31">
        <v>96.0</v>
      </c>
      <c r="V182" s="31">
        <v>94.0</v>
      </c>
      <c r="W182" s="31">
        <v>11.0</v>
      </c>
      <c r="X182" s="31">
        <v>4.0</v>
      </c>
      <c r="Y182" s="31">
        <v>1.0</v>
      </c>
      <c r="Z182" s="28">
        <v>1062.0</v>
      </c>
    </row>
    <row r="183" ht="14.25" customHeight="1">
      <c r="A183" s="27">
        <v>44069.0</v>
      </c>
      <c r="B183" s="28">
        <v>170.0</v>
      </c>
      <c r="C183" s="28">
        <v>128.0</v>
      </c>
      <c r="D183" s="28">
        <v>31058.0</v>
      </c>
      <c r="E183" s="29">
        <v>9604.0</v>
      </c>
      <c r="F183" s="30">
        <v>476035.0</v>
      </c>
      <c r="G183" s="30">
        <v>9774.0</v>
      </c>
      <c r="H183" s="30">
        <v>507093.0</v>
      </c>
      <c r="I183" s="29">
        <v>127.0</v>
      </c>
      <c r="J183" s="29">
        <v>99.0</v>
      </c>
      <c r="K183" s="29">
        <v>21621.0</v>
      </c>
      <c r="L183" s="29">
        <v>3086.0</v>
      </c>
      <c r="M183" s="29">
        <v>248156.0</v>
      </c>
      <c r="N183" s="29">
        <v>269777.0</v>
      </c>
      <c r="O183" s="29">
        <v>4.0</v>
      </c>
      <c r="P183" s="31">
        <v>2518.0</v>
      </c>
      <c r="Q183" s="31">
        <v>8.0</v>
      </c>
      <c r="R183" s="31">
        <v>2092.0</v>
      </c>
      <c r="S183" s="31">
        <v>0.0</v>
      </c>
      <c r="T183" s="31">
        <v>334.0</v>
      </c>
      <c r="U183" s="31">
        <v>92.0</v>
      </c>
      <c r="V183" s="31">
        <v>93.0</v>
      </c>
      <c r="W183" s="31">
        <v>9.0</v>
      </c>
      <c r="X183" s="31">
        <v>5.0</v>
      </c>
      <c r="Y183" s="31">
        <v>1.0</v>
      </c>
      <c r="Z183" s="28">
        <v>1063.0</v>
      </c>
    </row>
    <row r="184" ht="14.25" customHeight="1">
      <c r="A184" s="27">
        <v>44070.0</v>
      </c>
      <c r="B184" s="28">
        <v>94.0</v>
      </c>
      <c r="C184" s="28">
        <v>124.0</v>
      </c>
      <c r="D184" s="28">
        <v>31152.0</v>
      </c>
      <c r="E184" s="29">
        <v>8848.0</v>
      </c>
      <c r="F184" s="30">
        <v>484883.0</v>
      </c>
      <c r="G184" s="30">
        <v>8942.0</v>
      </c>
      <c r="H184" s="30">
        <v>516035.0</v>
      </c>
      <c r="I184" s="29">
        <v>71.0</v>
      </c>
      <c r="J184" s="29">
        <v>97.0</v>
      </c>
      <c r="K184" s="29">
        <v>21692.0</v>
      </c>
      <c r="L184" s="29">
        <v>3218.0</v>
      </c>
      <c r="M184" s="29">
        <v>251374.0</v>
      </c>
      <c r="N184" s="29">
        <v>273066.0</v>
      </c>
      <c r="O184" s="29">
        <v>6.0</v>
      </c>
      <c r="P184" s="31">
        <v>2524.0</v>
      </c>
      <c r="Q184" s="31">
        <v>13.0</v>
      </c>
      <c r="R184" s="31">
        <v>2105.0</v>
      </c>
      <c r="S184" s="31">
        <v>1.0</v>
      </c>
      <c r="T184" s="31">
        <v>335.0</v>
      </c>
      <c r="U184" s="31">
        <v>84.0</v>
      </c>
      <c r="V184" s="31">
        <v>91.0</v>
      </c>
      <c r="W184" s="31">
        <v>6.0</v>
      </c>
      <c r="X184" s="31">
        <v>5.0</v>
      </c>
      <c r="Y184" s="31">
        <v>2.0</v>
      </c>
      <c r="Z184" s="28">
        <v>1065.0</v>
      </c>
    </row>
    <row r="185" ht="14.25" customHeight="1">
      <c r="A185" s="27">
        <v>44071.0</v>
      </c>
      <c r="B185" s="28">
        <v>112.0</v>
      </c>
      <c r="C185" s="28">
        <v>125.0</v>
      </c>
      <c r="D185" s="28">
        <v>31264.0</v>
      </c>
      <c r="E185" s="29">
        <v>8106.0</v>
      </c>
      <c r="F185" s="30">
        <v>492989.0</v>
      </c>
      <c r="G185" s="30">
        <v>8218.0</v>
      </c>
      <c r="H185" s="30">
        <v>524253.0</v>
      </c>
      <c r="I185" s="29">
        <v>88.0</v>
      </c>
      <c r="J185" s="29">
        <v>95.0</v>
      </c>
      <c r="K185" s="29">
        <v>21780.0</v>
      </c>
      <c r="L185" s="29">
        <v>2440.0</v>
      </c>
      <c r="M185" s="29">
        <v>253814.0</v>
      </c>
      <c r="N185" s="29">
        <v>275594.0</v>
      </c>
      <c r="O185" s="29">
        <v>14.0</v>
      </c>
      <c r="P185" s="31">
        <v>2538.0</v>
      </c>
      <c r="Q185" s="31">
        <v>4.0</v>
      </c>
      <c r="R185" s="31">
        <v>2109.0</v>
      </c>
      <c r="S185" s="31">
        <v>0.0</v>
      </c>
      <c r="T185" s="31">
        <v>335.0</v>
      </c>
      <c r="U185" s="31">
        <v>94.0</v>
      </c>
      <c r="V185" s="31">
        <v>90.0</v>
      </c>
      <c r="W185" s="31">
        <v>9.0</v>
      </c>
      <c r="X185" s="31">
        <v>7.0</v>
      </c>
      <c r="Y185" s="31">
        <v>2.0</v>
      </c>
      <c r="Z185" s="28">
        <v>1067.0</v>
      </c>
    </row>
    <row r="186" ht="14.25" customHeight="1">
      <c r="A186" s="27">
        <v>44072.0</v>
      </c>
      <c r="B186" s="28">
        <v>65.0</v>
      </c>
      <c r="C186" s="28">
        <v>90.0</v>
      </c>
      <c r="D186" s="28">
        <v>31329.0</v>
      </c>
      <c r="E186" s="29">
        <v>5516.0</v>
      </c>
      <c r="F186" s="30">
        <v>498505.0</v>
      </c>
      <c r="G186" s="30">
        <v>5581.0</v>
      </c>
      <c r="H186" s="30">
        <v>529834.0</v>
      </c>
      <c r="I186" s="29">
        <v>51.0</v>
      </c>
      <c r="J186" s="29">
        <v>70.0</v>
      </c>
      <c r="K186" s="29">
        <v>21831.0</v>
      </c>
      <c r="L186" s="29">
        <v>1910.0</v>
      </c>
      <c r="M186" s="29">
        <v>255724.0</v>
      </c>
      <c r="N186" s="29">
        <v>277555.0</v>
      </c>
      <c r="O186" s="29">
        <v>6.0</v>
      </c>
      <c r="P186" s="31">
        <v>2544.0</v>
      </c>
      <c r="Q186" s="31">
        <v>8.0</v>
      </c>
      <c r="R186" s="31">
        <v>2117.0</v>
      </c>
      <c r="S186" s="31">
        <v>1.0</v>
      </c>
      <c r="T186" s="31">
        <v>336.0</v>
      </c>
      <c r="U186" s="31">
        <v>91.0</v>
      </c>
      <c r="V186" s="31">
        <v>90.0</v>
      </c>
      <c r="W186" s="31">
        <v>10.0</v>
      </c>
      <c r="X186" s="31">
        <v>6.0</v>
      </c>
      <c r="Y186" s="31">
        <v>2.0</v>
      </c>
      <c r="Z186" s="28">
        <v>1069.0</v>
      </c>
    </row>
    <row r="187" ht="14.25" customHeight="1">
      <c r="A187" s="27">
        <v>44073.0</v>
      </c>
      <c r="B187" s="28">
        <v>66.0</v>
      </c>
      <c r="C187" s="28">
        <v>81.0</v>
      </c>
      <c r="D187" s="28">
        <v>31395.0</v>
      </c>
      <c r="E187" s="29">
        <v>4319.0</v>
      </c>
      <c r="F187" s="30">
        <v>502824.0</v>
      </c>
      <c r="G187" s="30">
        <v>4385.0</v>
      </c>
      <c r="H187" s="30">
        <v>534219.0</v>
      </c>
      <c r="I187" s="29">
        <v>48.0</v>
      </c>
      <c r="J187" s="29">
        <v>62.0</v>
      </c>
      <c r="K187" s="29">
        <v>21879.0</v>
      </c>
      <c r="L187" s="29">
        <v>1997.0</v>
      </c>
      <c r="M187" s="29">
        <v>257721.0</v>
      </c>
      <c r="N187" s="29">
        <v>279600.0</v>
      </c>
      <c r="O187" s="29">
        <v>7.0</v>
      </c>
      <c r="P187" s="31">
        <v>2551.0</v>
      </c>
      <c r="Q187" s="31">
        <v>4.0</v>
      </c>
      <c r="R187" s="31">
        <v>2121.0</v>
      </c>
      <c r="S187" s="31">
        <v>0.0</v>
      </c>
      <c r="T187" s="31">
        <v>336.0</v>
      </c>
      <c r="U187" s="31">
        <v>94.0</v>
      </c>
      <c r="V187" s="31">
        <v>93.0</v>
      </c>
      <c r="W187" s="31">
        <v>8.0</v>
      </c>
      <c r="X187" s="31">
        <v>5.0</v>
      </c>
      <c r="Y187" s="31">
        <v>2.0</v>
      </c>
      <c r="Z187" s="28">
        <v>1071.0</v>
      </c>
    </row>
    <row r="188" ht="14.25" customHeight="1">
      <c r="A188" s="27">
        <v>44074.0</v>
      </c>
      <c r="B188" s="28">
        <v>105.0</v>
      </c>
      <c r="C188" s="28">
        <v>79.0</v>
      </c>
      <c r="D188" s="28">
        <v>31500.0</v>
      </c>
      <c r="E188" s="29">
        <v>4864.0</v>
      </c>
      <c r="F188" s="30">
        <v>507688.0</v>
      </c>
      <c r="G188" s="30">
        <v>4969.0</v>
      </c>
      <c r="H188" s="30">
        <v>539188.0</v>
      </c>
      <c r="I188" s="29">
        <v>80.0</v>
      </c>
      <c r="J188" s="29">
        <v>60.0</v>
      </c>
      <c r="K188" s="29">
        <v>21959.0</v>
      </c>
      <c r="L188" s="29">
        <v>2189.0</v>
      </c>
      <c r="M188" s="29">
        <v>259910.0</v>
      </c>
      <c r="N188" s="29">
        <v>281869.0</v>
      </c>
      <c r="O188" s="29">
        <v>12.0</v>
      </c>
      <c r="P188" s="31">
        <v>2563.0</v>
      </c>
      <c r="Q188" s="31">
        <v>15.0</v>
      </c>
      <c r="R188" s="31">
        <v>2136.0</v>
      </c>
      <c r="S188" s="31">
        <v>0.0</v>
      </c>
      <c r="T188" s="31">
        <v>336.0</v>
      </c>
      <c r="U188" s="31">
        <v>91.0</v>
      </c>
      <c r="V188" s="31">
        <v>92.0</v>
      </c>
      <c r="W188" s="31">
        <v>8.0</v>
      </c>
      <c r="X188" s="31">
        <v>4.0</v>
      </c>
      <c r="Y188" s="31">
        <v>1.0</v>
      </c>
      <c r="Z188" s="28">
        <v>1072.0</v>
      </c>
    </row>
    <row r="189" ht="14.25" customHeight="1">
      <c r="A189" s="27">
        <v>44075.0</v>
      </c>
      <c r="B189" s="28">
        <v>98.0</v>
      </c>
      <c r="C189" s="28">
        <v>90.0</v>
      </c>
      <c r="D189" s="28">
        <v>31598.0</v>
      </c>
      <c r="E189" s="29">
        <v>7199.0</v>
      </c>
      <c r="F189" s="30">
        <v>514887.0</v>
      </c>
      <c r="G189" s="30">
        <v>7297.0</v>
      </c>
      <c r="H189" s="30">
        <v>546485.0</v>
      </c>
      <c r="I189" s="29">
        <v>65.0</v>
      </c>
      <c r="J189" s="29">
        <v>64.0</v>
      </c>
      <c r="K189" s="29">
        <v>22024.0</v>
      </c>
      <c r="L189" s="29">
        <v>2381.0</v>
      </c>
      <c r="M189" s="29">
        <v>262291.0</v>
      </c>
      <c r="N189" s="29">
        <v>284315.0</v>
      </c>
      <c r="O189" s="29">
        <v>6.0</v>
      </c>
      <c r="P189" s="31">
        <v>2569.0</v>
      </c>
      <c r="Q189" s="31">
        <v>9.0</v>
      </c>
      <c r="R189" s="31">
        <v>2145.0</v>
      </c>
      <c r="S189" s="31">
        <v>1.0</v>
      </c>
      <c r="T189" s="31">
        <v>337.0</v>
      </c>
      <c r="U189" s="31">
        <v>87.0</v>
      </c>
      <c r="V189" s="31">
        <v>91.0</v>
      </c>
      <c r="W189" s="31">
        <v>7.0</v>
      </c>
      <c r="X189" s="31">
        <v>4.0</v>
      </c>
      <c r="Y189" s="31">
        <v>2.0</v>
      </c>
      <c r="Z189" s="28">
        <v>1074.0</v>
      </c>
    </row>
    <row r="190" ht="14.25" customHeight="1">
      <c r="A190" s="27">
        <v>44076.0</v>
      </c>
      <c r="B190" s="28">
        <v>125.0</v>
      </c>
      <c r="C190" s="28">
        <v>109.0</v>
      </c>
      <c r="D190" s="28">
        <v>31723.0</v>
      </c>
      <c r="E190" s="29">
        <v>10750.0</v>
      </c>
      <c r="F190" s="30">
        <v>525637.0</v>
      </c>
      <c r="G190" s="30">
        <v>10875.0</v>
      </c>
      <c r="H190" s="30">
        <v>557360.0</v>
      </c>
      <c r="I190" s="29">
        <v>104.0</v>
      </c>
      <c r="J190" s="29">
        <v>83.0</v>
      </c>
      <c r="K190" s="29">
        <v>22128.0</v>
      </c>
      <c r="L190" s="29">
        <v>3068.0</v>
      </c>
      <c r="M190" s="29">
        <v>265359.0</v>
      </c>
      <c r="N190" s="29">
        <v>287487.0</v>
      </c>
      <c r="O190" s="29">
        <v>9.0</v>
      </c>
      <c r="P190" s="31">
        <v>2578.0</v>
      </c>
      <c r="Q190" s="31">
        <v>10.0</v>
      </c>
      <c r="R190" s="31">
        <v>2155.0</v>
      </c>
      <c r="S190" s="31">
        <v>1.0</v>
      </c>
      <c r="T190" s="31">
        <v>338.0</v>
      </c>
      <c r="U190" s="31">
        <v>85.0</v>
      </c>
      <c r="V190" s="31">
        <v>88.0</v>
      </c>
      <c r="W190" s="31">
        <v>8.0</v>
      </c>
      <c r="X190" s="31">
        <v>4.0</v>
      </c>
      <c r="Y190" s="31">
        <v>2.0</v>
      </c>
      <c r="Z190" s="28">
        <v>1076.0</v>
      </c>
    </row>
    <row r="191" ht="14.25" customHeight="1">
      <c r="A191" s="27">
        <v>44077.0</v>
      </c>
      <c r="B191" s="28">
        <v>90.0</v>
      </c>
      <c r="C191" s="28">
        <v>104.0</v>
      </c>
      <c r="D191" s="28">
        <v>31813.0</v>
      </c>
      <c r="E191" s="29">
        <v>11373.0</v>
      </c>
      <c r="F191" s="30">
        <v>537010.0</v>
      </c>
      <c r="G191" s="30">
        <v>11463.0</v>
      </c>
      <c r="H191" s="30">
        <v>568823.0</v>
      </c>
      <c r="I191" s="29">
        <v>73.0</v>
      </c>
      <c r="J191" s="29">
        <v>81.0</v>
      </c>
      <c r="K191" s="29">
        <v>22201.0</v>
      </c>
      <c r="L191" s="29">
        <v>2598.0</v>
      </c>
      <c r="M191" s="29">
        <v>267957.0</v>
      </c>
      <c r="N191" s="29">
        <v>290158.0</v>
      </c>
      <c r="O191" s="29">
        <v>8.0</v>
      </c>
      <c r="P191" s="31">
        <v>2586.0</v>
      </c>
      <c r="Q191" s="31">
        <v>8.0</v>
      </c>
      <c r="R191" s="31">
        <v>2163.0</v>
      </c>
      <c r="S191" s="31">
        <v>0.0</v>
      </c>
      <c r="T191" s="31">
        <v>338.0</v>
      </c>
      <c r="U191" s="31">
        <v>85.0</v>
      </c>
      <c r="V191" s="31">
        <v>86.0</v>
      </c>
      <c r="W191" s="31">
        <v>9.0</v>
      </c>
      <c r="X191" s="31">
        <v>4.0</v>
      </c>
      <c r="Y191" s="31">
        <v>3.0</v>
      </c>
      <c r="Z191" s="28">
        <v>1079.0</v>
      </c>
    </row>
    <row r="192" ht="14.25" customHeight="1">
      <c r="A192" s="27">
        <v>44078.0</v>
      </c>
      <c r="B192" s="28">
        <v>102.0</v>
      </c>
      <c r="C192" s="28">
        <v>106.0</v>
      </c>
      <c r="D192" s="28">
        <v>31915.0</v>
      </c>
      <c r="E192" s="29">
        <v>9187.0</v>
      </c>
      <c r="F192" s="30">
        <v>546197.0</v>
      </c>
      <c r="G192" s="30">
        <v>9289.0</v>
      </c>
      <c r="H192" s="30">
        <v>578112.0</v>
      </c>
      <c r="I192" s="29">
        <v>82.0</v>
      </c>
      <c r="J192" s="29">
        <v>86.0</v>
      </c>
      <c r="K192" s="29">
        <v>22283.0</v>
      </c>
      <c r="L192" s="29">
        <v>2399.0</v>
      </c>
      <c r="M192" s="29">
        <v>270356.0</v>
      </c>
      <c r="N192" s="29">
        <v>292639.0</v>
      </c>
      <c r="O192" s="29">
        <v>11.0</v>
      </c>
      <c r="P192" s="31">
        <v>2597.0</v>
      </c>
      <c r="Q192" s="31">
        <v>4.0</v>
      </c>
      <c r="R192" s="31">
        <v>2167.0</v>
      </c>
      <c r="S192" s="31">
        <v>0.0</v>
      </c>
      <c r="T192" s="31">
        <v>338.0</v>
      </c>
      <c r="U192" s="31">
        <v>92.0</v>
      </c>
      <c r="V192" s="31">
        <v>87.0</v>
      </c>
      <c r="W192" s="31">
        <v>9.0</v>
      </c>
      <c r="X192" s="31">
        <v>4.0</v>
      </c>
      <c r="Y192" s="31">
        <v>1.0</v>
      </c>
      <c r="Z192" s="28">
        <v>1080.0</v>
      </c>
    </row>
    <row r="193" ht="14.25" customHeight="1">
      <c r="A193" s="27">
        <v>44079.0</v>
      </c>
      <c r="B193" s="28">
        <v>52.0</v>
      </c>
      <c r="C193" s="28">
        <v>81.0</v>
      </c>
      <c r="D193" s="28">
        <v>31967.0</v>
      </c>
      <c r="E193" s="29">
        <v>6356.0</v>
      </c>
      <c r="F193" s="30">
        <v>552553.0</v>
      </c>
      <c r="G193" s="30">
        <v>6408.0</v>
      </c>
      <c r="H193" s="30">
        <v>584520.0</v>
      </c>
      <c r="I193" s="29">
        <v>42.0</v>
      </c>
      <c r="J193" s="29">
        <v>66.0</v>
      </c>
      <c r="K193" s="29">
        <v>22325.0</v>
      </c>
      <c r="L193" s="29">
        <v>1603.0</v>
      </c>
      <c r="M193" s="29">
        <v>271959.0</v>
      </c>
      <c r="N193" s="29">
        <v>294284.0</v>
      </c>
      <c r="O193" s="29">
        <v>6.0</v>
      </c>
      <c r="P193" s="31">
        <v>2603.0</v>
      </c>
      <c r="Q193" s="31">
        <v>9.0</v>
      </c>
      <c r="R193" s="31">
        <v>2176.0</v>
      </c>
      <c r="S193" s="31">
        <v>0.0</v>
      </c>
      <c r="T193" s="31">
        <v>338.0</v>
      </c>
      <c r="U193" s="31">
        <v>89.0</v>
      </c>
      <c r="V193" s="31">
        <v>89.0</v>
      </c>
      <c r="W193" s="31">
        <v>8.0</v>
      </c>
      <c r="X193" s="31">
        <v>3.0</v>
      </c>
      <c r="Y193" s="31">
        <v>1.0</v>
      </c>
      <c r="Z193" s="28">
        <v>1081.0</v>
      </c>
    </row>
    <row r="194" ht="14.25" customHeight="1">
      <c r="A194" s="27">
        <v>44080.0</v>
      </c>
      <c r="B194" s="28">
        <v>87.0</v>
      </c>
      <c r="C194" s="28">
        <v>80.0</v>
      </c>
      <c r="D194" s="28">
        <v>32054.0</v>
      </c>
      <c r="E194" s="29">
        <v>4317.0</v>
      </c>
      <c r="F194" s="30">
        <v>556870.0</v>
      </c>
      <c r="G194" s="30">
        <v>4404.0</v>
      </c>
      <c r="H194" s="30">
        <v>588924.0</v>
      </c>
      <c r="I194" s="29">
        <v>64.0</v>
      </c>
      <c r="J194" s="29">
        <v>63.0</v>
      </c>
      <c r="K194" s="29">
        <v>22389.0</v>
      </c>
      <c r="L194" s="29">
        <v>1959.0</v>
      </c>
      <c r="M194" s="29">
        <v>273918.0</v>
      </c>
      <c r="N194" s="29">
        <v>296307.0</v>
      </c>
      <c r="O194" s="29">
        <v>4.0</v>
      </c>
      <c r="P194" s="31">
        <v>2607.0</v>
      </c>
      <c r="Q194" s="31">
        <v>8.0</v>
      </c>
      <c r="R194" s="31">
        <v>2184.0</v>
      </c>
      <c r="S194" s="31">
        <v>1.0</v>
      </c>
      <c r="T194" s="31">
        <v>339.0</v>
      </c>
      <c r="U194" s="31">
        <v>84.0</v>
      </c>
      <c r="V194" s="31">
        <v>88.0</v>
      </c>
      <c r="W194" s="31">
        <v>6.0</v>
      </c>
      <c r="X194" s="31">
        <v>3.0</v>
      </c>
      <c r="Y194" s="31">
        <v>1.0</v>
      </c>
      <c r="Z194" s="28">
        <v>1082.0</v>
      </c>
    </row>
    <row r="195" ht="14.25" customHeight="1">
      <c r="A195" s="27">
        <v>44081.0</v>
      </c>
      <c r="B195" s="28">
        <v>35.0</v>
      </c>
      <c r="C195" s="28">
        <v>58.0</v>
      </c>
      <c r="D195" s="28">
        <v>32089.0</v>
      </c>
      <c r="E195" s="29">
        <v>3000.0</v>
      </c>
      <c r="F195" s="30">
        <v>559870.0</v>
      </c>
      <c r="G195" s="30">
        <v>3035.0</v>
      </c>
      <c r="H195" s="30">
        <v>591959.0</v>
      </c>
      <c r="I195" s="29">
        <v>26.0</v>
      </c>
      <c r="J195" s="29">
        <v>44.0</v>
      </c>
      <c r="K195" s="29">
        <v>22415.0</v>
      </c>
      <c r="L195" s="29">
        <v>647.0</v>
      </c>
      <c r="M195" s="29">
        <v>274565.0</v>
      </c>
      <c r="N195" s="29">
        <v>296980.0</v>
      </c>
      <c r="O195" s="29">
        <v>11.0</v>
      </c>
      <c r="P195" s="31">
        <v>2618.0</v>
      </c>
      <c r="Q195" s="31">
        <v>3.0</v>
      </c>
      <c r="R195" s="31">
        <v>2187.0</v>
      </c>
      <c r="S195" s="31">
        <v>0.0</v>
      </c>
      <c r="T195" s="31">
        <v>339.0</v>
      </c>
      <c r="U195" s="31">
        <v>92.0</v>
      </c>
      <c r="V195" s="31">
        <v>88.0</v>
      </c>
      <c r="W195" s="31">
        <v>5.0</v>
      </c>
      <c r="X195" s="31">
        <v>3.0</v>
      </c>
      <c r="Y195" s="31">
        <v>1.0</v>
      </c>
      <c r="Z195" s="28">
        <v>1083.0</v>
      </c>
    </row>
    <row r="196" ht="14.25" customHeight="1">
      <c r="A196" s="27">
        <v>44082.0</v>
      </c>
      <c r="B196" s="28">
        <v>74.0</v>
      </c>
      <c r="C196" s="28">
        <v>65.0</v>
      </c>
      <c r="D196" s="28">
        <v>32163.0</v>
      </c>
      <c r="E196" s="29">
        <v>6407.0</v>
      </c>
      <c r="F196" s="30">
        <v>566277.0</v>
      </c>
      <c r="G196" s="30">
        <v>6481.0</v>
      </c>
      <c r="H196" s="30">
        <v>598440.0</v>
      </c>
      <c r="I196" s="29">
        <v>66.0</v>
      </c>
      <c r="J196" s="29">
        <v>52.0</v>
      </c>
      <c r="K196" s="29">
        <v>22481.0</v>
      </c>
      <c r="L196" s="29">
        <v>1607.0</v>
      </c>
      <c r="M196" s="29">
        <v>276172.0</v>
      </c>
      <c r="N196" s="29">
        <v>298653.0</v>
      </c>
      <c r="O196" s="29">
        <v>6.0</v>
      </c>
      <c r="P196" s="31">
        <v>2624.0</v>
      </c>
      <c r="Q196" s="31">
        <v>12.0</v>
      </c>
      <c r="R196" s="31">
        <v>2199.0</v>
      </c>
      <c r="S196" s="31">
        <v>1.0</v>
      </c>
      <c r="T196" s="31">
        <v>340.0</v>
      </c>
      <c r="U196" s="31">
        <v>85.0</v>
      </c>
      <c r="V196" s="31">
        <v>87.0</v>
      </c>
      <c r="W196" s="31">
        <v>6.0</v>
      </c>
      <c r="X196" s="31">
        <v>3.0</v>
      </c>
      <c r="Y196" s="31">
        <v>2.0</v>
      </c>
      <c r="Z196" s="28">
        <v>1085.0</v>
      </c>
    </row>
    <row r="197" ht="14.25" customHeight="1">
      <c r="A197" s="27">
        <v>44083.0</v>
      </c>
      <c r="B197" s="28">
        <v>118.0</v>
      </c>
      <c r="C197" s="28">
        <v>76.0</v>
      </c>
      <c r="D197" s="28">
        <v>32281.0</v>
      </c>
      <c r="E197" s="29">
        <v>8866.0</v>
      </c>
      <c r="F197" s="30">
        <v>575143.0</v>
      </c>
      <c r="G197" s="30">
        <v>8984.0</v>
      </c>
      <c r="H197" s="30">
        <v>607424.0</v>
      </c>
      <c r="I197" s="29">
        <v>101.0</v>
      </c>
      <c r="J197" s="29">
        <v>64.0</v>
      </c>
      <c r="K197" s="29">
        <v>22582.0</v>
      </c>
      <c r="L197" s="29">
        <v>2166.0</v>
      </c>
      <c r="M197" s="29">
        <v>278338.0</v>
      </c>
      <c r="N197" s="29">
        <v>300920.0</v>
      </c>
      <c r="O197" s="29">
        <v>9.0</v>
      </c>
      <c r="P197" s="31">
        <v>2633.0</v>
      </c>
      <c r="Q197" s="31">
        <v>5.0</v>
      </c>
      <c r="R197" s="31">
        <v>2204.0</v>
      </c>
      <c r="S197" s="31">
        <v>1.0</v>
      </c>
      <c r="T197" s="31">
        <v>341.0</v>
      </c>
      <c r="U197" s="31">
        <v>88.0</v>
      </c>
      <c r="V197" s="31">
        <v>88.0</v>
      </c>
      <c r="W197" s="31">
        <v>9.0</v>
      </c>
      <c r="X197" s="31">
        <v>3.0</v>
      </c>
      <c r="Y197" s="31">
        <v>1.0</v>
      </c>
      <c r="Z197" s="28">
        <v>1086.0</v>
      </c>
    </row>
    <row r="198" ht="14.25" customHeight="1">
      <c r="A198" s="27">
        <v>44084.0</v>
      </c>
      <c r="B198" s="28">
        <v>167.0</v>
      </c>
      <c r="C198" s="28">
        <v>120.0</v>
      </c>
      <c r="D198" s="28">
        <v>32448.0</v>
      </c>
      <c r="E198" s="29">
        <v>11791.0</v>
      </c>
      <c r="F198" s="30">
        <v>586934.0</v>
      </c>
      <c r="G198" s="30">
        <v>11958.0</v>
      </c>
      <c r="H198" s="30">
        <v>619382.0</v>
      </c>
      <c r="I198" s="29">
        <v>112.0</v>
      </c>
      <c r="J198" s="29">
        <v>93.0</v>
      </c>
      <c r="K198" s="29">
        <v>22694.0</v>
      </c>
      <c r="L198" s="29">
        <v>2282.0</v>
      </c>
      <c r="M198" s="29">
        <v>280620.0</v>
      </c>
      <c r="N198" s="29">
        <v>303314.0</v>
      </c>
      <c r="O198" s="29">
        <v>9.0</v>
      </c>
      <c r="P198" s="31">
        <v>2642.0</v>
      </c>
      <c r="Q198" s="31">
        <v>8.0</v>
      </c>
      <c r="R198" s="31">
        <v>2212.0</v>
      </c>
      <c r="S198" s="31">
        <v>0.0</v>
      </c>
      <c r="T198" s="31">
        <v>341.0</v>
      </c>
      <c r="U198" s="31">
        <v>89.0</v>
      </c>
      <c r="V198" s="31">
        <v>87.0</v>
      </c>
      <c r="W198" s="31">
        <v>10.0</v>
      </c>
      <c r="X198" s="31">
        <v>3.0</v>
      </c>
      <c r="Y198" s="31">
        <v>0.0</v>
      </c>
      <c r="Z198" s="28">
        <v>1086.0</v>
      </c>
    </row>
    <row r="199" ht="14.25" customHeight="1">
      <c r="A199" s="27">
        <v>44085.0</v>
      </c>
      <c r="B199" s="28">
        <v>124.0</v>
      </c>
      <c r="C199" s="28">
        <v>136.0</v>
      </c>
      <c r="D199" s="28">
        <v>32572.0</v>
      </c>
      <c r="E199" s="29">
        <v>9501.0</v>
      </c>
      <c r="F199" s="30">
        <v>596435.0</v>
      </c>
      <c r="G199" s="30">
        <v>9625.0</v>
      </c>
      <c r="H199" s="30">
        <v>629007.0</v>
      </c>
      <c r="I199" s="29">
        <v>98.0</v>
      </c>
      <c r="J199" s="29">
        <v>104.0</v>
      </c>
      <c r="K199" s="29">
        <v>22792.0</v>
      </c>
      <c r="L199" s="29">
        <v>1984.0</v>
      </c>
      <c r="M199" s="29">
        <v>282604.0</v>
      </c>
      <c r="N199" s="29">
        <v>305396.0</v>
      </c>
      <c r="O199" s="29">
        <v>11.0</v>
      </c>
      <c r="P199" s="31">
        <v>2653.0</v>
      </c>
      <c r="Q199" s="31">
        <v>11.0</v>
      </c>
      <c r="R199" s="31">
        <v>2223.0</v>
      </c>
      <c r="S199" s="31">
        <v>0.0</v>
      </c>
      <c r="T199" s="31">
        <v>341.0</v>
      </c>
      <c r="U199" s="31">
        <v>89.0</v>
      </c>
      <c r="V199" s="31">
        <v>89.0</v>
      </c>
      <c r="W199" s="31">
        <v>10.0</v>
      </c>
      <c r="X199" s="31">
        <v>5.0</v>
      </c>
      <c r="Y199" s="31">
        <v>0.0</v>
      </c>
      <c r="Z199" s="28">
        <v>1086.0</v>
      </c>
    </row>
    <row r="200" ht="14.25" customHeight="1">
      <c r="A200" s="27">
        <v>44086.0</v>
      </c>
      <c r="B200" s="28">
        <v>109.0</v>
      </c>
      <c r="C200" s="28">
        <v>133.0</v>
      </c>
      <c r="D200" s="28">
        <v>32681.0</v>
      </c>
      <c r="E200" s="29">
        <v>6188.0</v>
      </c>
      <c r="F200" s="30">
        <v>602623.0</v>
      </c>
      <c r="G200" s="30">
        <v>6297.0</v>
      </c>
      <c r="H200" s="30">
        <v>635304.0</v>
      </c>
      <c r="I200" s="29">
        <v>97.0</v>
      </c>
      <c r="J200" s="29">
        <v>102.0</v>
      </c>
      <c r="K200" s="29">
        <v>22889.0</v>
      </c>
      <c r="L200" s="29">
        <v>1503.0</v>
      </c>
      <c r="M200" s="29">
        <v>284107.0</v>
      </c>
      <c r="N200" s="29">
        <v>306996.0</v>
      </c>
      <c r="O200" s="29">
        <v>8.0</v>
      </c>
      <c r="P200" s="31">
        <v>2661.0</v>
      </c>
      <c r="Q200" s="31">
        <v>5.0</v>
      </c>
      <c r="R200" s="31">
        <v>2228.0</v>
      </c>
      <c r="S200" s="31">
        <v>2.0</v>
      </c>
      <c r="T200" s="31">
        <v>343.0</v>
      </c>
      <c r="U200" s="31">
        <v>90.0</v>
      </c>
      <c r="V200" s="31">
        <v>89.0</v>
      </c>
      <c r="W200" s="31">
        <v>9.0</v>
      </c>
      <c r="X200" s="31">
        <v>5.0</v>
      </c>
      <c r="Y200" s="31">
        <v>3.0</v>
      </c>
      <c r="Z200" s="28">
        <v>1089.0</v>
      </c>
    </row>
    <row r="201" ht="14.25" customHeight="1">
      <c r="A201" s="27">
        <v>44087.0</v>
      </c>
      <c r="B201" s="28">
        <v>58.0</v>
      </c>
      <c r="C201" s="28">
        <v>97.0</v>
      </c>
      <c r="D201" s="28">
        <v>32739.0</v>
      </c>
      <c r="E201" s="29">
        <v>2707.0</v>
      </c>
      <c r="F201" s="30">
        <v>605330.0</v>
      </c>
      <c r="G201" s="30">
        <v>2765.0</v>
      </c>
      <c r="H201" s="30">
        <v>638069.0</v>
      </c>
      <c r="I201" s="29">
        <v>53.0</v>
      </c>
      <c r="J201" s="29">
        <v>83.0</v>
      </c>
      <c r="K201" s="29">
        <v>22942.0</v>
      </c>
      <c r="L201" s="29">
        <v>859.0</v>
      </c>
      <c r="M201" s="29">
        <v>284966.0</v>
      </c>
      <c r="N201" s="29">
        <v>307908.0</v>
      </c>
      <c r="O201" s="29">
        <v>4.0</v>
      </c>
      <c r="P201" s="31">
        <v>2665.0</v>
      </c>
      <c r="Q201" s="31">
        <v>3.0</v>
      </c>
      <c r="R201" s="31">
        <v>2231.0</v>
      </c>
      <c r="S201" s="31">
        <v>0.0</v>
      </c>
      <c r="T201" s="31">
        <v>343.0</v>
      </c>
      <c r="U201" s="31">
        <v>91.0</v>
      </c>
      <c r="V201" s="31">
        <v>90.0</v>
      </c>
      <c r="W201" s="31">
        <v>10.0</v>
      </c>
      <c r="X201" s="31">
        <v>5.0</v>
      </c>
      <c r="Y201" s="31">
        <v>0.0</v>
      </c>
      <c r="Z201" s="28">
        <v>1089.0</v>
      </c>
    </row>
    <row r="202" ht="14.25" customHeight="1">
      <c r="A202" s="27">
        <v>44088.0</v>
      </c>
      <c r="B202" s="28">
        <v>104.0</v>
      </c>
      <c r="C202" s="28">
        <v>90.0</v>
      </c>
      <c r="D202" s="28">
        <v>32843.0</v>
      </c>
      <c r="E202" s="29">
        <v>6426.0</v>
      </c>
      <c r="F202" s="30">
        <v>611756.0</v>
      </c>
      <c r="G202" s="30">
        <v>6530.0</v>
      </c>
      <c r="H202" s="30">
        <v>644599.0</v>
      </c>
      <c r="I202" s="29">
        <v>95.0</v>
      </c>
      <c r="J202" s="29">
        <v>82.0</v>
      </c>
      <c r="K202" s="29">
        <v>23037.0</v>
      </c>
      <c r="L202" s="29">
        <v>1710.0</v>
      </c>
      <c r="M202" s="29">
        <v>286676.0</v>
      </c>
      <c r="N202" s="29">
        <v>309713.0</v>
      </c>
      <c r="O202" s="29">
        <v>5.0</v>
      </c>
      <c r="P202" s="31">
        <v>2670.0</v>
      </c>
      <c r="Q202" s="31">
        <v>3.0</v>
      </c>
      <c r="R202" s="31">
        <v>2234.0</v>
      </c>
      <c r="S202" s="31">
        <v>2.0</v>
      </c>
      <c r="T202" s="31">
        <v>345.0</v>
      </c>
      <c r="U202" s="31">
        <v>91.0</v>
      </c>
      <c r="V202" s="31">
        <v>91.0</v>
      </c>
      <c r="W202" s="31">
        <v>10.0</v>
      </c>
      <c r="X202" s="31">
        <v>5.0</v>
      </c>
      <c r="Y202" s="31">
        <v>1.0</v>
      </c>
      <c r="Z202" s="28">
        <v>1090.0</v>
      </c>
    </row>
    <row r="203" ht="14.25" customHeight="1">
      <c r="A203" s="27">
        <v>44089.0</v>
      </c>
      <c r="B203" s="28">
        <v>122.0</v>
      </c>
      <c r="C203" s="28">
        <v>95.0</v>
      </c>
      <c r="D203" s="28">
        <v>32965.0</v>
      </c>
      <c r="E203" s="29">
        <v>8554.0</v>
      </c>
      <c r="F203" s="30">
        <v>620310.0</v>
      </c>
      <c r="G203" s="30">
        <v>8676.0</v>
      </c>
      <c r="H203" s="30">
        <v>653275.0</v>
      </c>
      <c r="I203" s="29">
        <v>124.0</v>
      </c>
      <c r="J203" s="29">
        <v>91.0</v>
      </c>
      <c r="K203" s="29">
        <v>23161.0</v>
      </c>
      <c r="L203" s="29">
        <v>2198.0</v>
      </c>
      <c r="M203" s="29">
        <v>288874.0</v>
      </c>
      <c r="N203" s="29">
        <v>312035.0</v>
      </c>
      <c r="O203" s="29">
        <v>6.0</v>
      </c>
      <c r="P203" s="31">
        <v>2676.0</v>
      </c>
      <c r="Q203" s="31">
        <v>2.0</v>
      </c>
      <c r="R203" s="31">
        <v>2236.0</v>
      </c>
      <c r="S203" s="31">
        <v>1.0</v>
      </c>
      <c r="T203" s="31">
        <v>346.0</v>
      </c>
      <c r="U203" s="31">
        <v>94.0</v>
      </c>
      <c r="V203" s="31">
        <v>92.0</v>
      </c>
      <c r="W203" s="31">
        <v>10.0</v>
      </c>
      <c r="X203" s="31">
        <v>5.0</v>
      </c>
      <c r="Y203" s="31">
        <v>2.0</v>
      </c>
      <c r="Z203" s="28">
        <v>1092.0</v>
      </c>
    </row>
    <row r="204" ht="14.25" customHeight="1">
      <c r="A204" s="27">
        <v>44090.0</v>
      </c>
      <c r="B204" s="28">
        <v>137.0</v>
      </c>
      <c r="C204" s="28">
        <v>121.0</v>
      </c>
      <c r="D204" s="28">
        <v>33102.0</v>
      </c>
      <c r="E204" s="29">
        <v>9880.0</v>
      </c>
      <c r="F204" s="30">
        <v>630190.0</v>
      </c>
      <c r="G204" s="30">
        <v>10017.0</v>
      </c>
      <c r="H204" s="30">
        <v>663292.0</v>
      </c>
      <c r="I204" s="29">
        <v>118.0</v>
      </c>
      <c r="J204" s="29">
        <v>112.0</v>
      </c>
      <c r="K204" s="29">
        <v>23279.0</v>
      </c>
      <c r="L204" s="29">
        <v>1975.0</v>
      </c>
      <c r="M204" s="29">
        <v>290849.0</v>
      </c>
      <c r="N204" s="29">
        <v>314128.0</v>
      </c>
      <c r="O204" s="29">
        <v>7.0</v>
      </c>
      <c r="P204" s="31">
        <v>2683.0</v>
      </c>
      <c r="Q204" s="31">
        <v>7.0</v>
      </c>
      <c r="R204" s="31">
        <v>2243.0</v>
      </c>
      <c r="S204" s="31">
        <v>2.0</v>
      </c>
      <c r="T204" s="31">
        <v>348.0</v>
      </c>
      <c r="U204" s="31">
        <v>92.0</v>
      </c>
      <c r="V204" s="31">
        <v>92.0</v>
      </c>
      <c r="W204" s="31">
        <v>8.0</v>
      </c>
      <c r="X204" s="31">
        <v>6.0</v>
      </c>
      <c r="Y204" s="31">
        <v>5.0</v>
      </c>
      <c r="Z204" s="28">
        <v>1097.0</v>
      </c>
    </row>
    <row r="205" ht="14.25" customHeight="1">
      <c r="A205" s="27">
        <v>44091.0</v>
      </c>
      <c r="B205" s="28">
        <v>124.0</v>
      </c>
      <c r="C205" s="28">
        <v>128.0</v>
      </c>
      <c r="D205" s="28">
        <v>33226.0</v>
      </c>
      <c r="E205" s="29">
        <v>9581.0</v>
      </c>
      <c r="F205" s="30">
        <v>639771.0</v>
      </c>
      <c r="G205" s="30">
        <v>9705.0</v>
      </c>
      <c r="H205" s="30">
        <v>672997.0</v>
      </c>
      <c r="I205" s="29">
        <v>154.0</v>
      </c>
      <c r="J205" s="29">
        <v>132.0</v>
      </c>
      <c r="K205" s="29">
        <v>23433.0</v>
      </c>
      <c r="L205" s="29">
        <v>1962.0</v>
      </c>
      <c r="M205" s="29">
        <v>292811.0</v>
      </c>
      <c r="N205" s="29">
        <v>316244.0</v>
      </c>
      <c r="O205" s="29">
        <v>7.0</v>
      </c>
      <c r="P205" s="31">
        <v>2690.0</v>
      </c>
      <c r="Q205" s="31">
        <v>14.0</v>
      </c>
      <c r="R205" s="31">
        <v>2257.0</v>
      </c>
      <c r="S205" s="31">
        <v>0.0</v>
      </c>
      <c r="T205" s="31">
        <v>348.0</v>
      </c>
      <c r="U205" s="31">
        <v>85.0</v>
      </c>
      <c r="V205" s="31">
        <v>90.0</v>
      </c>
      <c r="W205" s="31">
        <v>8.0</v>
      </c>
      <c r="X205" s="31">
        <v>4.0</v>
      </c>
      <c r="Y205" s="31">
        <v>0.0</v>
      </c>
      <c r="Z205" s="28">
        <v>1097.0</v>
      </c>
    </row>
    <row r="206" ht="14.25" customHeight="1">
      <c r="A206" s="27">
        <v>44092.0</v>
      </c>
      <c r="B206" s="28">
        <v>132.0</v>
      </c>
      <c r="C206" s="28">
        <v>131.0</v>
      </c>
      <c r="D206" s="28">
        <v>33358.0</v>
      </c>
      <c r="E206" s="29">
        <v>10263.0</v>
      </c>
      <c r="F206" s="30">
        <v>650034.0</v>
      </c>
      <c r="G206" s="30">
        <v>10395.0</v>
      </c>
      <c r="H206" s="30">
        <v>683392.0</v>
      </c>
      <c r="I206" s="29">
        <v>132.0</v>
      </c>
      <c r="J206" s="29">
        <v>135.0</v>
      </c>
      <c r="K206" s="29">
        <v>23565.0</v>
      </c>
      <c r="L206" s="29">
        <v>1954.0</v>
      </c>
      <c r="M206" s="29">
        <v>294765.0</v>
      </c>
      <c r="N206" s="29">
        <v>318330.0</v>
      </c>
      <c r="O206" s="29">
        <v>7.0</v>
      </c>
      <c r="P206" s="31">
        <v>2697.0</v>
      </c>
      <c r="Q206" s="31">
        <v>7.0</v>
      </c>
      <c r="R206" s="31">
        <v>2264.0</v>
      </c>
      <c r="S206" s="31">
        <v>1.0</v>
      </c>
      <c r="T206" s="31">
        <v>349.0</v>
      </c>
      <c r="U206" s="31">
        <v>84.0</v>
      </c>
      <c r="V206" s="31">
        <v>87.0</v>
      </c>
      <c r="W206" s="31">
        <v>11.0</v>
      </c>
      <c r="X206" s="31">
        <v>6.0</v>
      </c>
      <c r="Y206" s="31">
        <v>2.0</v>
      </c>
      <c r="Z206" s="28">
        <v>1099.0</v>
      </c>
    </row>
    <row r="207" ht="14.25" customHeight="1">
      <c r="A207" s="27">
        <v>44093.0</v>
      </c>
      <c r="B207" s="28">
        <v>116.0</v>
      </c>
      <c r="C207" s="28">
        <v>124.0</v>
      </c>
      <c r="D207" s="28">
        <v>33474.0</v>
      </c>
      <c r="E207" s="29">
        <v>8393.0</v>
      </c>
      <c r="F207" s="30">
        <v>658427.0</v>
      </c>
      <c r="G207" s="30">
        <v>8509.0</v>
      </c>
      <c r="H207" s="30">
        <v>691901.0</v>
      </c>
      <c r="I207" s="29">
        <v>113.0</v>
      </c>
      <c r="J207" s="29">
        <v>133.0</v>
      </c>
      <c r="K207" s="29">
        <v>23678.0</v>
      </c>
      <c r="L207" s="29">
        <v>1710.0</v>
      </c>
      <c r="M207" s="29">
        <v>296475.0</v>
      </c>
      <c r="N207" s="29">
        <v>320153.0</v>
      </c>
      <c r="O207" s="29">
        <v>7.0</v>
      </c>
      <c r="P207" s="31">
        <v>2704.0</v>
      </c>
      <c r="Q207" s="31">
        <v>3.0</v>
      </c>
      <c r="R207" s="31">
        <v>2267.0</v>
      </c>
      <c r="S207" s="31">
        <v>0.0</v>
      </c>
      <c r="T207" s="31">
        <v>349.0</v>
      </c>
      <c r="U207" s="31">
        <v>88.0</v>
      </c>
      <c r="V207" s="31">
        <v>86.0</v>
      </c>
      <c r="W207" s="31">
        <v>10.0</v>
      </c>
      <c r="X207" s="31">
        <v>6.0</v>
      </c>
      <c r="Y207" s="31">
        <v>4.0</v>
      </c>
      <c r="Z207" s="28">
        <v>1103.0</v>
      </c>
    </row>
    <row r="208" ht="14.25" customHeight="1">
      <c r="A208" s="27">
        <v>44094.0</v>
      </c>
      <c r="B208" s="28">
        <v>60.0</v>
      </c>
      <c r="C208" s="28">
        <v>103.0</v>
      </c>
      <c r="D208" s="28">
        <v>33534.0</v>
      </c>
      <c r="E208" s="29">
        <v>3668.0</v>
      </c>
      <c r="F208" s="30">
        <v>662095.0</v>
      </c>
      <c r="G208" s="30">
        <v>3728.0</v>
      </c>
      <c r="H208" s="30">
        <v>695629.0</v>
      </c>
      <c r="I208" s="29">
        <v>48.0</v>
      </c>
      <c r="J208" s="29">
        <v>98.0</v>
      </c>
      <c r="K208" s="29">
        <v>23726.0</v>
      </c>
      <c r="L208" s="29">
        <v>1343.0</v>
      </c>
      <c r="M208" s="29">
        <v>297818.0</v>
      </c>
      <c r="N208" s="29">
        <v>321544.0</v>
      </c>
      <c r="O208" s="29">
        <v>7.0</v>
      </c>
      <c r="P208" s="31">
        <v>2711.0</v>
      </c>
      <c r="Q208" s="31">
        <v>6.0</v>
      </c>
      <c r="R208" s="31">
        <v>2273.0</v>
      </c>
      <c r="S208" s="31">
        <v>2.0</v>
      </c>
      <c r="T208" s="31">
        <v>351.0</v>
      </c>
      <c r="U208" s="31">
        <v>87.0</v>
      </c>
      <c r="V208" s="31">
        <v>86.0</v>
      </c>
      <c r="W208" s="31">
        <v>10.0</v>
      </c>
      <c r="X208" s="31">
        <v>8.0</v>
      </c>
      <c r="Y208" s="31">
        <v>4.0</v>
      </c>
      <c r="Z208" s="28">
        <v>1107.0</v>
      </c>
    </row>
    <row r="209" ht="14.25" customHeight="1">
      <c r="A209" s="27">
        <v>44095.0</v>
      </c>
      <c r="B209" s="28">
        <v>103.0</v>
      </c>
      <c r="C209" s="28">
        <v>93.0</v>
      </c>
      <c r="D209" s="28">
        <v>33637.0</v>
      </c>
      <c r="E209" s="29">
        <v>7006.0</v>
      </c>
      <c r="F209" s="30">
        <v>669101.0</v>
      </c>
      <c r="G209" s="30">
        <v>7109.0</v>
      </c>
      <c r="H209" s="30">
        <v>702738.0</v>
      </c>
      <c r="I209" s="29">
        <v>93.0</v>
      </c>
      <c r="J209" s="29">
        <v>85.0</v>
      </c>
      <c r="K209" s="29">
        <v>23819.0</v>
      </c>
      <c r="L209" s="29">
        <v>2416.0</v>
      </c>
      <c r="M209" s="29">
        <v>300234.0</v>
      </c>
      <c r="N209" s="29">
        <v>324053.0</v>
      </c>
      <c r="O209" s="29">
        <v>12.0</v>
      </c>
      <c r="P209" s="31">
        <v>2723.0</v>
      </c>
      <c r="Q209" s="31">
        <v>3.0</v>
      </c>
      <c r="R209" s="31">
        <v>2276.0</v>
      </c>
      <c r="S209" s="31">
        <v>2.0</v>
      </c>
      <c r="T209" s="31">
        <v>353.0</v>
      </c>
      <c r="U209" s="31">
        <v>94.0</v>
      </c>
      <c r="V209" s="31">
        <v>90.0</v>
      </c>
      <c r="W209" s="31">
        <v>9.0</v>
      </c>
      <c r="X209" s="31">
        <v>6.0</v>
      </c>
      <c r="Y209" s="31">
        <v>2.0</v>
      </c>
      <c r="Z209" s="28">
        <v>1109.0</v>
      </c>
    </row>
    <row r="210" ht="14.25" customHeight="1">
      <c r="A210" s="27">
        <v>44096.0</v>
      </c>
      <c r="B210" s="28">
        <v>154.0</v>
      </c>
      <c r="C210" s="28">
        <v>106.0</v>
      </c>
      <c r="D210" s="28">
        <v>33791.0</v>
      </c>
      <c r="E210" s="29">
        <v>9405.0</v>
      </c>
      <c r="F210" s="30">
        <v>678506.0</v>
      </c>
      <c r="G210" s="30">
        <v>9559.0</v>
      </c>
      <c r="H210" s="30">
        <v>712297.0</v>
      </c>
      <c r="I210" s="29">
        <v>125.0</v>
      </c>
      <c r="J210" s="29">
        <v>89.0</v>
      </c>
      <c r="K210" s="29">
        <v>23944.0</v>
      </c>
      <c r="L210" s="29">
        <v>2229.0</v>
      </c>
      <c r="M210" s="29">
        <v>302463.0</v>
      </c>
      <c r="N210" s="29">
        <v>326407.0</v>
      </c>
      <c r="O210" s="29">
        <v>12.0</v>
      </c>
      <c r="P210" s="31">
        <v>2735.0</v>
      </c>
      <c r="Q210" s="31">
        <v>3.0</v>
      </c>
      <c r="R210" s="31">
        <v>2279.0</v>
      </c>
      <c r="S210" s="31">
        <v>1.0</v>
      </c>
      <c r="T210" s="31">
        <v>354.0</v>
      </c>
      <c r="U210" s="31">
        <v>102.0</v>
      </c>
      <c r="V210" s="31">
        <v>94.0</v>
      </c>
      <c r="W210" s="31">
        <v>8.0</v>
      </c>
      <c r="X210" s="31">
        <v>5.0</v>
      </c>
      <c r="Y210" s="31">
        <v>1.0</v>
      </c>
      <c r="Z210" s="28">
        <v>1110.0</v>
      </c>
    </row>
    <row r="211" ht="14.25" customHeight="1">
      <c r="A211" s="27">
        <v>44097.0</v>
      </c>
      <c r="B211" s="28">
        <v>136.0</v>
      </c>
      <c r="C211" s="28">
        <v>131.0</v>
      </c>
      <c r="D211" s="28">
        <v>33927.0</v>
      </c>
      <c r="E211" s="29">
        <v>10946.0</v>
      </c>
      <c r="F211" s="30">
        <v>689452.0</v>
      </c>
      <c r="G211" s="30">
        <v>11082.0</v>
      </c>
      <c r="H211" s="30">
        <v>723379.0</v>
      </c>
      <c r="I211" s="29">
        <v>127.0</v>
      </c>
      <c r="J211" s="29">
        <v>115.0</v>
      </c>
      <c r="K211" s="29">
        <v>24071.0</v>
      </c>
      <c r="L211" s="29">
        <v>2229.0</v>
      </c>
      <c r="M211" s="29">
        <v>304692.0</v>
      </c>
      <c r="N211" s="29">
        <v>328763.0</v>
      </c>
      <c r="O211" s="29">
        <v>11.0</v>
      </c>
      <c r="P211" s="31">
        <v>2746.0</v>
      </c>
      <c r="Q211" s="31">
        <v>7.0</v>
      </c>
      <c r="R211" s="31">
        <v>2286.0</v>
      </c>
      <c r="S211" s="31">
        <v>0.0</v>
      </c>
      <c r="T211" s="31">
        <v>354.0</v>
      </c>
      <c r="U211" s="31">
        <v>106.0</v>
      </c>
      <c r="V211" s="31">
        <v>101.0</v>
      </c>
      <c r="W211" s="31">
        <v>7.0</v>
      </c>
      <c r="X211" s="31">
        <v>5.0</v>
      </c>
      <c r="Y211" s="31">
        <v>0.0</v>
      </c>
      <c r="Z211" s="28">
        <v>1110.0</v>
      </c>
    </row>
    <row r="212" ht="14.25" customHeight="1">
      <c r="A212" s="27">
        <v>44098.0</v>
      </c>
      <c r="B212" s="28">
        <v>106.0</v>
      </c>
      <c r="C212" s="28">
        <v>132.0</v>
      </c>
      <c r="D212" s="28">
        <v>34033.0</v>
      </c>
      <c r="E212" s="29">
        <v>11510.0</v>
      </c>
      <c r="F212" s="30">
        <v>700962.0</v>
      </c>
      <c r="G212" s="30">
        <v>11616.0</v>
      </c>
      <c r="H212" s="30">
        <v>734995.0</v>
      </c>
      <c r="I212" s="29">
        <v>108.0</v>
      </c>
      <c r="J212" s="29">
        <v>120.0</v>
      </c>
      <c r="K212" s="29">
        <v>24179.0</v>
      </c>
      <c r="L212" s="29">
        <v>2086.0</v>
      </c>
      <c r="M212" s="29">
        <v>306778.0</v>
      </c>
      <c r="N212" s="29">
        <v>330957.0</v>
      </c>
      <c r="O212" s="29">
        <v>7.0</v>
      </c>
      <c r="P212" s="31">
        <v>2753.0</v>
      </c>
      <c r="Q212" s="31">
        <v>9.0</v>
      </c>
      <c r="R212" s="31">
        <v>2295.0</v>
      </c>
      <c r="S212" s="31">
        <v>1.0</v>
      </c>
      <c r="T212" s="31">
        <v>355.0</v>
      </c>
      <c r="U212" s="31">
        <v>103.0</v>
      </c>
      <c r="V212" s="31">
        <v>104.0</v>
      </c>
      <c r="W212" s="31">
        <v>8.0</v>
      </c>
      <c r="X212" s="31">
        <v>6.0</v>
      </c>
      <c r="Y212" s="31">
        <v>1.0</v>
      </c>
      <c r="Z212" s="28">
        <v>1111.0</v>
      </c>
    </row>
    <row r="213" ht="14.25" customHeight="1">
      <c r="A213" s="27">
        <v>44099.0</v>
      </c>
      <c r="B213" s="28">
        <v>136.0</v>
      </c>
      <c r="C213" s="28">
        <v>126.0</v>
      </c>
      <c r="D213" s="28">
        <v>34169.0</v>
      </c>
      <c r="E213" s="29">
        <v>10192.0</v>
      </c>
      <c r="F213" s="30">
        <v>711154.0</v>
      </c>
      <c r="G213" s="30">
        <v>10328.0</v>
      </c>
      <c r="H213" s="30">
        <v>745323.0</v>
      </c>
      <c r="I213" s="29">
        <v>129.0</v>
      </c>
      <c r="J213" s="29">
        <v>121.0</v>
      </c>
      <c r="K213" s="29">
        <v>24308.0</v>
      </c>
      <c r="L213" s="29">
        <v>2398.0</v>
      </c>
      <c r="M213" s="29">
        <v>309176.0</v>
      </c>
      <c r="N213" s="29">
        <v>333484.0</v>
      </c>
      <c r="O213" s="29">
        <v>9.0</v>
      </c>
      <c r="P213" s="31">
        <v>2762.0</v>
      </c>
      <c r="Q213" s="31">
        <v>10.0</v>
      </c>
      <c r="R213" s="31">
        <v>2305.0</v>
      </c>
      <c r="S213" s="31">
        <v>0.0</v>
      </c>
      <c r="T213" s="31">
        <v>355.0</v>
      </c>
      <c r="U213" s="31">
        <v>102.0</v>
      </c>
      <c r="V213" s="31">
        <v>104.0</v>
      </c>
      <c r="W213" s="31">
        <v>7.0</v>
      </c>
      <c r="X213" s="31">
        <v>6.0</v>
      </c>
      <c r="Y213" s="31">
        <v>1.0</v>
      </c>
      <c r="Z213" s="28">
        <v>1112.0</v>
      </c>
    </row>
    <row r="214" ht="14.25" customHeight="1">
      <c r="A214" s="27">
        <v>44100.0</v>
      </c>
      <c r="B214" s="28">
        <v>148.0</v>
      </c>
      <c r="C214" s="28">
        <v>130.0</v>
      </c>
      <c r="D214" s="28">
        <v>34317.0</v>
      </c>
      <c r="E214" s="29">
        <v>10126.0</v>
      </c>
      <c r="F214" s="30">
        <v>721280.0</v>
      </c>
      <c r="G214" s="30">
        <v>10274.0</v>
      </c>
      <c r="H214" s="30">
        <v>755597.0</v>
      </c>
      <c r="I214" s="29">
        <v>115.0</v>
      </c>
      <c r="J214" s="29">
        <v>117.0</v>
      </c>
      <c r="K214" s="29">
        <v>24423.0</v>
      </c>
      <c r="L214" s="29">
        <v>2004.0</v>
      </c>
      <c r="M214" s="29">
        <v>311180.0</v>
      </c>
      <c r="N214" s="29">
        <v>335603.0</v>
      </c>
      <c r="O214" s="29">
        <v>12.0</v>
      </c>
      <c r="P214" s="31">
        <v>2774.0</v>
      </c>
      <c r="Q214" s="31">
        <v>9.0</v>
      </c>
      <c r="R214" s="31">
        <v>2314.0</v>
      </c>
      <c r="S214" s="31">
        <v>0.0</v>
      </c>
      <c r="T214" s="31">
        <v>355.0</v>
      </c>
      <c r="U214" s="31">
        <v>105.0</v>
      </c>
      <c r="V214" s="31">
        <v>103.0</v>
      </c>
      <c r="W214" s="31">
        <v>7.0</v>
      </c>
      <c r="X214" s="31">
        <v>6.0</v>
      </c>
      <c r="Y214" s="31">
        <v>1.0</v>
      </c>
      <c r="Z214" s="28">
        <v>1113.0</v>
      </c>
    </row>
    <row r="215" ht="14.25" customHeight="1">
      <c r="A215" s="27">
        <v>44101.0</v>
      </c>
      <c r="B215" s="28">
        <v>42.0</v>
      </c>
      <c r="C215" s="28">
        <v>109.0</v>
      </c>
      <c r="D215" s="28">
        <v>34359.0</v>
      </c>
      <c r="E215" s="29">
        <v>2575.0</v>
      </c>
      <c r="F215" s="30">
        <v>723855.0</v>
      </c>
      <c r="G215" s="30">
        <v>2617.0</v>
      </c>
      <c r="H215" s="30">
        <v>758214.0</v>
      </c>
      <c r="I215" s="29">
        <v>31.0</v>
      </c>
      <c r="J215" s="29">
        <v>92.0</v>
      </c>
      <c r="K215" s="29">
        <v>24454.0</v>
      </c>
      <c r="L215" s="29">
        <v>806.0</v>
      </c>
      <c r="M215" s="29">
        <v>311986.0</v>
      </c>
      <c r="N215" s="29">
        <v>336440.0</v>
      </c>
      <c r="O215" s="29">
        <v>7.0</v>
      </c>
      <c r="P215" s="31">
        <v>2781.0</v>
      </c>
      <c r="Q215" s="31">
        <v>5.0</v>
      </c>
      <c r="R215" s="31">
        <v>2319.0</v>
      </c>
      <c r="S215" s="31">
        <v>0.0</v>
      </c>
      <c r="T215" s="31">
        <v>355.0</v>
      </c>
      <c r="U215" s="31">
        <v>107.0</v>
      </c>
      <c r="V215" s="31">
        <v>105.0</v>
      </c>
      <c r="W215" s="31">
        <v>10.0</v>
      </c>
      <c r="X215" s="31">
        <v>6.0</v>
      </c>
      <c r="Y215" s="31">
        <v>0.0</v>
      </c>
      <c r="Z215" s="28">
        <v>1113.0</v>
      </c>
    </row>
    <row r="216" ht="14.25" customHeight="1">
      <c r="A216" s="27">
        <v>44102.0</v>
      </c>
      <c r="B216" s="28">
        <v>152.0</v>
      </c>
      <c r="C216" s="28">
        <v>114.0</v>
      </c>
      <c r="D216" s="28">
        <v>34511.0</v>
      </c>
      <c r="E216" s="29">
        <v>6939.0</v>
      </c>
      <c r="F216" s="30">
        <v>730794.0</v>
      </c>
      <c r="G216" s="30">
        <v>7091.0</v>
      </c>
      <c r="H216" s="30">
        <v>765305.0</v>
      </c>
      <c r="I216" s="29">
        <v>130.0</v>
      </c>
      <c r="J216" s="29">
        <v>92.0</v>
      </c>
      <c r="K216" s="29">
        <v>24584.0</v>
      </c>
      <c r="L216" s="29">
        <v>2139.0</v>
      </c>
      <c r="M216" s="29">
        <v>314125.0</v>
      </c>
      <c r="N216" s="29">
        <v>338709.0</v>
      </c>
      <c r="O216" s="29">
        <v>6.0</v>
      </c>
      <c r="P216" s="31">
        <v>2787.0</v>
      </c>
      <c r="Q216" s="31">
        <v>6.0</v>
      </c>
      <c r="R216" s="31">
        <v>2325.0</v>
      </c>
      <c r="S216" s="31">
        <v>2.0</v>
      </c>
      <c r="T216" s="31">
        <v>357.0</v>
      </c>
      <c r="U216" s="31">
        <v>105.0</v>
      </c>
      <c r="V216" s="31">
        <v>106.0</v>
      </c>
      <c r="W216" s="31">
        <v>8.0</v>
      </c>
      <c r="X216" s="31">
        <v>6.0</v>
      </c>
      <c r="Y216" s="31">
        <v>2.0</v>
      </c>
      <c r="Z216" s="28">
        <v>1115.0</v>
      </c>
    </row>
    <row r="217" ht="14.25" customHeight="1">
      <c r="A217" s="27">
        <v>44103.0</v>
      </c>
      <c r="B217" s="28">
        <v>204.0</v>
      </c>
      <c r="C217" s="28">
        <v>133.0</v>
      </c>
      <c r="D217" s="28">
        <v>34715.0</v>
      </c>
      <c r="E217" s="29">
        <v>10137.0</v>
      </c>
      <c r="F217" s="30">
        <v>740931.0</v>
      </c>
      <c r="G217" s="30">
        <v>10341.0</v>
      </c>
      <c r="H217" s="30">
        <v>775646.0</v>
      </c>
      <c r="I217" s="29">
        <v>184.0</v>
      </c>
      <c r="J217" s="29">
        <v>115.0</v>
      </c>
      <c r="K217" s="29">
        <v>24768.0</v>
      </c>
      <c r="L217" s="29">
        <v>2355.0</v>
      </c>
      <c r="M217" s="29">
        <v>316480.0</v>
      </c>
      <c r="N217" s="29">
        <v>341248.0</v>
      </c>
      <c r="O217" s="29">
        <v>11.0</v>
      </c>
      <c r="P217" s="31">
        <v>2798.0</v>
      </c>
      <c r="Q217" s="31">
        <v>18.0</v>
      </c>
      <c r="R217" s="31">
        <v>2343.0</v>
      </c>
      <c r="S217" s="31">
        <v>1.0</v>
      </c>
      <c r="T217" s="31">
        <v>358.0</v>
      </c>
      <c r="U217" s="31">
        <v>97.0</v>
      </c>
      <c r="V217" s="31">
        <v>103.0</v>
      </c>
      <c r="W217" s="31">
        <v>7.0</v>
      </c>
      <c r="X217" s="31">
        <v>7.0</v>
      </c>
      <c r="Y217" s="31">
        <v>1.0</v>
      </c>
      <c r="Z217" s="28">
        <v>1116.0</v>
      </c>
    </row>
    <row r="218" ht="14.25" customHeight="1">
      <c r="A218" s="27">
        <v>44104.0</v>
      </c>
      <c r="B218" s="28">
        <v>213.0</v>
      </c>
      <c r="C218" s="28">
        <v>190.0</v>
      </c>
      <c r="D218" s="28">
        <v>34928.0</v>
      </c>
      <c r="E218" s="29">
        <v>11399.0</v>
      </c>
      <c r="F218" s="30">
        <v>752330.0</v>
      </c>
      <c r="G218" s="30">
        <v>11612.0</v>
      </c>
      <c r="H218" s="30">
        <v>787258.0</v>
      </c>
      <c r="I218" s="29">
        <v>177.0</v>
      </c>
      <c r="J218" s="29">
        <v>164.0</v>
      </c>
      <c r="K218" s="29">
        <v>24945.0</v>
      </c>
      <c r="L218" s="29">
        <v>2359.0</v>
      </c>
      <c r="M218" s="29">
        <v>318839.0</v>
      </c>
      <c r="N218" s="29">
        <v>343784.0</v>
      </c>
      <c r="O218" s="29">
        <v>6.0</v>
      </c>
      <c r="P218" s="31">
        <v>2804.0</v>
      </c>
      <c r="Q218" s="31">
        <v>6.0</v>
      </c>
      <c r="R218" s="31">
        <v>2349.0</v>
      </c>
      <c r="S218" s="31">
        <v>0.0</v>
      </c>
      <c r="T218" s="31">
        <v>358.0</v>
      </c>
      <c r="U218" s="31">
        <v>97.0</v>
      </c>
      <c r="V218" s="31">
        <v>100.0</v>
      </c>
      <c r="W218" s="31">
        <v>7.0</v>
      </c>
      <c r="X218" s="31">
        <v>7.0</v>
      </c>
      <c r="Y218" s="31">
        <v>1.0</v>
      </c>
      <c r="Z218" s="28">
        <v>1117.0</v>
      </c>
    </row>
    <row r="219" ht="14.25" customHeight="1">
      <c r="A219" s="27">
        <v>44105.0</v>
      </c>
      <c r="B219" s="28">
        <v>175.0</v>
      </c>
      <c r="C219" s="28">
        <v>197.0</v>
      </c>
      <c r="D219" s="28">
        <v>35103.0</v>
      </c>
      <c r="E219" s="29">
        <v>11358.0</v>
      </c>
      <c r="F219" s="30">
        <v>763688.0</v>
      </c>
      <c r="G219" s="30">
        <v>11533.0</v>
      </c>
      <c r="H219" s="30">
        <v>798791.0</v>
      </c>
      <c r="I219" s="29">
        <v>149.0</v>
      </c>
      <c r="J219" s="29">
        <v>170.0</v>
      </c>
      <c r="K219" s="29">
        <v>25094.0</v>
      </c>
      <c r="L219" s="29">
        <v>2245.0</v>
      </c>
      <c r="M219" s="29">
        <v>321084.0</v>
      </c>
      <c r="N219" s="29">
        <v>346178.0</v>
      </c>
      <c r="O219" s="29">
        <v>16.0</v>
      </c>
      <c r="P219" s="31">
        <v>2820.0</v>
      </c>
      <c r="Q219" s="31">
        <v>13.0</v>
      </c>
      <c r="R219" s="31">
        <v>2362.0</v>
      </c>
      <c r="S219" s="31">
        <v>1.0</v>
      </c>
      <c r="T219" s="31">
        <v>359.0</v>
      </c>
      <c r="U219" s="31">
        <v>99.0</v>
      </c>
      <c r="V219" s="31">
        <v>98.0</v>
      </c>
      <c r="W219" s="31">
        <v>6.0</v>
      </c>
      <c r="X219" s="31">
        <v>5.0</v>
      </c>
      <c r="Y219" s="31">
        <v>1.0</v>
      </c>
      <c r="Z219" s="28">
        <v>1118.0</v>
      </c>
    </row>
    <row r="220" ht="14.25" customHeight="1">
      <c r="A220" s="27">
        <v>44106.0</v>
      </c>
      <c r="B220" s="28">
        <v>199.0</v>
      </c>
      <c r="C220" s="28">
        <v>196.0</v>
      </c>
      <c r="D220" s="28">
        <v>35302.0</v>
      </c>
      <c r="E220" s="29">
        <v>11051.0</v>
      </c>
      <c r="F220" s="30">
        <v>774739.0</v>
      </c>
      <c r="G220" s="30">
        <v>11250.0</v>
      </c>
      <c r="H220" s="30">
        <v>810041.0</v>
      </c>
      <c r="I220" s="29">
        <v>170.0</v>
      </c>
      <c r="J220" s="29">
        <v>165.0</v>
      </c>
      <c r="K220" s="29">
        <v>25264.0</v>
      </c>
      <c r="L220" s="29">
        <v>2292.0</v>
      </c>
      <c r="M220" s="29">
        <v>323376.0</v>
      </c>
      <c r="N220" s="29">
        <v>348640.0</v>
      </c>
      <c r="O220" s="29">
        <v>11.0</v>
      </c>
      <c r="P220" s="31">
        <v>2831.0</v>
      </c>
      <c r="Q220" s="31">
        <v>13.0</v>
      </c>
      <c r="R220" s="31">
        <v>2375.0</v>
      </c>
      <c r="S220" s="31">
        <v>1.0</v>
      </c>
      <c r="T220" s="31">
        <v>360.0</v>
      </c>
      <c r="U220" s="31">
        <v>96.0</v>
      </c>
      <c r="V220" s="31">
        <v>97.0</v>
      </c>
      <c r="W220" s="31">
        <v>7.0</v>
      </c>
      <c r="X220" s="31">
        <v>4.0</v>
      </c>
      <c r="Y220" s="31">
        <v>1.0</v>
      </c>
      <c r="Z220" s="28">
        <v>1119.0</v>
      </c>
    </row>
    <row r="221" ht="14.25" customHeight="1">
      <c r="A221" s="27">
        <v>44107.0</v>
      </c>
      <c r="B221" s="28">
        <v>148.0</v>
      </c>
      <c r="C221" s="28">
        <v>174.0</v>
      </c>
      <c r="D221" s="28">
        <v>35450.0</v>
      </c>
      <c r="E221" s="29">
        <v>8695.0</v>
      </c>
      <c r="F221" s="30">
        <v>783434.0</v>
      </c>
      <c r="G221" s="30">
        <v>8843.0</v>
      </c>
      <c r="H221" s="30">
        <v>818884.0</v>
      </c>
      <c r="I221" s="29">
        <v>134.0</v>
      </c>
      <c r="J221" s="29">
        <v>151.0</v>
      </c>
      <c r="K221" s="29">
        <v>25398.0</v>
      </c>
      <c r="L221" s="29">
        <v>1849.0</v>
      </c>
      <c r="M221" s="29">
        <v>325225.0</v>
      </c>
      <c r="N221" s="29">
        <v>350623.0</v>
      </c>
      <c r="O221" s="29">
        <v>9.0</v>
      </c>
      <c r="P221" s="31">
        <v>2840.0</v>
      </c>
      <c r="Q221" s="31">
        <v>9.0</v>
      </c>
      <c r="R221" s="31">
        <v>2384.0</v>
      </c>
      <c r="S221" s="31">
        <v>2.0</v>
      </c>
      <c r="T221" s="31">
        <v>362.0</v>
      </c>
      <c r="U221" s="31">
        <v>94.0</v>
      </c>
      <c r="V221" s="31">
        <v>96.0</v>
      </c>
      <c r="W221" s="31">
        <v>8.0</v>
      </c>
      <c r="X221" s="31">
        <v>4.0</v>
      </c>
      <c r="Y221" s="31">
        <v>2.0</v>
      </c>
      <c r="Z221" s="28">
        <v>1121.0</v>
      </c>
    </row>
    <row r="222" ht="14.25" customHeight="1">
      <c r="A222" s="27">
        <v>44108.0</v>
      </c>
      <c r="B222" s="28">
        <v>66.0</v>
      </c>
      <c r="C222" s="28">
        <v>138.0</v>
      </c>
      <c r="D222" s="28">
        <v>35516.0</v>
      </c>
      <c r="E222" s="29">
        <v>1896.0</v>
      </c>
      <c r="F222" s="30">
        <v>785330.0</v>
      </c>
      <c r="G222" s="30">
        <v>1962.0</v>
      </c>
      <c r="H222" s="30">
        <v>820846.0</v>
      </c>
      <c r="I222" s="29">
        <v>53.0</v>
      </c>
      <c r="J222" s="29">
        <v>119.0</v>
      </c>
      <c r="K222" s="29">
        <v>25451.0</v>
      </c>
      <c r="L222" s="29">
        <v>816.0</v>
      </c>
      <c r="M222" s="29">
        <v>326041.0</v>
      </c>
      <c r="N222" s="29">
        <v>351492.0</v>
      </c>
      <c r="O222" s="29">
        <v>9.0</v>
      </c>
      <c r="P222" s="31">
        <v>2849.0</v>
      </c>
      <c r="Q222" s="31">
        <v>9.0</v>
      </c>
      <c r="R222" s="31">
        <v>2393.0</v>
      </c>
      <c r="S222" s="31">
        <v>1.0</v>
      </c>
      <c r="T222" s="31">
        <v>363.0</v>
      </c>
      <c r="U222" s="31">
        <v>93.0</v>
      </c>
      <c r="V222" s="31">
        <v>94.0</v>
      </c>
      <c r="W222" s="31">
        <v>8.0</v>
      </c>
      <c r="X222" s="31">
        <v>4.0</v>
      </c>
      <c r="Y222" s="31">
        <v>2.0</v>
      </c>
      <c r="Z222" s="28">
        <v>1123.0</v>
      </c>
    </row>
    <row r="223" ht="14.25" customHeight="1">
      <c r="A223" s="32">
        <v>44109.0</v>
      </c>
      <c r="B223" s="28">
        <v>149.0</v>
      </c>
      <c r="C223" s="28">
        <v>121.0</v>
      </c>
      <c r="D223" s="28">
        <v>35665.0</v>
      </c>
      <c r="E223" s="29">
        <v>7019.0</v>
      </c>
      <c r="F223" s="30">
        <v>792349.0</v>
      </c>
      <c r="G223" s="30">
        <v>7168.0</v>
      </c>
      <c r="H223" s="30">
        <v>828014.0</v>
      </c>
      <c r="I223" s="29">
        <v>145.0</v>
      </c>
      <c r="J223" s="29">
        <v>111.0</v>
      </c>
      <c r="K223" s="29">
        <v>25596.0</v>
      </c>
      <c r="L223" s="29">
        <v>2444.0</v>
      </c>
      <c r="M223" s="29">
        <v>328485.0</v>
      </c>
      <c r="N223" s="29">
        <v>354081.0</v>
      </c>
      <c r="O223" s="33"/>
      <c r="P223" s="34"/>
      <c r="Q223" s="34"/>
      <c r="R223" s="34"/>
      <c r="S223" s="34"/>
      <c r="T223" s="34"/>
      <c r="U223" s="34"/>
      <c r="V223" s="34"/>
      <c r="W223" s="34"/>
      <c r="X223" s="34"/>
      <c r="Y223" s="31">
        <v>2.0</v>
      </c>
      <c r="Z223" s="28">
        <v>1125.0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169058.0</v>
      </c>
      <c r="C3" s="44">
        <v>0.55</v>
      </c>
      <c r="D3" s="45">
        <v>12919.0</v>
      </c>
      <c r="E3" s="46">
        <v>0.55</v>
      </c>
      <c r="F3" s="47">
        <v>1321.0</v>
      </c>
      <c r="G3" s="44">
        <v>0.48</v>
      </c>
      <c r="H3" s="47">
        <v>587.0</v>
      </c>
      <c r="I3" s="48">
        <v>0.53</v>
      </c>
    </row>
    <row r="4" ht="14.25" customHeight="1">
      <c r="A4" s="42" t="s">
        <v>41</v>
      </c>
      <c r="B4" s="43">
        <v>136055.0</v>
      </c>
      <c r="C4" s="44">
        <v>0.45</v>
      </c>
      <c r="D4" s="45">
        <v>10496.0</v>
      </c>
      <c r="E4" s="46">
        <v>0.45</v>
      </c>
      <c r="F4" s="47">
        <v>1436.0</v>
      </c>
      <c r="G4" s="44">
        <v>0.52</v>
      </c>
      <c r="H4" s="47">
        <v>521.0</v>
      </c>
      <c r="I4" s="48">
        <v>0.47</v>
      </c>
    </row>
    <row r="5" ht="14.25" customHeight="1">
      <c r="A5" s="42" t="s">
        <v>42</v>
      </c>
      <c r="B5" s="43">
        <v>53.0</v>
      </c>
      <c r="C5" s="49" t="s">
        <v>43</v>
      </c>
      <c r="D5" s="45">
        <v>67.0</v>
      </c>
      <c r="E5" s="49" t="s">
        <v>43</v>
      </c>
      <c r="F5" s="47">
        <v>9.0</v>
      </c>
      <c r="G5" s="50" t="s">
        <v>43</v>
      </c>
      <c r="H5" s="47">
        <v>0.0</v>
      </c>
      <c r="I5" s="48">
        <v>0.0</v>
      </c>
    </row>
    <row r="6" ht="14.25" customHeight="1">
      <c r="A6" s="42" t="s">
        <v>44</v>
      </c>
      <c r="B6" s="43">
        <v>13801.0</v>
      </c>
      <c r="C6" s="49" t="s">
        <v>30</v>
      </c>
      <c r="D6" s="45">
        <v>66.0</v>
      </c>
      <c r="E6" s="49" t="s">
        <v>30</v>
      </c>
      <c r="F6" s="51" t="s">
        <v>45</v>
      </c>
      <c r="G6" s="50" t="s">
        <v>30</v>
      </c>
      <c r="H6" s="47">
        <v>0.0</v>
      </c>
      <c r="I6" s="52" t="s">
        <v>30</v>
      </c>
    </row>
    <row r="7" ht="15.0" customHeight="1">
      <c r="A7" s="53" t="s">
        <v>46</v>
      </c>
      <c r="B7" s="54"/>
      <c r="C7" s="55"/>
      <c r="D7" s="56"/>
      <c r="E7" s="57"/>
      <c r="F7" s="58"/>
      <c r="G7" s="59"/>
      <c r="H7" s="58"/>
      <c r="I7" s="59"/>
    </row>
    <row r="8" ht="15.0" customHeight="1">
      <c r="A8" s="42" t="s">
        <v>47</v>
      </c>
      <c r="B8" s="43">
        <v>6630.0</v>
      </c>
      <c r="C8" s="44">
        <v>0.02</v>
      </c>
      <c r="D8" s="60">
        <v>397.0</v>
      </c>
      <c r="E8" s="46">
        <v>0.02</v>
      </c>
      <c r="F8" s="61">
        <v>24.0</v>
      </c>
      <c r="G8" s="62">
        <v>0.01</v>
      </c>
      <c r="H8" s="61">
        <v>0.0</v>
      </c>
      <c r="I8" s="62">
        <v>0.0</v>
      </c>
    </row>
    <row r="9" ht="15.0" customHeight="1">
      <c r="A9" s="63">
        <v>43960.0</v>
      </c>
      <c r="B9" s="43">
        <v>5803.0</v>
      </c>
      <c r="C9" s="44">
        <v>0.02</v>
      </c>
      <c r="D9" s="60">
        <v>393.0</v>
      </c>
      <c r="E9" s="46">
        <v>0.02</v>
      </c>
      <c r="F9" s="61">
        <v>9.0</v>
      </c>
      <c r="G9" s="64" t="s">
        <v>43</v>
      </c>
      <c r="H9" s="61">
        <v>0.0</v>
      </c>
      <c r="I9" s="48">
        <v>0.0</v>
      </c>
    </row>
    <row r="10" ht="15.0" customHeight="1">
      <c r="A10" s="63">
        <v>44118.0</v>
      </c>
      <c r="B10" s="43">
        <v>6337.0</v>
      </c>
      <c r="C10" s="44">
        <v>0.02</v>
      </c>
      <c r="D10" s="60">
        <v>455.0</v>
      </c>
      <c r="E10" s="46">
        <v>0.02</v>
      </c>
      <c r="F10" s="61">
        <v>16.0</v>
      </c>
      <c r="G10" s="62">
        <v>0.01</v>
      </c>
      <c r="H10" s="61" t="s">
        <v>45</v>
      </c>
      <c r="I10" s="52" t="s">
        <v>30</v>
      </c>
    </row>
    <row r="11" ht="14.25" customHeight="1">
      <c r="A11" s="42" t="s">
        <v>48</v>
      </c>
      <c r="B11" s="43">
        <v>14097.0</v>
      </c>
      <c r="C11" s="44">
        <v>0.04</v>
      </c>
      <c r="D11" s="60">
        <v>867.0</v>
      </c>
      <c r="E11" s="46">
        <v>0.04</v>
      </c>
      <c r="F11" s="61">
        <v>21.0</v>
      </c>
      <c r="G11" s="62">
        <v>0.01</v>
      </c>
      <c r="H11" s="61">
        <v>0.0</v>
      </c>
      <c r="I11" s="48">
        <v>0.0</v>
      </c>
    </row>
    <row r="12" ht="14.25" customHeight="1">
      <c r="A12" s="42" t="s">
        <v>49</v>
      </c>
      <c r="B12" s="43">
        <v>40881.0</v>
      </c>
      <c r="C12" s="44">
        <v>0.13</v>
      </c>
      <c r="D12" s="60">
        <v>2556.0</v>
      </c>
      <c r="E12" s="46">
        <v>0.11</v>
      </c>
      <c r="F12" s="61">
        <v>75.0</v>
      </c>
      <c r="G12" s="62">
        <v>0.03</v>
      </c>
      <c r="H12" s="61" t="s">
        <v>45</v>
      </c>
      <c r="I12" s="64" t="s">
        <v>30</v>
      </c>
    </row>
    <row r="13" ht="14.25" customHeight="1">
      <c r="A13" s="42" t="s">
        <v>50</v>
      </c>
      <c r="B13" s="43">
        <v>28650.0</v>
      </c>
      <c r="C13" s="44">
        <v>0.09</v>
      </c>
      <c r="D13" s="60">
        <v>2096.0</v>
      </c>
      <c r="E13" s="46">
        <v>0.09</v>
      </c>
      <c r="F13" s="61">
        <v>94.0</v>
      </c>
      <c r="G13" s="62">
        <v>0.03</v>
      </c>
      <c r="H13" s="61" t="s">
        <v>45</v>
      </c>
      <c r="I13" s="64" t="s">
        <v>30</v>
      </c>
    </row>
    <row r="14" ht="14.25" customHeight="1">
      <c r="A14" s="42" t="s">
        <v>51</v>
      </c>
      <c r="B14" s="43">
        <v>50078.0</v>
      </c>
      <c r="C14" s="44">
        <v>0.16</v>
      </c>
      <c r="D14" s="60">
        <v>3761.0</v>
      </c>
      <c r="E14" s="46">
        <v>0.16</v>
      </c>
      <c r="F14" s="61">
        <v>214.0</v>
      </c>
      <c r="G14" s="62">
        <v>0.08</v>
      </c>
      <c r="H14" s="61">
        <v>7.0</v>
      </c>
      <c r="I14" s="62">
        <v>0.01</v>
      </c>
    </row>
    <row r="15" ht="14.25" customHeight="1">
      <c r="A15" s="42" t="s">
        <v>52</v>
      </c>
      <c r="B15" s="43">
        <v>40524.0</v>
      </c>
      <c r="C15" s="44">
        <v>0.13</v>
      </c>
      <c r="D15" s="60">
        <v>3410.0</v>
      </c>
      <c r="E15" s="46">
        <v>0.14</v>
      </c>
      <c r="F15" s="61">
        <v>310.0</v>
      </c>
      <c r="G15" s="62">
        <v>0.11</v>
      </c>
      <c r="H15" s="61">
        <v>16.0</v>
      </c>
      <c r="I15" s="62">
        <v>0.01</v>
      </c>
    </row>
    <row r="16" ht="14.25" customHeight="1">
      <c r="A16" s="42" t="s">
        <v>53</v>
      </c>
      <c r="B16" s="43">
        <v>47882.0</v>
      </c>
      <c r="C16" s="44">
        <v>0.15</v>
      </c>
      <c r="D16" s="60">
        <v>3410.0</v>
      </c>
      <c r="E16" s="46">
        <v>0.14</v>
      </c>
      <c r="F16" s="61">
        <v>429.0</v>
      </c>
      <c r="G16" s="62">
        <v>0.16</v>
      </c>
      <c r="H16" s="61">
        <v>50.0</v>
      </c>
      <c r="I16" s="62">
        <v>0.05</v>
      </c>
    </row>
    <row r="17" ht="14.25" customHeight="1">
      <c r="A17" s="42" t="s">
        <v>54</v>
      </c>
      <c r="B17" s="43">
        <v>39302.0</v>
      </c>
      <c r="C17" s="44">
        <v>0.12</v>
      </c>
      <c r="D17" s="60">
        <v>2395.0</v>
      </c>
      <c r="E17" s="46">
        <v>0.1</v>
      </c>
      <c r="F17" s="61">
        <v>545.0</v>
      </c>
      <c r="G17" s="62">
        <v>0.2</v>
      </c>
      <c r="H17" s="61">
        <v>117.0</v>
      </c>
      <c r="I17" s="62">
        <v>0.11</v>
      </c>
    </row>
    <row r="18" ht="15.0" customHeight="1">
      <c r="A18" s="42" t="s">
        <v>55</v>
      </c>
      <c r="B18" s="43">
        <v>21687.0</v>
      </c>
      <c r="C18" s="44">
        <v>0.07</v>
      </c>
      <c r="D18" s="60">
        <v>1561.0</v>
      </c>
      <c r="E18" s="46">
        <v>0.07</v>
      </c>
      <c r="F18" s="61">
        <v>516.0</v>
      </c>
      <c r="G18" s="62">
        <v>0.19</v>
      </c>
      <c r="H18" s="61">
        <v>261.0</v>
      </c>
      <c r="I18" s="62">
        <v>0.24</v>
      </c>
    </row>
    <row r="19" ht="14.25" customHeight="1">
      <c r="A19" s="42" t="s">
        <v>56</v>
      </c>
      <c r="B19" s="43">
        <v>11374.0</v>
      </c>
      <c r="C19" s="44">
        <v>0.04</v>
      </c>
      <c r="D19" s="60">
        <v>1346.0</v>
      </c>
      <c r="E19" s="46">
        <v>0.06</v>
      </c>
      <c r="F19" s="61">
        <v>360.0</v>
      </c>
      <c r="G19" s="62">
        <v>0.13</v>
      </c>
      <c r="H19" s="61">
        <v>356.0</v>
      </c>
      <c r="I19" s="62">
        <v>0.32</v>
      </c>
    </row>
    <row r="20" ht="14.25" customHeight="1">
      <c r="A20" s="42" t="s">
        <v>57</v>
      </c>
      <c r="B20" s="43">
        <v>5477.0</v>
      </c>
      <c r="C20" s="44">
        <v>0.02</v>
      </c>
      <c r="D20" s="60">
        <v>898.0</v>
      </c>
      <c r="E20" s="46">
        <v>0.04</v>
      </c>
      <c r="F20" s="61">
        <v>153.0</v>
      </c>
      <c r="G20" s="62">
        <v>0.06</v>
      </c>
      <c r="H20" s="61">
        <v>296.0</v>
      </c>
      <c r="I20" s="62">
        <v>0.27</v>
      </c>
    </row>
    <row r="21" ht="14.25" customHeight="1">
      <c r="A21" s="42" t="s">
        <v>44</v>
      </c>
      <c r="B21" s="43">
        <v>245.0</v>
      </c>
      <c r="C21" s="49" t="s">
        <v>30</v>
      </c>
      <c r="D21" s="60" t="s">
        <v>45</v>
      </c>
      <c r="E21" s="49" t="s">
        <v>30</v>
      </c>
      <c r="F21" s="61" t="s">
        <v>45</v>
      </c>
      <c r="G21" s="64" t="s">
        <v>30</v>
      </c>
      <c r="H21" s="60">
        <v>0.0</v>
      </c>
      <c r="I21" s="49" t="s">
        <v>30</v>
      </c>
    </row>
    <row r="22" ht="15.0" customHeight="1">
      <c r="A22" s="53" t="s">
        <v>58</v>
      </c>
      <c r="B22" s="54"/>
      <c r="C22" s="55"/>
      <c r="D22" s="56"/>
      <c r="E22" s="57"/>
      <c r="F22" s="58"/>
      <c r="G22" s="59"/>
      <c r="H22" s="58"/>
      <c r="I22" s="59"/>
    </row>
    <row r="23" ht="15.0" customHeight="1">
      <c r="A23" s="42" t="s">
        <v>59</v>
      </c>
      <c r="B23" s="43">
        <v>25043.0</v>
      </c>
      <c r="C23" s="44">
        <v>0.22</v>
      </c>
      <c r="D23" s="60">
        <v>8992.0</v>
      </c>
      <c r="E23" s="46">
        <v>0.45</v>
      </c>
      <c r="F23" s="47">
        <v>849.0</v>
      </c>
      <c r="G23" s="48">
        <v>0.37</v>
      </c>
      <c r="H23" s="47">
        <v>106.0</v>
      </c>
      <c r="I23" s="48">
        <v>0.12</v>
      </c>
    </row>
    <row r="24" ht="14.25" customHeight="1">
      <c r="A24" s="65" t="s">
        <v>60</v>
      </c>
      <c r="B24" s="43">
        <v>965.0</v>
      </c>
      <c r="C24" s="44">
        <v>0.01</v>
      </c>
      <c r="D24" s="60">
        <v>75.0</v>
      </c>
      <c r="E24" s="49" t="s">
        <v>43</v>
      </c>
      <c r="F24" s="47" t="s">
        <v>45</v>
      </c>
      <c r="G24" s="52" t="s">
        <v>30</v>
      </c>
      <c r="H24" s="47" t="s">
        <v>45</v>
      </c>
      <c r="I24" s="52" t="s">
        <v>30</v>
      </c>
    </row>
    <row r="25" ht="14.25" customHeight="1">
      <c r="A25" s="65" t="s">
        <v>61</v>
      </c>
      <c r="B25" s="43">
        <v>2832.0</v>
      </c>
      <c r="C25" s="44">
        <v>0.02</v>
      </c>
      <c r="D25" s="60">
        <v>388.0</v>
      </c>
      <c r="E25" s="46">
        <v>0.02</v>
      </c>
      <c r="F25" s="47">
        <v>42.0</v>
      </c>
      <c r="G25" s="48">
        <v>0.02</v>
      </c>
      <c r="H25" s="47">
        <v>13.0</v>
      </c>
      <c r="I25" s="48">
        <v>0.01</v>
      </c>
    </row>
    <row r="26" ht="14.25" customHeight="1">
      <c r="A26" s="65" t="s">
        <v>62</v>
      </c>
      <c r="B26" s="43">
        <v>9031.0</v>
      </c>
      <c r="C26" s="44">
        <v>0.08</v>
      </c>
      <c r="D26" s="60">
        <v>2465.0</v>
      </c>
      <c r="E26" s="46">
        <v>0.12</v>
      </c>
      <c r="F26" s="47">
        <v>292.0</v>
      </c>
      <c r="G26" s="48">
        <v>0.13</v>
      </c>
      <c r="H26" s="47">
        <v>56.0</v>
      </c>
      <c r="I26" s="48">
        <v>0.06</v>
      </c>
    </row>
    <row r="27" ht="14.25" customHeight="1">
      <c r="A27" s="65" t="s">
        <v>63</v>
      </c>
      <c r="B27" s="43">
        <v>232.0</v>
      </c>
      <c r="C27" s="50" t="s">
        <v>43</v>
      </c>
      <c r="D27" s="60">
        <v>0.0</v>
      </c>
      <c r="E27" s="46">
        <v>0.0</v>
      </c>
      <c r="F27" s="47">
        <v>0.0</v>
      </c>
      <c r="G27" s="48">
        <v>0.0</v>
      </c>
      <c r="H27" s="47">
        <v>0.0</v>
      </c>
      <c r="I27" s="48">
        <v>0.0</v>
      </c>
    </row>
    <row r="28" ht="14.25" customHeight="1">
      <c r="A28" s="65" t="s">
        <v>64</v>
      </c>
      <c r="B28" s="43">
        <v>68452.0</v>
      </c>
      <c r="C28" s="44">
        <v>0.59</v>
      </c>
      <c r="D28" s="60">
        <v>7539.0</v>
      </c>
      <c r="E28" s="46">
        <v>0.38</v>
      </c>
      <c r="F28" s="47">
        <v>1091.0</v>
      </c>
      <c r="G28" s="48">
        <v>0.47</v>
      </c>
      <c r="H28" s="47">
        <v>732.0</v>
      </c>
      <c r="I28" s="48">
        <v>0.81</v>
      </c>
    </row>
    <row r="29" ht="14.25" customHeight="1">
      <c r="A29" s="65" t="s">
        <v>65</v>
      </c>
      <c r="B29" s="43">
        <v>9772.0</v>
      </c>
      <c r="C29" s="44">
        <v>0.08</v>
      </c>
      <c r="D29" s="60">
        <v>300.0</v>
      </c>
      <c r="E29" s="46">
        <v>0.02</v>
      </c>
      <c r="F29" s="47">
        <v>41.0</v>
      </c>
      <c r="G29" s="48">
        <v>0.02</v>
      </c>
      <c r="H29" s="47">
        <v>0.0</v>
      </c>
      <c r="I29" s="48">
        <v>0.0</v>
      </c>
    </row>
    <row r="30" ht="14.25" customHeight="1">
      <c r="A30" s="65" t="s">
        <v>66</v>
      </c>
      <c r="B30" s="43">
        <v>118.0</v>
      </c>
      <c r="C30" s="49" t="s">
        <v>43</v>
      </c>
      <c r="D30" s="60">
        <v>169.0</v>
      </c>
      <c r="E30" s="46">
        <v>0.01</v>
      </c>
      <c r="F30" s="47">
        <v>8.0</v>
      </c>
      <c r="G30" s="50" t="s">
        <v>43</v>
      </c>
      <c r="H30" s="47" t="s">
        <v>45</v>
      </c>
      <c r="I30" s="52" t="s">
        <v>30</v>
      </c>
    </row>
    <row r="31" ht="14.25" customHeight="1">
      <c r="A31" s="65" t="s">
        <v>67</v>
      </c>
      <c r="B31" s="43">
        <v>2242.0</v>
      </c>
      <c r="C31" s="49" t="s">
        <v>30</v>
      </c>
      <c r="D31" s="60">
        <v>207.0</v>
      </c>
      <c r="E31" s="49" t="s">
        <v>30</v>
      </c>
      <c r="F31" s="47">
        <v>8.0</v>
      </c>
      <c r="G31" s="50" t="s">
        <v>30</v>
      </c>
      <c r="H31" s="47">
        <v>0.0</v>
      </c>
      <c r="I31" s="52" t="s">
        <v>30</v>
      </c>
    </row>
    <row r="32" ht="14.25" customHeight="1">
      <c r="A32" s="65" t="s">
        <v>68</v>
      </c>
      <c r="B32" s="43">
        <v>200280.0</v>
      </c>
      <c r="C32" s="49" t="s">
        <v>30</v>
      </c>
      <c r="D32" s="60">
        <v>3413.0</v>
      </c>
      <c r="E32" s="49" t="s">
        <v>30</v>
      </c>
      <c r="F32" s="47">
        <v>432.0</v>
      </c>
      <c r="G32" s="50" t="s">
        <v>30</v>
      </c>
      <c r="H32" s="47">
        <v>199.0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44104.0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82.0</v>
      </c>
      <c r="C2" s="81">
        <v>507.0</v>
      </c>
      <c r="D2" s="82">
        <v>8.0</v>
      </c>
      <c r="E2" s="81">
        <v>49.0</v>
      </c>
      <c r="F2" s="81">
        <v>0.0</v>
      </c>
      <c r="G2" s="81">
        <v>0.0</v>
      </c>
    </row>
    <row r="3" ht="14.25" customHeight="1">
      <c r="A3" s="79" t="s">
        <v>80</v>
      </c>
      <c r="B3" s="80">
        <v>218.0</v>
      </c>
      <c r="C3" s="81">
        <v>980.0</v>
      </c>
      <c r="D3" s="82">
        <v>15.0</v>
      </c>
      <c r="E3" s="81">
        <v>67.0</v>
      </c>
      <c r="F3" s="81">
        <v>9.0</v>
      </c>
      <c r="G3" s="81">
        <v>40.0</v>
      </c>
    </row>
    <row r="4" ht="14.25" customHeight="1">
      <c r="A4" s="79" t="s">
        <v>81</v>
      </c>
      <c r="B4" s="80">
        <v>164.0</v>
      </c>
      <c r="C4" s="81">
        <v>997.0</v>
      </c>
      <c r="D4" s="82">
        <v>20.0</v>
      </c>
      <c r="E4" s="81">
        <v>122.0</v>
      </c>
      <c r="F4" s="81">
        <v>22.0</v>
      </c>
      <c r="G4" s="81">
        <v>134.0</v>
      </c>
    </row>
    <row r="5" ht="14.25" customHeight="1">
      <c r="A5" s="79" t="s">
        <v>82</v>
      </c>
      <c r="B5" s="80">
        <v>1272.0</v>
      </c>
      <c r="C5" s="81">
        <v>6563.0</v>
      </c>
      <c r="D5" s="82">
        <v>98.0</v>
      </c>
      <c r="E5" s="81">
        <v>506.0</v>
      </c>
      <c r="F5" s="81">
        <v>12.0</v>
      </c>
      <c r="G5" s="81">
        <v>62.0</v>
      </c>
    </row>
    <row r="6" ht="14.25" customHeight="1">
      <c r="A6" s="79" t="s">
        <v>83</v>
      </c>
      <c r="B6" s="80">
        <v>39.0</v>
      </c>
      <c r="C6" s="81">
        <v>501.0</v>
      </c>
      <c r="D6" s="82" t="s">
        <v>45</v>
      </c>
      <c r="E6" s="81" t="s">
        <v>30</v>
      </c>
      <c r="F6" s="81" t="s">
        <v>45</v>
      </c>
      <c r="G6" s="81" t="s">
        <v>30</v>
      </c>
    </row>
    <row r="7" ht="14.25" customHeight="1">
      <c r="A7" s="79" t="s">
        <v>84</v>
      </c>
      <c r="B7" s="80">
        <v>362.0</v>
      </c>
      <c r="C7" s="81">
        <v>1047.0</v>
      </c>
      <c r="D7" s="82">
        <v>33.0</v>
      </c>
      <c r="E7" s="81">
        <v>95.0</v>
      </c>
      <c r="F7" s="81">
        <v>14.0</v>
      </c>
      <c r="G7" s="81">
        <v>40.0</v>
      </c>
    </row>
    <row r="8" ht="14.25" customHeight="1">
      <c r="A8" s="79" t="s">
        <v>85</v>
      </c>
      <c r="B8" s="80">
        <v>1609.0</v>
      </c>
      <c r="C8" s="81">
        <v>1982.0</v>
      </c>
      <c r="D8" s="82">
        <v>162.0</v>
      </c>
      <c r="E8" s="81">
        <v>200.0</v>
      </c>
      <c r="F8" s="81">
        <v>26.0</v>
      </c>
      <c r="G8" s="81">
        <v>32.0</v>
      </c>
    </row>
    <row r="9" ht="14.25" customHeight="1">
      <c r="A9" s="79" t="s">
        <v>86</v>
      </c>
      <c r="B9" s="80">
        <v>511.0</v>
      </c>
      <c r="C9" s="81">
        <v>1475.0</v>
      </c>
      <c r="D9" s="82">
        <v>58.0</v>
      </c>
      <c r="E9" s="81">
        <v>167.0</v>
      </c>
      <c r="F9" s="81">
        <v>31.0</v>
      </c>
      <c r="G9" s="81">
        <v>89.0</v>
      </c>
    </row>
    <row r="10" ht="14.25" customHeight="1">
      <c r="A10" s="79" t="s">
        <v>87</v>
      </c>
      <c r="B10" s="80">
        <v>145.0</v>
      </c>
      <c r="C10" s="81">
        <v>1109.0</v>
      </c>
      <c r="D10" s="82">
        <v>10.0</v>
      </c>
      <c r="E10" s="81">
        <v>76.0</v>
      </c>
      <c r="F10" s="81" t="s">
        <v>45</v>
      </c>
      <c r="G10" s="81" t="s">
        <v>30</v>
      </c>
    </row>
    <row r="11" ht="14.25" customHeight="1">
      <c r="A11" s="79" t="s">
        <v>88</v>
      </c>
      <c r="B11" s="80">
        <v>913.0</v>
      </c>
      <c r="C11" s="81">
        <v>1924.0</v>
      </c>
      <c r="D11" s="82">
        <v>98.0</v>
      </c>
      <c r="E11" s="81">
        <v>207.0</v>
      </c>
      <c r="F11" s="81">
        <v>111.0</v>
      </c>
      <c r="G11" s="81">
        <v>234.0</v>
      </c>
    </row>
    <row r="12" ht="14.25" customHeight="1">
      <c r="A12" s="79" t="s">
        <v>89</v>
      </c>
      <c r="B12" s="80">
        <v>50.0</v>
      </c>
      <c r="C12" s="81">
        <v>737.0</v>
      </c>
      <c r="D12" s="82">
        <v>7.0</v>
      </c>
      <c r="E12" s="81">
        <v>103.0</v>
      </c>
      <c r="F12" s="81" t="s">
        <v>45</v>
      </c>
      <c r="G12" s="81" t="s">
        <v>30</v>
      </c>
    </row>
    <row r="13" ht="14.25" customHeight="1">
      <c r="A13" s="79" t="s">
        <v>90</v>
      </c>
      <c r="B13" s="80">
        <v>32.0</v>
      </c>
      <c r="C13" s="81">
        <v>682.0</v>
      </c>
      <c r="D13" s="82" t="s">
        <v>45</v>
      </c>
      <c r="E13" s="81" t="s">
        <v>30</v>
      </c>
      <c r="F13" s="81">
        <v>0.0</v>
      </c>
      <c r="G13" s="81">
        <v>0.0</v>
      </c>
    </row>
    <row r="14" ht="14.25" customHeight="1">
      <c r="A14" s="79" t="s">
        <v>91</v>
      </c>
      <c r="B14" s="80">
        <v>68.0</v>
      </c>
      <c r="C14" s="81">
        <v>676.0</v>
      </c>
      <c r="D14" s="82" t="s">
        <v>45</v>
      </c>
      <c r="E14" s="81" t="s">
        <v>30</v>
      </c>
      <c r="F14" s="81">
        <v>0.0</v>
      </c>
      <c r="G14" s="81">
        <v>0.0</v>
      </c>
    </row>
    <row r="15" ht="14.25" customHeight="1">
      <c r="A15" s="79" t="s">
        <v>92</v>
      </c>
      <c r="B15" s="80">
        <v>20.0</v>
      </c>
      <c r="C15" s="81">
        <v>247.0</v>
      </c>
      <c r="D15" s="82" t="s">
        <v>45</v>
      </c>
      <c r="E15" s="81" t="s">
        <v>30</v>
      </c>
      <c r="F15" s="81" t="s">
        <v>45</v>
      </c>
      <c r="G15" s="81" t="s">
        <v>30</v>
      </c>
    </row>
    <row r="16" ht="14.25" customHeight="1">
      <c r="A16" s="79" t="s">
        <v>93</v>
      </c>
      <c r="B16" s="80">
        <v>29.0</v>
      </c>
      <c r="C16" s="81">
        <v>528.0</v>
      </c>
      <c r="D16" s="82" t="s">
        <v>45</v>
      </c>
      <c r="E16" s="81" t="s">
        <v>30</v>
      </c>
      <c r="F16" s="81">
        <v>0.0</v>
      </c>
      <c r="G16" s="81">
        <v>0.0</v>
      </c>
    </row>
    <row r="17" ht="14.25" customHeight="1">
      <c r="A17" s="79" t="s">
        <v>94</v>
      </c>
      <c r="B17" s="80">
        <v>670.0</v>
      </c>
      <c r="C17" s="81">
        <v>2292.0</v>
      </c>
      <c r="D17" s="82">
        <v>62.0</v>
      </c>
      <c r="E17" s="81">
        <v>212.0</v>
      </c>
      <c r="F17" s="81">
        <v>67.0</v>
      </c>
      <c r="G17" s="81">
        <v>229.0</v>
      </c>
    </row>
    <row r="18" ht="14.25" customHeight="1">
      <c r="A18" s="79" t="s">
        <v>95</v>
      </c>
      <c r="B18" s="80">
        <v>375.0</v>
      </c>
      <c r="C18" s="81">
        <v>1733.0</v>
      </c>
      <c r="D18" s="82">
        <v>39.0</v>
      </c>
      <c r="E18" s="81">
        <v>180.0</v>
      </c>
      <c r="F18" s="81">
        <v>37.0</v>
      </c>
      <c r="G18" s="81">
        <v>171.0</v>
      </c>
    </row>
    <row r="19" ht="14.25" customHeight="1">
      <c r="A19" s="79" t="s">
        <v>96</v>
      </c>
      <c r="B19" s="80">
        <v>16.0</v>
      </c>
      <c r="C19" s="81">
        <v>456.0</v>
      </c>
      <c r="D19" s="82">
        <v>0.0</v>
      </c>
      <c r="E19" s="81">
        <v>0.0</v>
      </c>
      <c r="F19" s="81" t="s">
        <v>45</v>
      </c>
      <c r="G19" s="81" t="s">
        <v>30</v>
      </c>
    </row>
    <row r="20" ht="14.25" customHeight="1">
      <c r="A20" s="79" t="s">
        <v>97</v>
      </c>
      <c r="B20" s="80">
        <v>89.0</v>
      </c>
      <c r="C20" s="81">
        <v>554.0</v>
      </c>
      <c r="D20" s="82">
        <v>8.0</v>
      </c>
      <c r="E20" s="81">
        <v>50.0</v>
      </c>
      <c r="F20" s="81" t="s">
        <v>45</v>
      </c>
      <c r="G20" s="81" t="s">
        <v>30</v>
      </c>
    </row>
    <row r="21" ht="14.25" customHeight="1">
      <c r="A21" s="79" t="s">
        <v>98</v>
      </c>
      <c r="B21" s="80">
        <v>151.0</v>
      </c>
      <c r="C21" s="81">
        <v>971.0</v>
      </c>
      <c r="D21" s="82">
        <v>8.0</v>
      </c>
      <c r="E21" s="81">
        <v>51.0</v>
      </c>
      <c r="F21" s="81">
        <v>0.0</v>
      </c>
      <c r="G21" s="81">
        <v>0.0</v>
      </c>
    </row>
    <row r="22" ht="14.25" customHeight="1">
      <c r="A22" s="79" t="s">
        <v>99</v>
      </c>
      <c r="B22" s="80">
        <v>6.0</v>
      </c>
      <c r="C22" s="81">
        <v>726.0</v>
      </c>
      <c r="D22" s="82">
        <v>0.0</v>
      </c>
      <c r="E22" s="81">
        <v>0.0</v>
      </c>
      <c r="F22" s="81">
        <v>0.0</v>
      </c>
      <c r="G22" s="81">
        <v>0.0</v>
      </c>
    </row>
    <row r="23" ht="14.25" customHeight="1">
      <c r="A23" s="79" t="s">
        <v>100</v>
      </c>
      <c r="B23" s="80">
        <v>181.0</v>
      </c>
      <c r="C23" s="81">
        <v>731.0</v>
      </c>
      <c r="D23" s="82">
        <v>16.0</v>
      </c>
      <c r="E23" s="81">
        <v>65.0</v>
      </c>
      <c r="F23" s="81" t="s">
        <v>45</v>
      </c>
      <c r="G23" s="81" t="s">
        <v>30</v>
      </c>
    </row>
    <row r="24" ht="14.25" customHeight="1">
      <c r="A24" s="79" t="s">
        <v>101</v>
      </c>
      <c r="B24" s="80">
        <v>315.0</v>
      </c>
      <c r="C24" s="81">
        <v>1202.0</v>
      </c>
      <c r="D24" s="82">
        <v>35.0</v>
      </c>
      <c r="E24" s="81">
        <v>134.0</v>
      </c>
      <c r="F24" s="81">
        <v>51.0</v>
      </c>
      <c r="G24" s="81">
        <v>195.0</v>
      </c>
    </row>
    <row r="25" ht="15.75" customHeight="1">
      <c r="A25" s="79" t="s">
        <v>102</v>
      </c>
      <c r="B25" s="80">
        <v>1029.0</v>
      </c>
      <c r="C25" s="81">
        <v>3170.0</v>
      </c>
      <c r="D25" s="82">
        <v>126.0</v>
      </c>
      <c r="E25" s="81">
        <v>388.0</v>
      </c>
      <c r="F25" s="81">
        <v>81.0</v>
      </c>
      <c r="G25" s="81">
        <v>250.0</v>
      </c>
    </row>
    <row r="26" ht="14.25" customHeight="1">
      <c r="A26" s="79" t="s">
        <v>103</v>
      </c>
      <c r="B26" s="80">
        <v>172.0</v>
      </c>
      <c r="C26" s="81">
        <v>1393.0</v>
      </c>
      <c r="D26" s="82">
        <v>19.0</v>
      </c>
      <c r="E26" s="81">
        <v>154.0</v>
      </c>
      <c r="F26" s="81">
        <v>27.0</v>
      </c>
      <c r="G26" s="81">
        <v>219.0</v>
      </c>
    </row>
    <row r="27" ht="14.25" customHeight="1">
      <c r="A27" s="79" t="s">
        <v>104</v>
      </c>
      <c r="B27" s="80">
        <v>2424.0</v>
      </c>
      <c r="C27" s="81">
        <v>3378.0</v>
      </c>
      <c r="D27" s="82">
        <v>210.0</v>
      </c>
      <c r="E27" s="81">
        <v>293.0</v>
      </c>
      <c r="F27" s="81">
        <v>51.0</v>
      </c>
      <c r="G27" s="81">
        <v>71.0</v>
      </c>
    </row>
    <row r="28" ht="14.25" customHeight="1">
      <c r="A28" s="79" t="s">
        <v>105</v>
      </c>
      <c r="B28" s="80">
        <v>82.0</v>
      </c>
      <c r="C28" s="81">
        <v>471.0</v>
      </c>
      <c r="D28" s="82" t="s">
        <v>45</v>
      </c>
      <c r="E28" s="81" t="s">
        <v>30</v>
      </c>
      <c r="F28" s="81">
        <v>0.0</v>
      </c>
      <c r="G28" s="81">
        <v>0.0</v>
      </c>
    </row>
    <row r="29" ht="14.25" customHeight="1">
      <c r="A29" s="79" t="s">
        <v>106</v>
      </c>
      <c r="B29" s="80">
        <v>8344.0</v>
      </c>
      <c r="C29" s="81">
        <v>4650.0</v>
      </c>
      <c r="D29" s="82">
        <v>871.0</v>
      </c>
      <c r="E29" s="81">
        <v>485.0</v>
      </c>
      <c r="F29" s="81">
        <v>292.0</v>
      </c>
      <c r="G29" s="81">
        <v>163.0</v>
      </c>
    </row>
    <row r="30" ht="14.25" customHeight="1">
      <c r="A30" s="79" t="s">
        <v>107</v>
      </c>
      <c r="B30" s="80">
        <v>36.0</v>
      </c>
      <c r="C30" s="81">
        <v>472.0</v>
      </c>
      <c r="D30" s="82">
        <v>5.0</v>
      </c>
      <c r="E30" s="81">
        <v>66.0</v>
      </c>
      <c r="F30" s="81">
        <v>0.0</v>
      </c>
      <c r="G30" s="81">
        <v>0.0</v>
      </c>
    </row>
    <row r="31" ht="14.25" customHeight="1">
      <c r="A31" s="79" t="s">
        <v>108</v>
      </c>
      <c r="B31" s="80">
        <v>75.0</v>
      </c>
      <c r="C31" s="81">
        <v>707.0</v>
      </c>
      <c r="D31" s="82" t="s">
        <v>45</v>
      </c>
      <c r="E31" s="81" t="s">
        <v>30</v>
      </c>
      <c r="F31" s="81" t="s">
        <v>45</v>
      </c>
      <c r="G31" s="81" t="s">
        <v>30</v>
      </c>
    </row>
    <row r="32" ht="14.25" customHeight="1">
      <c r="A32" s="79" t="s">
        <v>109</v>
      </c>
      <c r="B32" s="80">
        <v>394.0</v>
      </c>
      <c r="C32" s="81">
        <v>1822.0</v>
      </c>
      <c r="D32" s="82">
        <v>74.0</v>
      </c>
      <c r="E32" s="81">
        <v>342.0</v>
      </c>
      <c r="F32" s="81">
        <v>53.0</v>
      </c>
      <c r="G32" s="81">
        <v>245.0</v>
      </c>
    </row>
    <row r="33" ht="14.25" customHeight="1">
      <c r="A33" s="79" t="s">
        <v>110</v>
      </c>
      <c r="B33" s="80">
        <v>139.0</v>
      </c>
      <c r="C33" s="81">
        <v>452.0</v>
      </c>
      <c r="D33" s="82">
        <v>15.0</v>
      </c>
      <c r="E33" s="81">
        <v>49.0</v>
      </c>
      <c r="F33" s="81">
        <v>17.0</v>
      </c>
      <c r="G33" s="81">
        <v>55.0</v>
      </c>
    </row>
    <row r="34" ht="14.25" customHeight="1">
      <c r="A34" s="79" t="s">
        <v>111</v>
      </c>
      <c r="B34" s="80">
        <v>133.0</v>
      </c>
      <c r="C34" s="81">
        <v>841.0</v>
      </c>
      <c r="D34" s="82" t="s">
        <v>45</v>
      </c>
      <c r="E34" s="81" t="s">
        <v>30</v>
      </c>
      <c r="F34" s="81">
        <v>5.0</v>
      </c>
      <c r="G34" s="81">
        <v>32.0</v>
      </c>
    </row>
    <row r="35" ht="14.25" customHeight="1">
      <c r="A35" s="79" t="s">
        <v>112</v>
      </c>
      <c r="B35" s="80">
        <v>114.0</v>
      </c>
      <c r="C35" s="81">
        <v>1087.0</v>
      </c>
      <c r="D35" s="82">
        <v>7.0</v>
      </c>
      <c r="E35" s="81">
        <v>67.0</v>
      </c>
      <c r="F35" s="81">
        <v>7.0</v>
      </c>
      <c r="G35" s="81">
        <v>67.0</v>
      </c>
    </row>
    <row r="36" ht="14.25" customHeight="1">
      <c r="A36" s="79" t="s">
        <v>113</v>
      </c>
      <c r="B36" s="80">
        <v>977.0</v>
      </c>
      <c r="C36" s="81">
        <v>1205.0</v>
      </c>
      <c r="D36" s="82">
        <v>86.0</v>
      </c>
      <c r="E36" s="81">
        <v>106.0</v>
      </c>
      <c r="F36" s="81">
        <v>74.0</v>
      </c>
      <c r="G36" s="81">
        <v>91.0</v>
      </c>
    </row>
    <row r="37" ht="14.25" customHeight="1">
      <c r="A37" s="79" t="s">
        <v>114</v>
      </c>
      <c r="B37" s="80">
        <v>34.0</v>
      </c>
      <c r="C37" s="81">
        <v>550.0</v>
      </c>
      <c r="D37" s="82">
        <v>0.0</v>
      </c>
      <c r="E37" s="81">
        <v>0.0</v>
      </c>
      <c r="F37" s="81">
        <v>0.0</v>
      </c>
      <c r="G37" s="81">
        <v>0.0</v>
      </c>
    </row>
    <row r="38" ht="14.25" customHeight="1">
      <c r="A38" s="79" t="s">
        <v>115</v>
      </c>
      <c r="B38" s="80">
        <v>427.0</v>
      </c>
      <c r="C38" s="81">
        <v>1475.0</v>
      </c>
      <c r="D38" s="82">
        <v>45.0</v>
      </c>
      <c r="E38" s="81">
        <v>155.0</v>
      </c>
      <c r="F38" s="81">
        <v>22.0</v>
      </c>
      <c r="G38" s="81">
        <v>76.0</v>
      </c>
    </row>
    <row r="39" ht="14.25" customHeight="1">
      <c r="A39" s="79" t="s">
        <v>116</v>
      </c>
      <c r="B39" s="80">
        <v>121.0</v>
      </c>
      <c r="C39" s="81">
        <v>535.0</v>
      </c>
      <c r="D39" s="82">
        <v>11.0</v>
      </c>
      <c r="E39" s="81">
        <v>49.0</v>
      </c>
      <c r="F39" s="81" t="s">
        <v>45</v>
      </c>
      <c r="G39" s="81" t="s">
        <v>30</v>
      </c>
    </row>
    <row r="40" ht="14.25" customHeight="1">
      <c r="A40" s="79" t="s">
        <v>117</v>
      </c>
      <c r="B40" s="80">
        <v>875.0</v>
      </c>
      <c r="C40" s="81">
        <v>2106.0</v>
      </c>
      <c r="D40" s="82">
        <v>113.0</v>
      </c>
      <c r="E40" s="81">
        <v>272.0</v>
      </c>
      <c r="F40" s="81">
        <v>83.0</v>
      </c>
      <c r="G40" s="81">
        <v>200.0</v>
      </c>
    </row>
    <row r="41" ht="14.25" customHeight="1">
      <c r="A41" s="79" t="s">
        <v>44</v>
      </c>
      <c r="B41" s="80">
        <v>855.0</v>
      </c>
      <c r="C41" s="81" t="s">
        <v>30</v>
      </c>
      <c r="D41" s="82">
        <v>96.0</v>
      </c>
      <c r="E41" s="81" t="s">
        <v>30</v>
      </c>
      <c r="F41" s="81" t="s">
        <v>45</v>
      </c>
      <c r="G41" s="81" t="s">
        <v>30</v>
      </c>
    </row>
    <row r="42" ht="14.25" customHeight="1">
      <c r="A42" s="83" t="s">
        <v>118</v>
      </c>
      <c r="B42" s="81">
        <v>23548.0</v>
      </c>
      <c r="C42" s="81">
        <v>2229.0</v>
      </c>
      <c r="D42" s="81">
        <v>2355.0</v>
      </c>
      <c r="E42" s="81">
        <v>223.0</v>
      </c>
      <c r="F42" s="81">
        <v>1108.0</v>
      </c>
      <c r="G42" s="81">
        <v>105.0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44104.0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44104.0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45</v>
      </c>
      <c r="H9" s="50">
        <v>0.0</v>
      </c>
      <c r="I9" s="50" t="s">
        <v>45</v>
      </c>
      <c r="J9" s="50">
        <v>0.0</v>
      </c>
      <c r="K9" s="50">
        <v>0.0</v>
      </c>
      <c r="L9" s="50">
        <v>0.0</v>
      </c>
      <c r="M9" s="50">
        <v>0.0</v>
      </c>
      <c r="N9" s="50">
        <v>0.0</v>
      </c>
      <c r="O9" s="50">
        <v>0.0</v>
      </c>
      <c r="P9" s="50">
        <v>0.0</v>
      </c>
      <c r="Q9" s="50">
        <v>0.0</v>
      </c>
      <c r="R9" s="50">
        <v>0.0</v>
      </c>
      <c r="S9" s="50">
        <v>0.0</v>
      </c>
      <c r="T9" s="50">
        <v>0.0</v>
      </c>
      <c r="U9" s="50">
        <v>0.0</v>
      </c>
      <c r="V9" s="50">
        <v>0.0</v>
      </c>
      <c r="W9" s="50">
        <v>0.0</v>
      </c>
      <c r="X9" s="50">
        <v>0.0</v>
      </c>
      <c r="Y9" s="50" t="s">
        <v>45</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45</v>
      </c>
    </row>
    <row r="10">
      <c r="A10" s="105" t="s">
        <v>167</v>
      </c>
      <c r="B10" s="50" t="s">
        <v>45</v>
      </c>
      <c r="C10" s="50">
        <v>0.0</v>
      </c>
      <c r="D10" s="50" t="s">
        <v>45</v>
      </c>
      <c r="E10" s="50">
        <v>0.0</v>
      </c>
      <c r="F10" s="50">
        <v>0.0</v>
      </c>
      <c r="G10" s="50">
        <v>0.0</v>
      </c>
      <c r="H10" s="50" t="s">
        <v>45</v>
      </c>
      <c r="I10" s="50">
        <v>0.0</v>
      </c>
      <c r="J10" s="50">
        <v>0.0</v>
      </c>
      <c r="K10" s="50" t="s">
        <v>45</v>
      </c>
      <c r="L10" s="50">
        <v>0.0</v>
      </c>
      <c r="M10" s="50">
        <v>0.0</v>
      </c>
      <c r="N10" s="50">
        <v>0.0</v>
      </c>
      <c r="O10" s="50">
        <v>0.0</v>
      </c>
      <c r="P10" s="50">
        <v>0.0</v>
      </c>
      <c r="Q10" s="50">
        <v>0.0</v>
      </c>
      <c r="R10" s="50" t="s">
        <v>45</v>
      </c>
      <c r="S10" s="50">
        <v>0.0</v>
      </c>
      <c r="T10" s="50" t="s">
        <v>45</v>
      </c>
      <c r="U10" s="50" t="s">
        <v>45</v>
      </c>
      <c r="V10" s="50">
        <v>0.0</v>
      </c>
      <c r="W10" s="50">
        <v>0.0</v>
      </c>
      <c r="X10" s="50">
        <v>0.0</v>
      </c>
      <c r="Y10" s="50">
        <v>0.0</v>
      </c>
      <c r="Z10" s="50">
        <v>0.0</v>
      </c>
      <c r="AA10" s="50">
        <v>0.0</v>
      </c>
      <c r="AB10" s="50">
        <v>0.0</v>
      </c>
      <c r="AC10" s="50" t="s">
        <v>45</v>
      </c>
      <c r="AD10" s="50">
        <v>0.0</v>
      </c>
      <c r="AE10" s="50" t="s">
        <v>45</v>
      </c>
      <c r="AF10" s="50">
        <v>0.0</v>
      </c>
      <c r="AG10" s="50">
        <v>0.0</v>
      </c>
      <c r="AH10" s="50">
        <v>0.0</v>
      </c>
      <c r="AI10" s="50">
        <v>0.0</v>
      </c>
      <c r="AJ10" s="50" t="s">
        <v>45</v>
      </c>
      <c r="AK10" s="50">
        <v>0.0</v>
      </c>
      <c r="AL10" s="50">
        <v>0.0</v>
      </c>
      <c r="AM10" s="50" t="s">
        <v>45</v>
      </c>
      <c r="AN10" s="50">
        <v>0.0</v>
      </c>
      <c r="AO10" s="50">
        <v>0.0</v>
      </c>
      <c r="AP10" s="52">
        <v>15.0</v>
      </c>
    </row>
    <row r="11">
      <c r="A11" s="105" t="s">
        <v>168</v>
      </c>
      <c r="B11" s="50" t="s">
        <v>45</v>
      </c>
      <c r="C11" s="50" t="s">
        <v>45</v>
      </c>
      <c r="D11" s="50">
        <v>0.0</v>
      </c>
      <c r="E11" s="50" t="s">
        <v>45</v>
      </c>
      <c r="F11" s="50">
        <v>0.0</v>
      </c>
      <c r="G11" s="50" t="s">
        <v>45</v>
      </c>
      <c r="H11" s="50" t="s">
        <v>45</v>
      </c>
      <c r="I11" s="50" t="s">
        <v>45</v>
      </c>
      <c r="J11" s="50">
        <v>0.0</v>
      </c>
      <c r="K11" s="50" t="s">
        <v>45</v>
      </c>
      <c r="L11" s="50">
        <v>0.0</v>
      </c>
      <c r="M11" s="50" t="s">
        <v>45</v>
      </c>
      <c r="N11" s="50">
        <v>0.0</v>
      </c>
      <c r="O11" s="50">
        <v>0.0</v>
      </c>
      <c r="P11" s="50" t="s">
        <v>45</v>
      </c>
      <c r="Q11" s="50" t="s">
        <v>45</v>
      </c>
      <c r="R11" s="50">
        <v>0.0</v>
      </c>
      <c r="S11" s="50" t="s">
        <v>45</v>
      </c>
      <c r="T11" s="50" t="s">
        <v>45</v>
      </c>
      <c r="U11" s="50">
        <v>0.0</v>
      </c>
      <c r="V11" s="50">
        <v>0.0</v>
      </c>
      <c r="W11" s="50" t="s">
        <v>45</v>
      </c>
      <c r="X11" s="50">
        <v>0.0</v>
      </c>
      <c r="Y11" s="50">
        <v>0.0</v>
      </c>
      <c r="Z11" s="50" t="s">
        <v>45</v>
      </c>
      <c r="AA11" s="50" t="s">
        <v>45</v>
      </c>
      <c r="AB11" s="50" t="s">
        <v>45</v>
      </c>
      <c r="AC11" s="50">
        <v>25.0</v>
      </c>
      <c r="AD11" s="50">
        <v>0.0</v>
      </c>
      <c r="AE11" s="50" t="s">
        <v>45</v>
      </c>
      <c r="AF11" s="50">
        <v>0.0</v>
      </c>
      <c r="AG11" s="50" t="s">
        <v>45</v>
      </c>
      <c r="AH11" s="50">
        <v>0.0</v>
      </c>
      <c r="AI11" s="50" t="s">
        <v>45</v>
      </c>
      <c r="AJ11" s="50" t="s">
        <v>45</v>
      </c>
      <c r="AK11" s="50">
        <v>0.0</v>
      </c>
      <c r="AL11" s="50">
        <v>0.0</v>
      </c>
      <c r="AM11" s="50" t="s">
        <v>45</v>
      </c>
      <c r="AN11" s="50">
        <v>0.0</v>
      </c>
      <c r="AO11" s="50" t="s">
        <v>45</v>
      </c>
      <c r="AP11" s="52">
        <v>66.0</v>
      </c>
    </row>
    <row r="12">
      <c r="A12" s="105" t="s">
        <v>169</v>
      </c>
      <c r="B12" s="50">
        <v>5.0</v>
      </c>
      <c r="C12" s="50" t="s">
        <v>45</v>
      </c>
      <c r="D12" s="50">
        <v>5.0</v>
      </c>
      <c r="E12" s="50" t="s">
        <v>45</v>
      </c>
      <c r="F12" s="50" t="s">
        <v>45</v>
      </c>
      <c r="G12" s="50" t="s">
        <v>45</v>
      </c>
      <c r="H12" s="50">
        <v>27.0</v>
      </c>
      <c r="I12" s="50">
        <v>6.0</v>
      </c>
      <c r="J12" s="50">
        <v>0.0</v>
      </c>
      <c r="K12" s="50">
        <v>8.0</v>
      </c>
      <c r="L12" s="50" t="s">
        <v>45</v>
      </c>
      <c r="M12" s="50">
        <v>0.0</v>
      </c>
      <c r="N12" s="50">
        <v>0.0</v>
      </c>
      <c r="O12" s="50" t="s">
        <v>45</v>
      </c>
      <c r="P12" s="50">
        <v>0.0</v>
      </c>
      <c r="Q12" s="50" t="s">
        <v>45</v>
      </c>
      <c r="R12" s="50" t="s">
        <v>45</v>
      </c>
      <c r="S12" s="50">
        <v>0.0</v>
      </c>
      <c r="T12" s="50">
        <v>0.0</v>
      </c>
      <c r="U12" s="50" t="s">
        <v>45</v>
      </c>
      <c r="V12" s="50">
        <v>0.0</v>
      </c>
      <c r="W12" s="50" t="s">
        <v>45</v>
      </c>
      <c r="X12" s="50">
        <v>7.0</v>
      </c>
      <c r="Y12" s="50">
        <v>5.0</v>
      </c>
      <c r="Z12" s="50" t="s">
        <v>45</v>
      </c>
      <c r="AA12" s="50">
        <v>16.0</v>
      </c>
      <c r="AB12" s="50" t="s">
        <v>45</v>
      </c>
      <c r="AC12" s="50">
        <v>47.0</v>
      </c>
      <c r="AD12" s="50">
        <v>0.0</v>
      </c>
      <c r="AE12" s="50">
        <v>5.0</v>
      </c>
      <c r="AF12" s="50" t="s">
        <v>45</v>
      </c>
      <c r="AG12" s="50" t="s">
        <v>45</v>
      </c>
      <c r="AH12" s="50">
        <v>6.0</v>
      </c>
      <c r="AI12" s="50">
        <v>0.0</v>
      </c>
      <c r="AJ12" s="50">
        <v>15.0</v>
      </c>
      <c r="AK12" s="50">
        <v>0.0</v>
      </c>
      <c r="AL12" s="50">
        <v>6.0</v>
      </c>
      <c r="AM12" s="50" t="s">
        <v>45</v>
      </c>
      <c r="AN12" s="50" t="s">
        <v>45</v>
      </c>
      <c r="AO12" s="50" t="s">
        <v>45</v>
      </c>
      <c r="AP12" s="52">
        <v>199.0</v>
      </c>
    </row>
    <row r="13">
      <c r="A13" s="105" t="s">
        <v>170</v>
      </c>
      <c r="B13" s="50" t="s">
        <v>45</v>
      </c>
      <c r="C13" s="50">
        <v>6.0</v>
      </c>
      <c r="D13" s="50">
        <v>6.0</v>
      </c>
      <c r="E13" s="50">
        <v>10.0</v>
      </c>
      <c r="F13" s="50" t="s">
        <v>45</v>
      </c>
      <c r="G13" s="50">
        <v>12.0</v>
      </c>
      <c r="H13" s="50">
        <v>42.0</v>
      </c>
      <c r="I13" s="50">
        <v>17.0</v>
      </c>
      <c r="J13" s="50">
        <v>5.0</v>
      </c>
      <c r="K13" s="50">
        <v>15.0</v>
      </c>
      <c r="L13" s="50" t="s">
        <v>45</v>
      </c>
      <c r="M13" s="50">
        <v>0.0</v>
      </c>
      <c r="N13" s="50" t="s">
        <v>45</v>
      </c>
      <c r="O13" s="50" t="s">
        <v>45</v>
      </c>
      <c r="P13" s="50" t="s">
        <v>45</v>
      </c>
      <c r="Q13" s="50">
        <v>11.0</v>
      </c>
      <c r="R13" s="50">
        <v>9.0</v>
      </c>
      <c r="S13" s="50" t="s">
        <v>45</v>
      </c>
      <c r="T13" s="50" t="s">
        <v>45</v>
      </c>
      <c r="U13" s="50" t="s">
        <v>45</v>
      </c>
      <c r="V13" s="50" t="s">
        <v>45</v>
      </c>
      <c r="W13" s="50">
        <v>6.0</v>
      </c>
      <c r="X13" s="50">
        <v>8.0</v>
      </c>
      <c r="Y13" s="50">
        <v>26.0</v>
      </c>
      <c r="Z13" s="50" t="s">
        <v>45</v>
      </c>
      <c r="AA13" s="50">
        <v>55.0</v>
      </c>
      <c r="AB13" s="50">
        <v>7.0</v>
      </c>
      <c r="AC13" s="50">
        <v>113.0</v>
      </c>
      <c r="AD13" s="50">
        <v>0.0</v>
      </c>
      <c r="AE13" s="50" t="s">
        <v>45</v>
      </c>
      <c r="AF13" s="50">
        <v>8.0</v>
      </c>
      <c r="AG13" s="50">
        <v>8.0</v>
      </c>
      <c r="AH13" s="50">
        <v>5.0</v>
      </c>
      <c r="AI13" s="50" t="s">
        <v>45</v>
      </c>
      <c r="AJ13" s="50">
        <v>29.0</v>
      </c>
      <c r="AK13" s="50" t="s">
        <v>45</v>
      </c>
      <c r="AL13" s="50">
        <v>15.0</v>
      </c>
      <c r="AM13" s="50">
        <v>9.0</v>
      </c>
      <c r="AN13" s="50">
        <v>11.0</v>
      </c>
      <c r="AO13" s="50">
        <v>20.0</v>
      </c>
      <c r="AP13" s="52">
        <v>481.0</v>
      </c>
    </row>
    <row r="14">
      <c r="A14" s="105" t="s">
        <v>171</v>
      </c>
      <c r="B14" s="50">
        <v>6.0</v>
      </c>
      <c r="C14" s="50">
        <v>9.0</v>
      </c>
      <c r="D14" s="50">
        <v>13.0</v>
      </c>
      <c r="E14" s="50">
        <v>48.0</v>
      </c>
      <c r="F14" s="50" t="s">
        <v>45</v>
      </c>
      <c r="G14" s="50">
        <v>23.0</v>
      </c>
      <c r="H14" s="50">
        <v>109.0</v>
      </c>
      <c r="I14" s="50">
        <v>42.0</v>
      </c>
      <c r="J14" s="50">
        <v>13.0</v>
      </c>
      <c r="K14" s="50">
        <v>62.0</v>
      </c>
      <c r="L14" s="50" t="s">
        <v>45</v>
      </c>
      <c r="M14" s="50">
        <v>5.0</v>
      </c>
      <c r="N14" s="50" t="s">
        <v>45</v>
      </c>
      <c r="O14" s="50" t="s">
        <v>45</v>
      </c>
      <c r="P14" s="50" t="s">
        <v>45</v>
      </c>
      <c r="Q14" s="50">
        <v>38.0</v>
      </c>
      <c r="R14" s="50">
        <v>19.0</v>
      </c>
      <c r="S14" s="50" t="s">
        <v>45</v>
      </c>
      <c r="T14" s="50">
        <v>6.0</v>
      </c>
      <c r="U14" s="50">
        <v>13.0</v>
      </c>
      <c r="V14" s="50">
        <v>0.0</v>
      </c>
      <c r="W14" s="50">
        <v>8.0</v>
      </c>
      <c r="X14" s="50">
        <v>22.0</v>
      </c>
      <c r="Y14" s="50">
        <v>60.0</v>
      </c>
      <c r="Z14" s="50">
        <v>5.0</v>
      </c>
      <c r="AA14" s="50">
        <v>144.0</v>
      </c>
      <c r="AB14" s="50" t="s">
        <v>45</v>
      </c>
      <c r="AC14" s="50">
        <v>525.0</v>
      </c>
      <c r="AD14" s="50" t="s">
        <v>45</v>
      </c>
      <c r="AE14" s="50">
        <v>6.0</v>
      </c>
      <c r="AF14" s="50">
        <v>18.0</v>
      </c>
      <c r="AG14" s="50">
        <v>19.0</v>
      </c>
      <c r="AH14" s="50">
        <v>14.0</v>
      </c>
      <c r="AI14" s="50" t="s">
        <v>45</v>
      </c>
      <c r="AJ14" s="50">
        <v>65.0</v>
      </c>
      <c r="AK14" s="50">
        <v>5.0</v>
      </c>
      <c r="AL14" s="50">
        <v>21.0</v>
      </c>
      <c r="AM14" s="50">
        <v>8.0</v>
      </c>
      <c r="AN14" s="50">
        <v>38.0</v>
      </c>
      <c r="AO14" s="50">
        <v>57.0</v>
      </c>
      <c r="AP14" s="106">
        <v>1445.0</v>
      </c>
    </row>
    <row r="15">
      <c r="A15" s="105" t="s">
        <v>172</v>
      </c>
      <c r="B15" s="50" t="s">
        <v>45</v>
      </c>
      <c r="C15" s="50">
        <v>13.0</v>
      </c>
      <c r="D15" s="50">
        <v>8.0</v>
      </c>
      <c r="E15" s="50">
        <v>112.0</v>
      </c>
      <c r="F15" s="50" t="s">
        <v>45</v>
      </c>
      <c r="G15" s="50">
        <v>18.0</v>
      </c>
      <c r="H15" s="50">
        <v>138.0</v>
      </c>
      <c r="I15" s="50">
        <v>28.0</v>
      </c>
      <c r="J15" s="50">
        <v>5.0</v>
      </c>
      <c r="K15" s="50">
        <v>53.0</v>
      </c>
      <c r="L15" s="50" t="s">
        <v>45</v>
      </c>
      <c r="M15" s="50" t="s">
        <v>45</v>
      </c>
      <c r="N15" s="50">
        <v>6.0</v>
      </c>
      <c r="O15" s="50">
        <v>0.0</v>
      </c>
      <c r="P15" s="50" t="s">
        <v>45</v>
      </c>
      <c r="Q15" s="50">
        <v>39.0</v>
      </c>
      <c r="R15" s="50">
        <v>20.0</v>
      </c>
      <c r="S15" s="50" t="s">
        <v>45</v>
      </c>
      <c r="T15" s="50" t="s">
        <v>45</v>
      </c>
      <c r="U15" s="50" t="s">
        <v>45</v>
      </c>
      <c r="V15" s="50">
        <v>0.0</v>
      </c>
      <c r="W15" s="50">
        <v>0.0</v>
      </c>
      <c r="X15" s="50">
        <v>6.0</v>
      </c>
      <c r="Y15" s="50">
        <v>84.0</v>
      </c>
      <c r="Z15" s="50" t="s">
        <v>45</v>
      </c>
      <c r="AA15" s="50">
        <v>207.0</v>
      </c>
      <c r="AB15" s="50" t="s">
        <v>45</v>
      </c>
      <c r="AC15" s="50">
        <v>626.0</v>
      </c>
      <c r="AD15" s="50" t="s">
        <v>45</v>
      </c>
      <c r="AE15" s="50">
        <v>6.0</v>
      </c>
      <c r="AF15" s="50">
        <v>8.0</v>
      </c>
      <c r="AG15" s="50">
        <v>10.0</v>
      </c>
      <c r="AH15" s="50">
        <v>8.0</v>
      </c>
      <c r="AI15" s="50" t="s">
        <v>45</v>
      </c>
      <c r="AJ15" s="50">
        <v>61.0</v>
      </c>
      <c r="AK15" s="50" t="s">
        <v>45</v>
      </c>
      <c r="AL15" s="50">
        <v>30.0</v>
      </c>
      <c r="AM15" s="50">
        <v>6.0</v>
      </c>
      <c r="AN15" s="50">
        <v>47.0</v>
      </c>
      <c r="AO15" s="50">
        <v>34.0</v>
      </c>
      <c r="AP15" s="106">
        <v>1611.0</v>
      </c>
    </row>
    <row r="16">
      <c r="A16" s="105" t="s">
        <v>173</v>
      </c>
      <c r="B16" s="50">
        <v>6.0</v>
      </c>
      <c r="C16" s="50">
        <v>12.0</v>
      </c>
      <c r="D16" s="50">
        <v>10.0</v>
      </c>
      <c r="E16" s="50">
        <v>175.0</v>
      </c>
      <c r="F16" s="50" t="s">
        <v>45</v>
      </c>
      <c r="G16" s="50">
        <v>16.0</v>
      </c>
      <c r="H16" s="50">
        <v>124.0</v>
      </c>
      <c r="I16" s="50">
        <v>35.0</v>
      </c>
      <c r="J16" s="50">
        <v>12.0</v>
      </c>
      <c r="K16" s="50">
        <v>50.0</v>
      </c>
      <c r="L16" s="50">
        <v>5.0</v>
      </c>
      <c r="M16" s="50" t="s">
        <v>45</v>
      </c>
      <c r="N16" s="50">
        <v>7.0</v>
      </c>
      <c r="O16" s="50" t="s">
        <v>45</v>
      </c>
      <c r="P16" s="50" t="s">
        <v>45</v>
      </c>
      <c r="Q16" s="50">
        <v>44.0</v>
      </c>
      <c r="R16" s="50">
        <v>23.0</v>
      </c>
      <c r="S16" s="50">
        <v>0.0</v>
      </c>
      <c r="T16" s="50">
        <v>6.0</v>
      </c>
      <c r="U16" s="50">
        <v>10.0</v>
      </c>
      <c r="V16" s="50">
        <v>0.0</v>
      </c>
      <c r="W16" s="50">
        <v>9.0</v>
      </c>
      <c r="X16" s="50">
        <v>16.0</v>
      </c>
      <c r="Y16" s="50">
        <v>80.0</v>
      </c>
      <c r="Z16" s="50">
        <v>6.0</v>
      </c>
      <c r="AA16" s="50">
        <v>265.0</v>
      </c>
      <c r="AB16" s="50">
        <v>5.0</v>
      </c>
      <c r="AC16" s="50">
        <v>818.0</v>
      </c>
      <c r="AD16" s="50">
        <v>5.0</v>
      </c>
      <c r="AE16" s="50">
        <v>6.0</v>
      </c>
      <c r="AF16" s="50">
        <v>18.0</v>
      </c>
      <c r="AG16" s="50">
        <v>7.0</v>
      </c>
      <c r="AH16" s="50">
        <v>12.0</v>
      </c>
      <c r="AI16" s="50">
        <v>14.0</v>
      </c>
      <c r="AJ16" s="50">
        <v>59.0</v>
      </c>
      <c r="AK16" s="50" t="s">
        <v>45</v>
      </c>
      <c r="AL16" s="50">
        <v>34.0</v>
      </c>
      <c r="AM16" s="50">
        <v>15.0</v>
      </c>
      <c r="AN16" s="50">
        <v>49.0</v>
      </c>
      <c r="AO16" s="50">
        <v>44.0</v>
      </c>
      <c r="AP16" s="106">
        <v>2009.0</v>
      </c>
    </row>
    <row r="17">
      <c r="A17" s="105" t="s">
        <v>174</v>
      </c>
      <c r="B17" s="50" t="s">
        <v>45</v>
      </c>
      <c r="C17" s="50">
        <v>10.0</v>
      </c>
      <c r="D17" s="50">
        <v>10.0</v>
      </c>
      <c r="E17" s="50">
        <v>133.0</v>
      </c>
      <c r="F17" s="50" t="s">
        <v>45</v>
      </c>
      <c r="G17" s="50">
        <v>12.0</v>
      </c>
      <c r="H17" s="50">
        <v>109.0</v>
      </c>
      <c r="I17" s="50">
        <v>21.0</v>
      </c>
      <c r="J17" s="50">
        <v>10.0</v>
      </c>
      <c r="K17" s="50">
        <v>42.0</v>
      </c>
      <c r="L17" s="50" t="s">
        <v>45</v>
      </c>
      <c r="M17" s="50" t="s">
        <v>45</v>
      </c>
      <c r="N17" s="50" t="s">
        <v>45</v>
      </c>
      <c r="O17" s="50">
        <v>0.0</v>
      </c>
      <c r="P17" s="50">
        <v>0.0</v>
      </c>
      <c r="Q17" s="50">
        <v>25.0</v>
      </c>
      <c r="R17" s="50">
        <v>19.0</v>
      </c>
      <c r="S17" s="50">
        <v>0.0</v>
      </c>
      <c r="T17" s="50" t="s">
        <v>45</v>
      </c>
      <c r="U17" s="50" t="s">
        <v>45</v>
      </c>
      <c r="V17" s="50">
        <v>0.0</v>
      </c>
      <c r="W17" s="50">
        <v>8.0</v>
      </c>
      <c r="X17" s="50">
        <v>5.0</v>
      </c>
      <c r="Y17" s="50">
        <v>57.0</v>
      </c>
      <c r="Z17" s="50" t="s">
        <v>45</v>
      </c>
      <c r="AA17" s="50">
        <v>202.0</v>
      </c>
      <c r="AB17" s="50" t="s">
        <v>45</v>
      </c>
      <c r="AC17" s="50">
        <v>698.0</v>
      </c>
      <c r="AD17" s="50">
        <v>5.0</v>
      </c>
      <c r="AE17" s="50" t="s">
        <v>45</v>
      </c>
      <c r="AF17" s="50">
        <v>11.0</v>
      </c>
      <c r="AG17" s="50" t="s">
        <v>45</v>
      </c>
      <c r="AH17" s="50">
        <v>7.0</v>
      </c>
      <c r="AI17" s="50" t="s">
        <v>45</v>
      </c>
      <c r="AJ17" s="50">
        <v>58.0</v>
      </c>
      <c r="AK17" s="50" t="s">
        <v>45</v>
      </c>
      <c r="AL17" s="50">
        <v>25.0</v>
      </c>
      <c r="AM17" s="50">
        <v>7.0</v>
      </c>
      <c r="AN17" s="50">
        <v>54.0</v>
      </c>
      <c r="AO17" s="50">
        <v>75.0</v>
      </c>
      <c r="AP17" s="106">
        <v>1640.0</v>
      </c>
    </row>
    <row r="18">
      <c r="A18" s="105" t="s">
        <v>175</v>
      </c>
      <c r="B18" s="50" t="s">
        <v>45</v>
      </c>
      <c r="C18" s="50">
        <v>9.0</v>
      </c>
      <c r="D18" s="50" t="s">
        <v>45</v>
      </c>
      <c r="E18" s="50">
        <v>130.0</v>
      </c>
      <c r="F18" s="50" t="s">
        <v>45</v>
      </c>
      <c r="G18" s="50">
        <v>12.0</v>
      </c>
      <c r="H18" s="50">
        <v>82.0</v>
      </c>
      <c r="I18" s="50">
        <v>21.0</v>
      </c>
      <c r="J18" s="50">
        <v>7.0</v>
      </c>
      <c r="K18" s="50">
        <v>51.0</v>
      </c>
      <c r="L18" s="50">
        <v>6.0</v>
      </c>
      <c r="M18" s="50" t="s">
        <v>45</v>
      </c>
      <c r="N18" s="50" t="s">
        <v>45</v>
      </c>
      <c r="O18" s="50" t="s">
        <v>45</v>
      </c>
      <c r="P18" s="50" t="s">
        <v>45</v>
      </c>
      <c r="Q18" s="50">
        <v>33.0</v>
      </c>
      <c r="R18" s="50">
        <v>20.0</v>
      </c>
      <c r="S18" s="50" t="s">
        <v>45</v>
      </c>
      <c r="T18" s="50" t="s">
        <v>45</v>
      </c>
      <c r="U18" s="50" t="s">
        <v>45</v>
      </c>
      <c r="V18" s="50">
        <v>0.0</v>
      </c>
      <c r="W18" s="50">
        <v>8.0</v>
      </c>
      <c r="X18" s="50">
        <v>8.0</v>
      </c>
      <c r="Y18" s="50">
        <v>45.0</v>
      </c>
      <c r="Z18" s="50" t="s">
        <v>45</v>
      </c>
      <c r="AA18" s="50">
        <v>193.0</v>
      </c>
      <c r="AB18" s="50" t="s">
        <v>45</v>
      </c>
      <c r="AC18" s="50">
        <v>546.0</v>
      </c>
      <c r="AD18" s="50" t="s">
        <v>45</v>
      </c>
      <c r="AE18" s="50" t="s">
        <v>45</v>
      </c>
      <c r="AF18" s="50">
        <v>11.0</v>
      </c>
      <c r="AG18" s="50" t="s">
        <v>45</v>
      </c>
      <c r="AH18" s="50">
        <v>5.0</v>
      </c>
      <c r="AI18" s="50" t="s">
        <v>45</v>
      </c>
      <c r="AJ18" s="50">
        <v>45.0</v>
      </c>
      <c r="AK18" s="50">
        <v>0.0</v>
      </c>
      <c r="AL18" s="50">
        <v>28.0</v>
      </c>
      <c r="AM18" s="50" t="s">
        <v>45</v>
      </c>
      <c r="AN18" s="50">
        <v>57.0</v>
      </c>
      <c r="AO18" s="50">
        <v>30.0</v>
      </c>
      <c r="AP18" s="106">
        <v>1387.0</v>
      </c>
    </row>
    <row r="19">
      <c r="A19" s="105" t="s">
        <v>176</v>
      </c>
      <c r="B19" s="50">
        <v>6.0</v>
      </c>
      <c r="C19" s="50">
        <v>6.0</v>
      </c>
      <c r="D19" s="50" t="s">
        <v>45</v>
      </c>
      <c r="E19" s="50">
        <v>95.0</v>
      </c>
      <c r="F19" s="50">
        <v>0.0</v>
      </c>
      <c r="G19" s="50">
        <v>12.0</v>
      </c>
      <c r="H19" s="50">
        <v>76.0</v>
      </c>
      <c r="I19" s="50">
        <v>11.0</v>
      </c>
      <c r="J19" s="50">
        <v>6.0</v>
      </c>
      <c r="K19" s="50">
        <v>36.0</v>
      </c>
      <c r="L19" s="50" t="s">
        <v>45</v>
      </c>
      <c r="M19" s="50" t="s">
        <v>45</v>
      </c>
      <c r="N19" s="50">
        <v>9.0</v>
      </c>
      <c r="O19" s="50" t="s">
        <v>45</v>
      </c>
      <c r="P19" s="50">
        <v>0.0</v>
      </c>
      <c r="Q19" s="50">
        <v>23.0</v>
      </c>
      <c r="R19" s="50">
        <v>13.0</v>
      </c>
      <c r="S19" s="50">
        <v>0.0</v>
      </c>
      <c r="T19" s="50">
        <v>0.0</v>
      </c>
      <c r="U19" s="50" t="s">
        <v>45</v>
      </c>
      <c r="V19" s="50">
        <v>0.0</v>
      </c>
      <c r="W19" s="50" t="s">
        <v>45</v>
      </c>
      <c r="X19" s="50">
        <v>5.0</v>
      </c>
      <c r="Y19" s="50">
        <v>47.0</v>
      </c>
      <c r="Z19" s="50">
        <v>9.0</v>
      </c>
      <c r="AA19" s="50">
        <v>122.0</v>
      </c>
      <c r="AB19" s="50" t="s">
        <v>45</v>
      </c>
      <c r="AC19" s="50">
        <v>481.0</v>
      </c>
      <c r="AD19" s="50">
        <v>0.0</v>
      </c>
      <c r="AE19" s="50">
        <v>5.0</v>
      </c>
      <c r="AF19" s="50">
        <v>12.0</v>
      </c>
      <c r="AG19" s="50" t="s">
        <v>45</v>
      </c>
      <c r="AH19" s="50">
        <v>7.0</v>
      </c>
      <c r="AI19" s="50">
        <v>14.0</v>
      </c>
      <c r="AJ19" s="50">
        <v>35.0</v>
      </c>
      <c r="AK19" s="50" t="s">
        <v>45</v>
      </c>
      <c r="AL19" s="50">
        <v>12.0</v>
      </c>
      <c r="AM19" s="50" t="s">
        <v>45</v>
      </c>
      <c r="AN19" s="50">
        <v>43.0</v>
      </c>
      <c r="AO19" s="50">
        <v>13.0</v>
      </c>
      <c r="AP19" s="106">
        <v>1120.0</v>
      </c>
    </row>
    <row r="20">
      <c r="A20" s="105" t="s">
        <v>177</v>
      </c>
      <c r="B20" s="50">
        <v>7.0</v>
      </c>
      <c r="C20" s="50">
        <v>10.0</v>
      </c>
      <c r="D20" s="50">
        <v>9.0</v>
      </c>
      <c r="E20" s="50">
        <v>64.0</v>
      </c>
      <c r="F20" s="50">
        <v>0.0</v>
      </c>
      <c r="G20" s="50">
        <v>17.0</v>
      </c>
      <c r="H20" s="50">
        <v>73.0</v>
      </c>
      <c r="I20" s="50">
        <v>12.0</v>
      </c>
      <c r="J20" s="50" t="s">
        <v>45</v>
      </c>
      <c r="K20" s="50">
        <v>17.0</v>
      </c>
      <c r="L20" s="50" t="s">
        <v>45</v>
      </c>
      <c r="M20" s="50" t="s">
        <v>45</v>
      </c>
      <c r="N20" s="50" t="s">
        <v>45</v>
      </c>
      <c r="O20" s="50" t="s">
        <v>45</v>
      </c>
      <c r="P20" s="50" t="s">
        <v>45</v>
      </c>
      <c r="Q20" s="50">
        <v>19.0</v>
      </c>
      <c r="R20" s="50">
        <v>11.0</v>
      </c>
      <c r="S20" s="50" t="s">
        <v>45</v>
      </c>
      <c r="T20" s="50" t="s">
        <v>45</v>
      </c>
      <c r="U20" s="50" t="s">
        <v>45</v>
      </c>
      <c r="V20" s="50">
        <v>0.0</v>
      </c>
      <c r="W20" s="50" t="s">
        <v>45</v>
      </c>
      <c r="X20" s="50">
        <v>5.0</v>
      </c>
      <c r="Y20" s="50">
        <v>25.0</v>
      </c>
      <c r="Z20" s="50">
        <v>6.0</v>
      </c>
      <c r="AA20" s="50">
        <v>111.0</v>
      </c>
      <c r="AB20" s="50">
        <v>7.0</v>
      </c>
      <c r="AC20" s="50">
        <v>406.0</v>
      </c>
      <c r="AD20" s="50" t="s">
        <v>45</v>
      </c>
      <c r="AE20" s="50" t="s">
        <v>45</v>
      </c>
      <c r="AF20" s="50">
        <v>6.0</v>
      </c>
      <c r="AG20" s="50" t="s">
        <v>45</v>
      </c>
      <c r="AH20" s="50">
        <v>9.0</v>
      </c>
      <c r="AI20" s="50">
        <v>5.0</v>
      </c>
      <c r="AJ20" s="50">
        <v>36.0</v>
      </c>
      <c r="AK20" s="50" t="s">
        <v>45</v>
      </c>
      <c r="AL20" s="50">
        <v>13.0</v>
      </c>
      <c r="AM20" s="50" t="s">
        <v>45</v>
      </c>
      <c r="AN20" s="50">
        <v>37.0</v>
      </c>
      <c r="AO20" s="50">
        <v>17.0</v>
      </c>
      <c r="AP20" s="106">
        <v>956.0</v>
      </c>
    </row>
    <row r="21">
      <c r="A21" s="105" t="s">
        <v>178</v>
      </c>
      <c r="B21" s="50" t="s">
        <v>45</v>
      </c>
      <c r="C21" s="50">
        <v>9.0</v>
      </c>
      <c r="D21" s="50" t="s">
        <v>45</v>
      </c>
      <c r="E21" s="50">
        <v>30.0</v>
      </c>
      <c r="F21" s="50" t="s">
        <v>45</v>
      </c>
      <c r="G21" s="50">
        <v>10.0</v>
      </c>
      <c r="H21" s="50">
        <v>49.0</v>
      </c>
      <c r="I21" s="50">
        <v>6.0</v>
      </c>
      <c r="J21" s="50">
        <v>0.0</v>
      </c>
      <c r="K21" s="50">
        <v>21.0</v>
      </c>
      <c r="L21" s="50">
        <v>0.0</v>
      </c>
      <c r="M21" s="50" t="s">
        <v>45</v>
      </c>
      <c r="N21" s="50" t="s">
        <v>45</v>
      </c>
      <c r="O21" s="50">
        <v>0.0</v>
      </c>
      <c r="P21" s="50" t="s">
        <v>45</v>
      </c>
      <c r="Q21" s="50">
        <v>35.0</v>
      </c>
      <c r="R21" s="50">
        <v>9.0</v>
      </c>
      <c r="S21" s="50">
        <v>0.0</v>
      </c>
      <c r="T21" s="50" t="s">
        <v>45</v>
      </c>
      <c r="U21" s="50" t="s">
        <v>45</v>
      </c>
      <c r="V21" s="50">
        <v>0.0</v>
      </c>
      <c r="W21" s="50">
        <v>9.0</v>
      </c>
      <c r="X21" s="50">
        <v>6.0</v>
      </c>
      <c r="Y21" s="50">
        <v>17.0</v>
      </c>
      <c r="Z21" s="50" t="s">
        <v>45</v>
      </c>
      <c r="AA21" s="50">
        <v>69.0</v>
      </c>
      <c r="AB21" s="50">
        <v>6.0</v>
      </c>
      <c r="AC21" s="50">
        <v>333.0</v>
      </c>
      <c r="AD21" s="50" t="s">
        <v>45</v>
      </c>
      <c r="AE21" s="50" t="s">
        <v>45</v>
      </c>
      <c r="AF21" s="50">
        <v>0.0</v>
      </c>
      <c r="AG21" s="50">
        <v>0.0</v>
      </c>
      <c r="AH21" s="50" t="s">
        <v>45</v>
      </c>
      <c r="AI21" s="50">
        <v>0.0</v>
      </c>
      <c r="AJ21" s="50">
        <v>21.0</v>
      </c>
      <c r="AK21" s="50" t="s">
        <v>45</v>
      </c>
      <c r="AL21" s="50">
        <v>9.0</v>
      </c>
      <c r="AM21" s="50" t="s">
        <v>45</v>
      </c>
      <c r="AN21" s="50">
        <v>38.0</v>
      </c>
      <c r="AO21" s="50">
        <v>12.0</v>
      </c>
      <c r="AP21" s="52">
        <v>722.0</v>
      </c>
    </row>
    <row r="22">
      <c r="A22" s="105" t="s">
        <v>179</v>
      </c>
      <c r="B22" s="50" t="s">
        <v>45</v>
      </c>
      <c r="C22" s="50" t="s">
        <v>45</v>
      </c>
      <c r="D22" s="50" t="s">
        <v>45</v>
      </c>
      <c r="E22" s="50">
        <v>33.0</v>
      </c>
      <c r="F22" s="50">
        <v>0.0</v>
      </c>
      <c r="G22" s="50" t="s">
        <v>45</v>
      </c>
      <c r="H22" s="50">
        <v>35.0</v>
      </c>
      <c r="I22" s="50">
        <v>11.0</v>
      </c>
      <c r="J22" s="50" t="s">
        <v>45</v>
      </c>
      <c r="K22" s="50">
        <v>12.0</v>
      </c>
      <c r="L22" s="50" t="s">
        <v>45</v>
      </c>
      <c r="M22" s="50">
        <v>0.0</v>
      </c>
      <c r="N22" s="50" t="s">
        <v>45</v>
      </c>
      <c r="O22" s="50">
        <v>0.0</v>
      </c>
      <c r="P22" s="50" t="s">
        <v>45</v>
      </c>
      <c r="Q22" s="50">
        <v>12.0</v>
      </c>
      <c r="R22" s="50" t="s">
        <v>45</v>
      </c>
      <c r="S22" s="50">
        <v>0.0</v>
      </c>
      <c r="T22" s="50" t="s">
        <v>45</v>
      </c>
      <c r="U22" s="50" t="s">
        <v>45</v>
      </c>
      <c r="V22" s="50">
        <v>0.0</v>
      </c>
      <c r="W22" s="50" t="s">
        <v>45</v>
      </c>
      <c r="X22" s="50" t="s">
        <v>45</v>
      </c>
      <c r="Y22" s="50">
        <v>20.0</v>
      </c>
      <c r="Z22" s="50" t="s">
        <v>45</v>
      </c>
      <c r="AA22" s="50">
        <v>51.0</v>
      </c>
      <c r="AB22" s="50">
        <v>5.0</v>
      </c>
      <c r="AC22" s="50">
        <v>258.0</v>
      </c>
      <c r="AD22" s="50">
        <v>0.0</v>
      </c>
      <c r="AE22" s="50" t="s">
        <v>45</v>
      </c>
      <c r="AF22" s="50" t="s">
        <v>45</v>
      </c>
      <c r="AG22" s="50">
        <v>0.0</v>
      </c>
      <c r="AH22" s="50" t="s">
        <v>45</v>
      </c>
      <c r="AI22" s="50" t="s">
        <v>45</v>
      </c>
      <c r="AJ22" s="50">
        <v>19.0</v>
      </c>
      <c r="AK22" s="50">
        <v>0.0</v>
      </c>
      <c r="AL22" s="50">
        <v>10.0</v>
      </c>
      <c r="AM22" s="50">
        <v>0.0</v>
      </c>
      <c r="AN22" s="50">
        <v>25.0</v>
      </c>
      <c r="AO22" s="50">
        <v>5.0</v>
      </c>
      <c r="AP22" s="52">
        <v>533.0</v>
      </c>
    </row>
    <row r="23">
      <c r="A23" s="105" t="s">
        <v>180</v>
      </c>
      <c r="B23" s="50" t="s">
        <v>45</v>
      </c>
      <c r="C23" s="50" t="s">
        <v>45</v>
      </c>
      <c r="D23" s="50" t="s">
        <v>45</v>
      </c>
      <c r="E23" s="50">
        <v>23.0</v>
      </c>
      <c r="F23" s="50" t="s">
        <v>45</v>
      </c>
      <c r="G23" s="50" t="s">
        <v>45</v>
      </c>
      <c r="H23" s="50">
        <v>32.0</v>
      </c>
      <c r="I23" s="50">
        <v>9.0</v>
      </c>
      <c r="J23" s="50" t="s">
        <v>45</v>
      </c>
      <c r="K23" s="50">
        <v>12.0</v>
      </c>
      <c r="L23" s="50" t="s">
        <v>45</v>
      </c>
      <c r="M23" s="50">
        <v>0.0</v>
      </c>
      <c r="N23" s="50">
        <v>0.0</v>
      </c>
      <c r="O23" s="50">
        <v>0.0</v>
      </c>
      <c r="P23" s="50">
        <v>0.0</v>
      </c>
      <c r="Q23" s="50">
        <v>15.0</v>
      </c>
      <c r="R23" s="50">
        <v>6.0</v>
      </c>
      <c r="S23" s="50">
        <v>0.0</v>
      </c>
      <c r="T23" s="50" t="s">
        <v>45</v>
      </c>
      <c r="U23" s="50">
        <v>0.0</v>
      </c>
      <c r="V23" s="50">
        <v>0.0</v>
      </c>
      <c r="W23" s="50" t="s">
        <v>45</v>
      </c>
      <c r="X23" s="50" t="s">
        <v>45</v>
      </c>
      <c r="Y23" s="50">
        <v>9.0</v>
      </c>
      <c r="Z23" s="50">
        <v>7.0</v>
      </c>
      <c r="AA23" s="50">
        <v>41.0</v>
      </c>
      <c r="AB23" s="50">
        <v>0.0</v>
      </c>
      <c r="AC23" s="50">
        <v>159.0</v>
      </c>
      <c r="AD23" s="50">
        <v>0.0</v>
      </c>
      <c r="AE23" s="50" t="s">
        <v>45</v>
      </c>
      <c r="AF23" s="50" t="s">
        <v>45</v>
      </c>
      <c r="AG23" s="50" t="s">
        <v>45</v>
      </c>
      <c r="AH23" s="50" t="s">
        <v>45</v>
      </c>
      <c r="AI23" s="50" t="s">
        <v>45</v>
      </c>
      <c r="AJ23" s="50">
        <v>10.0</v>
      </c>
      <c r="AK23" s="50">
        <v>0.0</v>
      </c>
      <c r="AL23" s="50" t="s">
        <v>45</v>
      </c>
      <c r="AM23" s="50">
        <v>0.0</v>
      </c>
      <c r="AN23" s="50">
        <v>19.0</v>
      </c>
      <c r="AO23" s="50" t="s">
        <v>45</v>
      </c>
      <c r="AP23" s="52">
        <v>378.0</v>
      </c>
    </row>
    <row r="24">
      <c r="A24" s="105" t="s">
        <v>181</v>
      </c>
      <c r="B24" s="50">
        <v>0.0</v>
      </c>
      <c r="C24" s="50" t="s">
        <v>45</v>
      </c>
      <c r="D24" s="50" t="s">
        <v>45</v>
      </c>
      <c r="E24" s="50">
        <v>22.0</v>
      </c>
      <c r="F24" s="50" t="s">
        <v>45</v>
      </c>
      <c r="G24" s="50">
        <v>0.0</v>
      </c>
      <c r="H24" s="50">
        <v>18.0</v>
      </c>
      <c r="I24" s="50" t="s">
        <v>45</v>
      </c>
      <c r="J24" s="50" t="s">
        <v>45</v>
      </c>
      <c r="K24" s="50">
        <v>8.0</v>
      </c>
      <c r="L24" s="50">
        <v>0.0</v>
      </c>
      <c r="M24" s="50">
        <v>0.0</v>
      </c>
      <c r="N24" s="50">
        <v>0.0</v>
      </c>
      <c r="O24" s="50">
        <v>0.0</v>
      </c>
      <c r="P24" s="50" t="s">
        <v>45</v>
      </c>
      <c r="Q24" s="50">
        <v>6.0</v>
      </c>
      <c r="R24" s="50">
        <v>7.0</v>
      </c>
      <c r="S24" s="50">
        <v>0.0</v>
      </c>
      <c r="T24" s="50" t="s">
        <v>45</v>
      </c>
      <c r="U24" s="50" t="s">
        <v>45</v>
      </c>
      <c r="V24" s="50">
        <v>0.0</v>
      </c>
      <c r="W24" s="50">
        <v>7.0</v>
      </c>
      <c r="X24" s="50" t="s">
        <v>45</v>
      </c>
      <c r="Y24" s="50" t="s">
        <v>45</v>
      </c>
      <c r="Z24" s="50" t="s">
        <v>45</v>
      </c>
      <c r="AA24" s="50">
        <v>26.0</v>
      </c>
      <c r="AB24" s="50">
        <v>0.0</v>
      </c>
      <c r="AC24" s="50">
        <v>130.0</v>
      </c>
      <c r="AD24" s="50" t="s">
        <v>45</v>
      </c>
      <c r="AE24" s="50" t="s">
        <v>45</v>
      </c>
      <c r="AF24" s="50" t="s">
        <v>45</v>
      </c>
      <c r="AG24" s="50">
        <v>0.0</v>
      </c>
      <c r="AH24" s="50">
        <v>0.0</v>
      </c>
      <c r="AI24" s="50" t="s">
        <v>45</v>
      </c>
      <c r="AJ24" s="50">
        <v>11.0</v>
      </c>
      <c r="AK24" s="50">
        <v>0.0</v>
      </c>
      <c r="AL24" s="50">
        <v>10.0</v>
      </c>
      <c r="AM24" s="50" t="s">
        <v>45</v>
      </c>
      <c r="AN24" s="50">
        <v>16.0</v>
      </c>
      <c r="AO24" s="50">
        <v>5.0</v>
      </c>
      <c r="AP24" s="52">
        <v>295.0</v>
      </c>
    </row>
    <row r="25">
      <c r="A25" s="105" t="s">
        <v>182</v>
      </c>
      <c r="B25" s="50" t="s">
        <v>45</v>
      </c>
      <c r="C25" s="50" t="s">
        <v>45</v>
      </c>
      <c r="D25" s="50" t="s">
        <v>45</v>
      </c>
      <c r="E25" s="50">
        <v>12.0</v>
      </c>
      <c r="F25" s="50" t="s">
        <v>45</v>
      </c>
      <c r="G25" s="50" t="s">
        <v>45</v>
      </c>
      <c r="H25" s="50">
        <v>13.0</v>
      </c>
      <c r="I25" s="50">
        <v>9.0</v>
      </c>
      <c r="J25" s="50" t="s">
        <v>45</v>
      </c>
      <c r="K25" s="50">
        <v>7.0</v>
      </c>
      <c r="L25" s="50">
        <v>0.0</v>
      </c>
      <c r="M25" s="50" t="s">
        <v>45</v>
      </c>
      <c r="N25" s="50" t="s">
        <v>45</v>
      </c>
      <c r="O25" s="50" t="s">
        <v>45</v>
      </c>
      <c r="P25" s="50">
        <v>0.0</v>
      </c>
      <c r="Q25" s="50">
        <v>9.0</v>
      </c>
      <c r="R25" s="50">
        <v>5.0</v>
      </c>
      <c r="S25" s="50">
        <v>0.0</v>
      </c>
      <c r="T25" s="50">
        <v>6.0</v>
      </c>
      <c r="U25" s="50">
        <v>0.0</v>
      </c>
      <c r="V25" s="50">
        <v>0.0</v>
      </c>
      <c r="W25" s="50">
        <v>12.0</v>
      </c>
      <c r="X25" s="50" t="s">
        <v>45</v>
      </c>
      <c r="Y25" s="50">
        <v>12.0</v>
      </c>
      <c r="Z25" s="50" t="s">
        <v>45</v>
      </c>
      <c r="AA25" s="50">
        <v>40.0</v>
      </c>
      <c r="AB25" s="50" t="s">
        <v>45</v>
      </c>
      <c r="AC25" s="50">
        <v>118.0</v>
      </c>
      <c r="AD25" s="50">
        <v>0.0</v>
      </c>
      <c r="AE25" s="50" t="s">
        <v>45</v>
      </c>
      <c r="AF25" s="50" t="s">
        <v>45</v>
      </c>
      <c r="AG25" s="50" t="s">
        <v>45</v>
      </c>
      <c r="AH25" s="50" t="s">
        <v>45</v>
      </c>
      <c r="AI25" s="50" t="s">
        <v>45</v>
      </c>
      <c r="AJ25" s="50">
        <v>10.0</v>
      </c>
      <c r="AK25" s="50" t="s">
        <v>45</v>
      </c>
      <c r="AL25" s="50">
        <v>9.0</v>
      </c>
      <c r="AM25" s="50" t="s">
        <v>45</v>
      </c>
      <c r="AN25" s="50">
        <v>16.0</v>
      </c>
      <c r="AO25" s="50">
        <v>14.0</v>
      </c>
      <c r="AP25" s="52">
        <v>327.0</v>
      </c>
    </row>
    <row r="26">
      <c r="A26" s="105" t="s">
        <v>183</v>
      </c>
      <c r="B26" s="50" t="s">
        <v>45</v>
      </c>
      <c r="C26" s="50" t="s">
        <v>45</v>
      </c>
      <c r="D26" s="50" t="s">
        <v>45</v>
      </c>
      <c r="E26" s="50">
        <v>6.0</v>
      </c>
      <c r="F26" s="50" t="s">
        <v>45</v>
      </c>
      <c r="G26" s="50">
        <v>9.0</v>
      </c>
      <c r="H26" s="50">
        <v>32.0</v>
      </c>
      <c r="I26" s="50" t="s">
        <v>45</v>
      </c>
      <c r="J26" s="50" t="s">
        <v>45</v>
      </c>
      <c r="K26" s="50">
        <v>6.0</v>
      </c>
      <c r="L26" s="50">
        <v>0.0</v>
      </c>
      <c r="M26" s="50" t="s">
        <v>45</v>
      </c>
      <c r="N26" s="50" t="s">
        <v>45</v>
      </c>
      <c r="O26" s="50">
        <v>0.0</v>
      </c>
      <c r="P26" s="50" t="s">
        <v>45</v>
      </c>
      <c r="Q26" s="50">
        <v>9.0</v>
      </c>
      <c r="R26" s="50" t="s">
        <v>45</v>
      </c>
      <c r="S26" s="50" t="s">
        <v>45</v>
      </c>
      <c r="T26" s="50">
        <v>5.0</v>
      </c>
      <c r="U26" s="50">
        <v>0.0</v>
      </c>
      <c r="V26" s="50">
        <v>0.0</v>
      </c>
      <c r="W26" s="50">
        <v>9.0</v>
      </c>
      <c r="X26" s="50" t="s">
        <v>45</v>
      </c>
      <c r="Y26" s="50">
        <v>10.0</v>
      </c>
      <c r="Z26" s="50" t="s">
        <v>45</v>
      </c>
      <c r="AA26" s="50">
        <v>13.0</v>
      </c>
      <c r="AB26" s="50" t="s">
        <v>45</v>
      </c>
      <c r="AC26" s="50">
        <v>84.0</v>
      </c>
      <c r="AD26" s="50">
        <v>0.0</v>
      </c>
      <c r="AE26" s="50" t="s">
        <v>45</v>
      </c>
      <c r="AF26" s="50">
        <v>5.0</v>
      </c>
      <c r="AG26" s="50">
        <v>0.0</v>
      </c>
      <c r="AH26" s="50" t="s">
        <v>45</v>
      </c>
      <c r="AI26" s="50" t="s">
        <v>45</v>
      </c>
      <c r="AJ26" s="50">
        <v>10.0</v>
      </c>
      <c r="AK26" s="50">
        <v>0.0</v>
      </c>
      <c r="AL26" s="50">
        <v>8.0</v>
      </c>
      <c r="AM26" s="50">
        <v>5.0</v>
      </c>
      <c r="AN26" s="50">
        <v>7.0</v>
      </c>
      <c r="AO26" s="50">
        <v>9.0</v>
      </c>
      <c r="AP26" s="52">
        <v>259.0</v>
      </c>
    </row>
    <row r="27">
      <c r="A27" s="105" t="s">
        <v>184</v>
      </c>
      <c r="B27" s="50" t="s">
        <v>45</v>
      </c>
      <c r="C27" s="50">
        <v>7.0</v>
      </c>
      <c r="D27" s="50" t="s">
        <v>45</v>
      </c>
      <c r="E27" s="50">
        <v>15.0</v>
      </c>
      <c r="F27" s="50" t="s">
        <v>45</v>
      </c>
      <c r="G27" s="50">
        <v>9.0</v>
      </c>
      <c r="H27" s="50">
        <v>24.0</v>
      </c>
      <c r="I27" s="50" t="s">
        <v>45</v>
      </c>
      <c r="J27" s="50">
        <v>7.0</v>
      </c>
      <c r="K27" s="50">
        <v>7.0</v>
      </c>
      <c r="L27" s="50">
        <v>0.0</v>
      </c>
      <c r="M27" s="50">
        <v>0.0</v>
      </c>
      <c r="N27" s="50" t="s">
        <v>45</v>
      </c>
      <c r="O27" s="50" t="s">
        <v>45</v>
      </c>
      <c r="P27" s="50" t="s">
        <v>45</v>
      </c>
      <c r="Q27" s="50">
        <v>6.0</v>
      </c>
      <c r="R27" s="50">
        <v>6.0</v>
      </c>
      <c r="S27" s="50">
        <v>0.0</v>
      </c>
      <c r="T27" s="50">
        <v>8.0</v>
      </c>
      <c r="U27" s="50" t="s">
        <v>45</v>
      </c>
      <c r="V27" s="50" t="s">
        <v>45</v>
      </c>
      <c r="W27" s="50">
        <v>11.0</v>
      </c>
      <c r="X27" s="50">
        <v>0.0</v>
      </c>
      <c r="Y27" s="50">
        <v>16.0</v>
      </c>
      <c r="Z27" s="50">
        <v>5.0</v>
      </c>
      <c r="AA27" s="50">
        <v>28.0</v>
      </c>
      <c r="AB27" s="50" t="s">
        <v>45</v>
      </c>
      <c r="AC27" s="50">
        <v>102.0</v>
      </c>
      <c r="AD27" s="50">
        <v>0.0</v>
      </c>
      <c r="AE27" s="50" t="s">
        <v>45</v>
      </c>
      <c r="AF27" s="50">
        <v>5.0</v>
      </c>
      <c r="AG27" s="50" t="s">
        <v>45</v>
      </c>
      <c r="AH27" s="50" t="s">
        <v>45</v>
      </c>
      <c r="AI27" s="50" t="s">
        <v>45</v>
      </c>
      <c r="AJ27" s="50">
        <v>17.0</v>
      </c>
      <c r="AK27" s="50" t="s">
        <v>45</v>
      </c>
      <c r="AL27" s="50">
        <v>13.0</v>
      </c>
      <c r="AM27" s="50" t="s">
        <v>45</v>
      </c>
      <c r="AN27" s="50">
        <v>12.0</v>
      </c>
      <c r="AO27" s="50">
        <v>6.0</v>
      </c>
      <c r="AP27" s="52">
        <v>336.0</v>
      </c>
    </row>
    <row r="28">
      <c r="A28" s="105" t="s">
        <v>185</v>
      </c>
      <c r="B28" s="50" t="s">
        <v>45</v>
      </c>
      <c r="C28" s="50">
        <v>7.0</v>
      </c>
      <c r="D28" s="50" t="s">
        <v>45</v>
      </c>
      <c r="E28" s="50">
        <v>22.0</v>
      </c>
      <c r="F28" s="50" t="s">
        <v>45</v>
      </c>
      <c r="G28" s="50" t="s">
        <v>45</v>
      </c>
      <c r="H28" s="50">
        <v>35.0</v>
      </c>
      <c r="I28" s="50">
        <v>11.0</v>
      </c>
      <c r="J28" s="50" t="s">
        <v>45</v>
      </c>
      <c r="K28" s="50">
        <v>15.0</v>
      </c>
      <c r="L28" s="50">
        <v>0.0</v>
      </c>
      <c r="M28" s="50">
        <v>0.0</v>
      </c>
      <c r="N28" s="50">
        <v>0.0</v>
      </c>
      <c r="O28" s="50">
        <v>0.0</v>
      </c>
      <c r="P28" s="50">
        <v>0.0</v>
      </c>
      <c r="Q28" s="50">
        <v>11.0</v>
      </c>
      <c r="R28" s="50">
        <v>5.0</v>
      </c>
      <c r="S28" s="50" t="s">
        <v>45</v>
      </c>
      <c r="T28" s="50" t="s">
        <v>45</v>
      </c>
      <c r="U28" s="50" t="s">
        <v>45</v>
      </c>
      <c r="V28" s="50">
        <v>0.0</v>
      </c>
      <c r="W28" s="50" t="s">
        <v>45</v>
      </c>
      <c r="X28" s="50" t="s">
        <v>45</v>
      </c>
      <c r="Y28" s="50">
        <v>14.0</v>
      </c>
      <c r="Z28" s="50" t="s">
        <v>45</v>
      </c>
      <c r="AA28" s="50">
        <v>57.0</v>
      </c>
      <c r="AB28" s="50" t="s">
        <v>45</v>
      </c>
      <c r="AC28" s="50">
        <v>120.0</v>
      </c>
      <c r="AD28" s="50">
        <v>0.0</v>
      </c>
      <c r="AE28" s="50" t="s">
        <v>45</v>
      </c>
      <c r="AF28" s="50">
        <v>13.0</v>
      </c>
      <c r="AG28" s="50">
        <v>0.0</v>
      </c>
      <c r="AH28" s="50" t="s">
        <v>45</v>
      </c>
      <c r="AI28" s="50" t="s">
        <v>45</v>
      </c>
      <c r="AJ28" s="50">
        <v>20.0</v>
      </c>
      <c r="AK28" s="50">
        <v>0.0</v>
      </c>
      <c r="AL28" s="50">
        <v>9.0</v>
      </c>
      <c r="AM28" s="50" t="s">
        <v>45</v>
      </c>
      <c r="AN28" s="50">
        <v>16.0</v>
      </c>
      <c r="AO28" s="50">
        <v>17.0</v>
      </c>
      <c r="AP28" s="52">
        <v>413.0</v>
      </c>
    </row>
    <row r="29">
      <c r="A29" s="105" t="s">
        <v>186</v>
      </c>
      <c r="B29" s="50">
        <v>0.0</v>
      </c>
      <c r="C29" s="50">
        <v>8.0</v>
      </c>
      <c r="D29" s="50" t="s">
        <v>45</v>
      </c>
      <c r="E29" s="50">
        <v>35.0</v>
      </c>
      <c r="F29" s="50" t="s">
        <v>45</v>
      </c>
      <c r="G29" s="50">
        <v>11.0</v>
      </c>
      <c r="H29" s="50">
        <v>43.0</v>
      </c>
      <c r="I29" s="50">
        <v>10.0</v>
      </c>
      <c r="J29" s="50">
        <v>6.0</v>
      </c>
      <c r="K29" s="50">
        <v>19.0</v>
      </c>
      <c r="L29" s="50" t="s">
        <v>45</v>
      </c>
      <c r="M29" s="50">
        <v>0.0</v>
      </c>
      <c r="N29" s="50" t="s">
        <v>45</v>
      </c>
      <c r="O29" s="50" t="s">
        <v>45</v>
      </c>
      <c r="P29" s="50" t="s">
        <v>45</v>
      </c>
      <c r="Q29" s="50">
        <v>19.0</v>
      </c>
      <c r="R29" s="50">
        <v>5.0</v>
      </c>
      <c r="S29" s="50">
        <v>0.0</v>
      </c>
      <c r="T29" s="50" t="s">
        <v>45</v>
      </c>
      <c r="U29" s="50" t="s">
        <v>45</v>
      </c>
      <c r="V29" s="50" t="s">
        <v>45</v>
      </c>
      <c r="W29" s="50">
        <v>8.0</v>
      </c>
      <c r="X29" s="50">
        <v>6.0</v>
      </c>
      <c r="Y29" s="50">
        <v>33.0</v>
      </c>
      <c r="Z29" s="50" t="s">
        <v>45</v>
      </c>
      <c r="AA29" s="50">
        <v>92.0</v>
      </c>
      <c r="AB29" s="50" t="s">
        <v>45</v>
      </c>
      <c r="AC29" s="50">
        <v>170.0</v>
      </c>
      <c r="AD29" s="50">
        <v>0.0</v>
      </c>
      <c r="AE29" s="50" t="s">
        <v>45</v>
      </c>
      <c r="AF29" s="50">
        <v>9.0</v>
      </c>
      <c r="AG29" s="50">
        <v>0.0</v>
      </c>
      <c r="AH29" s="50" t="s">
        <v>45</v>
      </c>
      <c r="AI29" s="50">
        <v>9.0</v>
      </c>
      <c r="AJ29" s="50">
        <v>34.0</v>
      </c>
      <c r="AK29" s="50" t="s">
        <v>45</v>
      </c>
      <c r="AL29" s="50">
        <v>10.0</v>
      </c>
      <c r="AM29" s="50" t="s">
        <v>45</v>
      </c>
      <c r="AN29" s="50">
        <v>17.0</v>
      </c>
      <c r="AO29" s="50">
        <v>37.0</v>
      </c>
      <c r="AP29" s="52">
        <v>612.0</v>
      </c>
    </row>
    <row r="30">
      <c r="A30" s="107" t="s">
        <v>187</v>
      </c>
      <c r="B30" s="50" t="s">
        <v>45</v>
      </c>
      <c r="C30" s="50">
        <v>5.0</v>
      </c>
      <c r="D30" s="50">
        <v>7.0</v>
      </c>
      <c r="E30" s="108">
        <v>37.0</v>
      </c>
      <c r="F30" s="50" t="s">
        <v>45</v>
      </c>
      <c r="G30" s="50">
        <v>7.0</v>
      </c>
      <c r="H30" s="108">
        <v>76.0</v>
      </c>
      <c r="I30" s="50">
        <v>10.0</v>
      </c>
      <c r="J30" s="50">
        <v>7.0</v>
      </c>
      <c r="K30" s="50">
        <v>14.0</v>
      </c>
      <c r="L30" s="50" t="s">
        <v>45</v>
      </c>
      <c r="M30" s="50" t="s">
        <v>45</v>
      </c>
      <c r="N30" s="50" t="s">
        <v>45</v>
      </c>
      <c r="O30" s="50">
        <v>0.0</v>
      </c>
      <c r="P30" s="50" t="s">
        <v>45</v>
      </c>
      <c r="Q30" s="50">
        <v>10.0</v>
      </c>
      <c r="R30" s="50">
        <v>13.0</v>
      </c>
      <c r="S30" s="50">
        <v>0.0</v>
      </c>
      <c r="T30" s="50">
        <v>6.0</v>
      </c>
      <c r="U30" s="50">
        <v>0.0</v>
      </c>
      <c r="V30" s="50" t="s">
        <v>45</v>
      </c>
      <c r="W30" s="50">
        <v>7.0</v>
      </c>
      <c r="X30" s="50">
        <v>5.0</v>
      </c>
      <c r="Y30" s="50">
        <v>34.0</v>
      </c>
      <c r="Z30" s="50" t="s">
        <v>45</v>
      </c>
      <c r="AA30" s="108">
        <v>104.0</v>
      </c>
      <c r="AB30" s="50">
        <v>0.0</v>
      </c>
      <c r="AC30" s="108">
        <v>190.0</v>
      </c>
      <c r="AD30" s="50" t="s">
        <v>45</v>
      </c>
      <c r="AE30" s="50" t="s">
        <v>45</v>
      </c>
      <c r="AF30" s="50" t="s">
        <v>45</v>
      </c>
      <c r="AG30" s="50" t="s">
        <v>45</v>
      </c>
      <c r="AH30" s="50" t="s">
        <v>45</v>
      </c>
      <c r="AI30" s="50" t="s">
        <v>45</v>
      </c>
      <c r="AJ30" s="50">
        <v>36.0</v>
      </c>
      <c r="AK30" s="50" t="s">
        <v>45</v>
      </c>
      <c r="AL30" s="50">
        <v>21.0</v>
      </c>
      <c r="AM30" s="50" t="s">
        <v>45</v>
      </c>
      <c r="AN30" s="50">
        <v>20.0</v>
      </c>
      <c r="AO30" s="50">
        <v>31.0</v>
      </c>
      <c r="AP30" s="106">
        <v>670.0</v>
      </c>
    </row>
    <row r="31">
      <c r="A31" s="109" t="s">
        <v>188</v>
      </c>
      <c r="B31" s="50" t="s">
        <v>45</v>
      </c>
      <c r="C31" s="50">
        <v>6.0</v>
      </c>
      <c r="D31" s="50" t="s">
        <v>45</v>
      </c>
      <c r="E31" s="108">
        <v>38.0</v>
      </c>
      <c r="F31" s="50">
        <v>0.0</v>
      </c>
      <c r="G31" s="50">
        <v>8.0</v>
      </c>
      <c r="H31" s="108">
        <v>91.0</v>
      </c>
      <c r="I31" s="50">
        <v>11.0</v>
      </c>
      <c r="J31" s="50" t="s">
        <v>45</v>
      </c>
      <c r="K31" s="50">
        <v>18.0</v>
      </c>
      <c r="L31" s="50" t="s">
        <v>45</v>
      </c>
      <c r="M31" s="50" t="s">
        <v>45</v>
      </c>
      <c r="N31" s="50" t="s">
        <v>45</v>
      </c>
      <c r="O31" s="50">
        <v>0.0</v>
      </c>
      <c r="P31" s="50">
        <v>0.0</v>
      </c>
      <c r="Q31" s="50">
        <v>15.0</v>
      </c>
      <c r="R31" s="50">
        <v>12.0</v>
      </c>
      <c r="S31" s="50">
        <v>0.0</v>
      </c>
      <c r="T31" s="50" t="s">
        <v>45</v>
      </c>
      <c r="U31" s="50" t="s">
        <v>45</v>
      </c>
      <c r="V31" s="50" t="s">
        <v>45</v>
      </c>
      <c r="W31" s="50">
        <v>5.0</v>
      </c>
      <c r="X31" s="50">
        <v>5.0</v>
      </c>
      <c r="Y31" s="50">
        <v>26.0</v>
      </c>
      <c r="Z31" s="50" t="s">
        <v>45</v>
      </c>
      <c r="AA31" s="108">
        <v>83.0</v>
      </c>
      <c r="AB31" s="50" t="s">
        <v>45</v>
      </c>
      <c r="AC31" s="108">
        <v>218.0</v>
      </c>
      <c r="AD31" s="50" t="s">
        <v>45</v>
      </c>
      <c r="AE31" s="50" t="s">
        <v>45</v>
      </c>
      <c r="AF31" s="50">
        <v>7.0</v>
      </c>
      <c r="AG31" s="50">
        <v>0.0</v>
      </c>
      <c r="AH31" s="50">
        <v>0.0</v>
      </c>
      <c r="AI31" s="50">
        <v>0.0</v>
      </c>
      <c r="AJ31" s="50">
        <v>27.0</v>
      </c>
      <c r="AK31" s="50">
        <v>0.0</v>
      </c>
      <c r="AL31" s="50">
        <v>10.0</v>
      </c>
      <c r="AM31" s="50">
        <v>5.0</v>
      </c>
      <c r="AN31" s="50">
        <v>21.0</v>
      </c>
      <c r="AO31" s="50">
        <v>27.0</v>
      </c>
      <c r="AP31" s="106">
        <v>659.0</v>
      </c>
    </row>
    <row r="32">
      <c r="A32" s="109" t="s">
        <v>189</v>
      </c>
      <c r="B32" s="110" t="s">
        <v>45</v>
      </c>
      <c r="C32" s="110">
        <v>5.0</v>
      </c>
      <c r="D32" s="110" t="s">
        <v>45</v>
      </c>
      <c r="E32" s="111">
        <v>34.0</v>
      </c>
      <c r="F32" s="110" t="s">
        <v>45</v>
      </c>
      <c r="G32" s="110">
        <v>6.0</v>
      </c>
      <c r="H32" s="111">
        <v>33.0</v>
      </c>
      <c r="I32" s="110">
        <v>15.0</v>
      </c>
      <c r="J32" s="110">
        <v>6.0</v>
      </c>
      <c r="K32" s="110">
        <v>13.0</v>
      </c>
      <c r="L32" s="110" t="s">
        <v>45</v>
      </c>
      <c r="M32" s="110" t="s">
        <v>45</v>
      </c>
      <c r="N32" s="110" t="s">
        <v>45</v>
      </c>
      <c r="O32" s="110">
        <v>0.0</v>
      </c>
      <c r="P32" s="110" t="s">
        <v>45</v>
      </c>
      <c r="Q32" s="110">
        <v>10.0</v>
      </c>
      <c r="R32" s="110">
        <v>6.0</v>
      </c>
      <c r="S32" s="110">
        <v>0.0</v>
      </c>
      <c r="T32" s="110">
        <v>0.0</v>
      </c>
      <c r="U32" s="110">
        <v>18.0</v>
      </c>
      <c r="V32" s="110" t="s">
        <v>45</v>
      </c>
      <c r="W32" s="110" t="s">
        <v>45</v>
      </c>
      <c r="X32" s="110">
        <v>8.0</v>
      </c>
      <c r="Y32" s="110">
        <v>19.0</v>
      </c>
      <c r="Z32" s="110">
        <v>0.0</v>
      </c>
      <c r="AA32" s="111">
        <v>55.0</v>
      </c>
      <c r="AB32" s="110" t="s">
        <v>45</v>
      </c>
      <c r="AC32" s="111">
        <v>222.0</v>
      </c>
      <c r="AD32" s="110" t="s">
        <v>45</v>
      </c>
      <c r="AE32" s="110" t="s">
        <v>45</v>
      </c>
      <c r="AF32" s="110">
        <v>10.0</v>
      </c>
      <c r="AG32" s="110">
        <v>14.0</v>
      </c>
      <c r="AH32" s="110" t="s">
        <v>45</v>
      </c>
      <c r="AI32" s="110">
        <v>0.0</v>
      </c>
      <c r="AJ32" s="110">
        <v>20.0</v>
      </c>
      <c r="AK32" s="110">
        <v>0.0</v>
      </c>
      <c r="AL32" s="110">
        <v>14.0</v>
      </c>
      <c r="AM32" s="110">
        <v>0.0</v>
      </c>
      <c r="AN32" s="110">
        <v>19.0</v>
      </c>
      <c r="AO32" s="110">
        <v>16.0</v>
      </c>
      <c r="AP32" s="112">
        <v>571.0</v>
      </c>
    </row>
    <row r="33">
      <c r="A33" s="109" t="s">
        <v>190</v>
      </c>
      <c r="B33" s="110">
        <v>0.0</v>
      </c>
      <c r="C33" s="110">
        <v>15.0</v>
      </c>
      <c r="D33" s="110" t="s">
        <v>45</v>
      </c>
      <c r="E33" s="111">
        <v>35.0</v>
      </c>
      <c r="F33" s="110">
        <v>0.0</v>
      </c>
      <c r="G33" s="110">
        <v>9.0</v>
      </c>
      <c r="H33" s="111">
        <v>51.0</v>
      </c>
      <c r="I33" s="110">
        <v>21.0</v>
      </c>
      <c r="J33" s="110">
        <v>9.0</v>
      </c>
      <c r="K33" s="110">
        <v>13.0</v>
      </c>
      <c r="L33" s="110" t="s">
        <v>45</v>
      </c>
      <c r="M33" s="110" t="s">
        <v>45</v>
      </c>
      <c r="N33" s="110" t="s">
        <v>45</v>
      </c>
      <c r="O33" s="110" t="s">
        <v>45</v>
      </c>
      <c r="P33" s="110" t="s">
        <v>45</v>
      </c>
      <c r="Q33" s="110">
        <v>22.0</v>
      </c>
      <c r="R33" s="110">
        <v>9.0</v>
      </c>
      <c r="S33" s="110">
        <v>0.0</v>
      </c>
      <c r="T33" s="110">
        <v>5.0</v>
      </c>
      <c r="U33" s="110">
        <v>9.0</v>
      </c>
      <c r="V33" s="110">
        <v>0.0</v>
      </c>
      <c r="W33" s="110" t="s">
        <v>45</v>
      </c>
      <c r="X33" s="110">
        <v>14.0</v>
      </c>
      <c r="Y33" s="110">
        <v>19.0</v>
      </c>
      <c r="Z33" s="110" t="s">
        <v>45</v>
      </c>
      <c r="AA33" s="111">
        <v>54.0</v>
      </c>
      <c r="AB33" s="110" t="s">
        <v>45</v>
      </c>
      <c r="AC33" s="111">
        <v>218.0</v>
      </c>
      <c r="AD33" s="110">
        <v>0.0</v>
      </c>
      <c r="AE33" s="110" t="s">
        <v>45</v>
      </c>
      <c r="AF33" s="110">
        <v>8.0</v>
      </c>
      <c r="AG33" s="110" t="s">
        <v>45</v>
      </c>
      <c r="AH33" s="110">
        <v>7.0</v>
      </c>
      <c r="AI33" s="110" t="s">
        <v>45</v>
      </c>
      <c r="AJ33" s="110">
        <v>36.0</v>
      </c>
      <c r="AK33" s="110" t="s">
        <v>45</v>
      </c>
      <c r="AL33" s="110" t="s">
        <v>45</v>
      </c>
      <c r="AM33" s="110" t="s">
        <v>45</v>
      </c>
      <c r="AN33" s="110">
        <v>16.0</v>
      </c>
      <c r="AO33" s="110">
        <v>31.0</v>
      </c>
      <c r="AP33" s="112">
        <v>632.0</v>
      </c>
    </row>
    <row r="34">
      <c r="A34" s="109" t="s">
        <v>191</v>
      </c>
      <c r="B34" s="110" t="s">
        <v>45</v>
      </c>
      <c r="C34" s="110">
        <v>7.0</v>
      </c>
      <c r="D34" s="110" t="s">
        <v>45</v>
      </c>
      <c r="E34" s="111">
        <v>22.0</v>
      </c>
      <c r="F34" s="110" t="s">
        <v>45</v>
      </c>
      <c r="G34" s="110">
        <v>9.0</v>
      </c>
      <c r="H34" s="111">
        <v>43.0</v>
      </c>
      <c r="I34" s="110">
        <v>12.0</v>
      </c>
      <c r="J34" s="110">
        <v>8.0</v>
      </c>
      <c r="K34" s="110">
        <v>5.0</v>
      </c>
      <c r="L34" s="110">
        <v>0.0</v>
      </c>
      <c r="M34" s="110" t="s">
        <v>45</v>
      </c>
      <c r="N34" s="110" t="s">
        <v>45</v>
      </c>
      <c r="O34" s="110" t="s">
        <v>45</v>
      </c>
      <c r="P34" s="110">
        <v>0.0</v>
      </c>
      <c r="Q34" s="110">
        <v>14.0</v>
      </c>
      <c r="R34" s="110">
        <v>8.0</v>
      </c>
      <c r="S34" s="110">
        <v>0.0</v>
      </c>
      <c r="T34" s="110" t="s">
        <v>45</v>
      </c>
      <c r="U34" s="110">
        <v>6.0</v>
      </c>
      <c r="V34" s="110">
        <v>0.0</v>
      </c>
      <c r="W34" s="110">
        <v>5.0</v>
      </c>
      <c r="X34" s="110">
        <v>7.0</v>
      </c>
      <c r="Y34" s="110">
        <v>16.0</v>
      </c>
      <c r="Z34" s="110" t="s">
        <v>45</v>
      </c>
      <c r="AA34" s="111">
        <v>38.0</v>
      </c>
      <c r="AB34" s="110">
        <v>5.0</v>
      </c>
      <c r="AC34" s="111">
        <v>190.0</v>
      </c>
      <c r="AD34" s="110" t="s">
        <v>45</v>
      </c>
      <c r="AE34" s="110" t="s">
        <v>45</v>
      </c>
      <c r="AF34" s="110">
        <v>8.0</v>
      </c>
      <c r="AG34" s="110" t="s">
        <v>45</v>
      </c>
      <c r="AH34" s="110">
        <v>5.0</v>
      </c>
      <c r="AI34" s="110" t="s">
        <v>45</v>
      </c>
      <c r="AJ34" s="110">
        <v>14.0</v>
      </c>
      <c r="AK34" s="110" t="s">
        <v>45</v>
      </c>
      <c r="AL34" s="110">
        <v>6.0</v>
      </c>
      <c r="AM34" s="110" t="s">
        <v>45</v>
      </c>
      <c r="AN34" s="110">
        <v>18.0</v>
      </c>
      <c r="AO34" s="110">
        <v>25.0</v>
      </c>
      <c r="AP34" s="112">
        <v>492.0</v>
      </c>
    </row>
    <row r="35">
      <c r="A35" s="109" t="s">
        <v>192</v>
      </c>
      <c r="B35" s="110" t="s">
        <v>45</v>
      </c>
      <c r="C35" s="110" t="s">
        <v>45</v>
      </c>
      <c r="D35" s="110" t="s">
        <v>45</v>
      </c>
      <c r="E35" s="111">
        <v>5.0</v>
      </c>
      <c r="F35" s="110">
        <v>0.0</v>
      </c>
      <c r="G35" s="110" t="s">
        <v>45</v>
      </c>
      <c r="H35" s="111">
        <v>36.0</v>
      </c>
      <c r="I35" s="110">
        <v>14.0</v>
      </c>
      <c r="J35" s="110">
        <v>0.0</v>
      </c>
      <c r="K35" s="110">
        <v>10.0</v>
      </c>
      <c r="L35" s="110">
        <v>0.0</v>
      </c>
      <c r="M35" s="110" t="s">
        <v>45</v>
      </c>
      <c r="N35" s="110" t="s">
        <v>45</v>
      </c>
      <c r="O35" s="110">
        <v>0.0</v>
      </c>
      <c r="P35" s="110" t="s">
        <v>45</v>
      </c>
      <c r="Q35" s="110">
        <v>14.0</v>
      </c>
      <c r="R35" s="110">
        <v>6.0</v>
      </c>
      <c r="S35" s="110">
        <v>0.0</v>
      </c>
      <c r="T35" s="110" t="s">
        <v>45</v>
      </c>
      <c r="U35" s="110" t="s">
        <v>45</v>
      </c>
      <c r="V35" s="110">
        <v>0.0</v>
      </c>
      <c r="W35" s="110">
        <v>6.0</v>
      </c>
      <c r="X35" s="110">
        <v>6.0</v>
      </c>
      <c r="Y35" s="110">
        <v>28.0</v>
      </c>
      <c r="Z35" s="110" t="s">
        <v>45</v>
      </c>
      <c r="AA35" s="111">
        <v>38.0</v>
      </c>
      <c r="AB35" s="110" t="s">
        <v>45</v>
      </c>
      <c r="AC35" s="111">
        <v>178.0</v>
      </c>
      <c r="AD35" s="110">
        <v>0.0</v>
      </c>
      <c r="AE35" s="110" t="s">
        <v>45</v>
      </c>
      <c r="AF35" s="110">
        <v>6.0</v>
      </c>
      <c r="AG35" s="110">
        <v>0.0</v>
      </c>
      <c r="AH35" s="110">
        <v>6.0</v>
      </c>
      <c r="AI35" s="110" t="s">
        <v>45</v>
      </c>
      <c r="AJ35" s="110">
        <v>26.0</v>
      </c>
      <c r="AK35" s="110">
        <v>0.0</v>
      </c>
      <c r="AL35" s="110" t="s">
        <v>45</v>
      </c>
      <c r="AM35" s="110" t="s">
        <v>45</v>
      </c>
      <c r="AN35" s="110">
        <v>12.0</v>
      </c>
      <c r="AO35" s="110">
        <v>20.0</v>
      </c>
      <c r="AP35" s="112">
        <v>448.0</v>
      </c>
    </row>
    <row r="36">
      <c r="A36" s="109" t="s">
        <v>193</v>
      </c>
      <c r="B36" s="110">
        <v>5.0</v>
      </c>
      <c r="C36" s="110">
        <v>10.0</v>
      </c>
      <c r="D36" s="110">
        <v>7.0</v>
      </c>
      <c r="E36" s="111">
        <v>18.0</v>
      </c>
      <c r="F36" s="110" t="s">
        <v>45</v>
      </c>
      <c r="G36" s="110">
        <v>5.0</v>
      </c>
      <c r="H36" s="111">
        <v>30.0</v>
      </c>
      <c r="I36" s="110">
        <v>28.0</v>
      </c>
      <c r="J36" s="110" t="s">
        <v>45</v>
      </c>
      <c r="K36" s="110">
        <v>15.0</v>
      </c>
      <c r="L36" s="110">
        <v>0.0</v>
      </c>
      <c r="M36" s="110" t="s">
        <v>45</v>
      </c>
      <c r="N36" s="110">
        <v>0.0</v>
      </c>
      <c r="O36" s="110">
        <v>0.0</v>
      </c>
      <c r="P36" s="110">
        <v>0.0</v>
      </c>
      <c r="Q36" s="110">
        <v>9.0</v>
      </c>
      <c r="R36" s="110" t="s">
        <v>45</v>
      </c>
      <c r="S36" s="110">
        <v>0.0</v>
      </c>
      <c r="T36" s="110" t="s">
        <v>45</v>
      </c>
      <c r="U36" s="110">
        <v>5.0</v>
      </c>
      <c r="V36" s="110">
        <v>0.0</v>
      </c>
      <c r="W36" s="110">
        <v>13.0</v>
      </c>
      <c r="X36" s="110">
        <v>7.0</v>
      </c>
      <c r="Y36" s="110">
        <v>12.0</v>
      </c>
      <c r="Z36" s="110" t="s">
        <v>45</v>
      </c>
      <c r="AA36" s="111">
        <v>56.0</v>
      </c>
      <c r="AB36" s="110" t="s">
        <v>45</v>
      </c>
      <c r="AC36" s="111">
        <v>146.0</v>
      </c>
      <c r="AD36" s="110">
        <v>0.0</v>
      </c>
      <c r="AE36" s="110" t="s">
        <v>45</v>
      </c>
      <c r="AF36" s="110">
        <v>6.0</v>
      </c>
      <c r="AG36" s="110" t="s">
        <v>45</v>
      </c>
      <c r="AH36" s="110" t="s">
        <v>45</v>
      </c>
      <c r="AI36" s="110">
        <v>0.0</v>
      </c>
      <c r="AJ36" s="110">
        <v>22.0</v>
      </c>
      <c r="AK36" s="110" t="s">
        <v>45</v>
      </c>
      <c r="AL36" s="110">
        <v>11.0</v>
      </c>
      <c r="AM36" s="110">
        <v>5.0</v>
      </c>
      <c r="AN36" s="110">
        <v>16.0</v>
      </c>
      <c r="AO36" s="110">
        <v>12.0</v>
      </c>
      <c r="AP36" s="112">
        <v>460.0</v>
      </c>
    </row>
    <row r="37">
      <c r="A37" s="109" t="s">
        <v>194</v>
      </c>
      <c r="B37" s="110" t="s">
        <v>45</v>
      </c>
      <c r="C37" s="110">
        <v>6.0</v>
      </c>
      <c r="D37" s="110">
        <v>10.0</v>
      </c>
      <c r="E37" s="111">
        <v>22.0</v>
      </c>
      <c r="F37" s="110" t="s">
        <v>45</v>
      </c>
      <c r="G37" s="110">
        <v>21.0</v>
      </c>
      <c r="H37" s="111">
        <v>38.0</v>
      </c>
      <c r="I37" s="110">
        <v>14.0</v>
      </c>
      <c r="J37" s="110" t="s">
        <v>45</v>
      </c>
      <c r="K37" s="110">
        <v>8.0</v>
      </c>
      <c r="L37" s="110" t="s">
        <v>45</v>
      </c>
      <c r="M37" s="110">
        <v>0.0</v>
      </c>
      <c r="N37" s="110">
        <v>0.0</v>
      </c>
      <c r="O37" s="110">
        <v>0.0</v>
      </c>
      <c r="P37" s="110" t="s">
        <v>45</v>
      </c>
      <c r="Q37" s="110">
        <v>21.0</v>
      </c>
      <c r="R37" s="110">
        <v>5.0</v>
      </c>
      <c r="S37" s="110">
        <v>0.0</v>
      </c>
      <c r="T37" s="110">
        <v>0.0</v>
      </c>
      <c r="U37" s="110">
        <v>29.0</v>
      </c>
      <c r="V37" s="110">
        <v>0.0</v>
      </c>
      <c r="W37" s="110">
        <v>6.0</v>
      </c>
      <c r="X37" s="110">
        <v>5.0</v>
      </c>
      <c r="Y37" s="110">
        <v>17.0</v>
      </c>
      <c r="Z37" s="110">
        <v>7.0</v>
      </c>
      <c r="AA37" s="111">
        <v>39.0</v>
      </c>
      <c r="AB37" s="110" t="s">
        <v>45</v>
      </c>
      <c r="AC37" s="111">
        <v>275.0</v>
      </c>
      <c r="AD37" s="110">
        <v>0.0</v>
      </c>
      <c r="AE37" s="110" t="s">
        <v>45</v>
      </c>
      <c r="AF37" s="110">
        <v>9.0</v>
      </c>
      <c r="AG37" s="110">
        <v>6.0</v>
      </c>
      <c r="AH37" s="110">
        <v>5.0</v>
      </c>
      <c r="AI37" s="110" t="s">
        <v>45</v>
      </c>
      <c r="AJ37" s="110">
        <v>32.0</v>
      </c>
      <c r="AK37" s="110" t="s">
        <v>45</v>
      </c>
      <c r="AL37" s="110">
        <v>10.0</v>
      </c>
      <c r="AM37" s="110">
        <v>8.0</v>
      </c>
      <c r="AN37" s="110">
        <v>15.0</v>
      </c>
      <c r="AO37" s="110">
        <v>23.0</v>
      </c>
      <c r="AP37" s="112">
        <v>649.0</v>
      </c>
    </row>
    <row r="38">
      <c r="A38" s="109" t="s">
        <v>195</v>
      </c>
      <c r="B38" s="110" t="s">
        <v>45</v>
      </c>
      <c r="C38" s="110" t="s">
        <v>45</v>
      </c>
      <c r="D38" s="110">
        <v>7.0</v>
      </c>
      <c r="E38" s="111">
        <v>35.0</v>
      </c>
      <c r="F38" s="110" t="s">
        <v>45</v>
      </c>
      <c r="G38" s="110">
        <v>6.0</v>
      </c>
      <c r="H38" s="111">
        <v>43.0</v>
      </c>
      <c r="I38" s="110">
        <v>13.0</v>
      </c>
      <c r="J38" s="110" t="s">
        <v>45</v>
      </c>
      <c r="K38" s="110">
        <v>9.0</v>
      </c>
      <c r="L38" s="110" t="s">
        <v>45</v>
      </c>
      <c r="M38" s="110">
        <v>0.0</v>
      </c>
      <c r="N38" s="110" t="s">
        <v>45</v>
      </c>
      <c r="O38" s="110" t="s">
        <v>45</v>
      </c>
      <c r="P38" s="110">
        <v>0.0</v>
      </c>
      <c r="Q38" s="110">
        <v>26.0</v>
      </c>
      <c r="R38" s="110">
        <v>14.0</v>
      </c>
      <c r="S38" s="110">
        <v>0.0</v>
      </c>
      <c r="T38" s="110" t="s">
        <v>45</v>
      </c>
      <c r="U38" s="110">
        <v>24.0</v>
      </c>
      <c r="V38" s="110">
        <v>0.0</v>
      </c>
      <c r="W38" s="110">
        <v>5.0</v>
      </c>
      <c r="X38" s="110">
        <v>6.0</v>
      </c>
      <c r="Y38" s="110">
        <v>23.0</v>
      </c>
      <c r="Z38" s="110">
        <v>8.0</v>
      </c>
      <c r="AA38" s="111">
        <v>81.0</v>
      </c>
      <c r="AB38" s="110">
        <v>0.0</v>
      </c>
      <c r="AC38" s="111">
        <v>221.0</v>
      </c>
      <c r="AD38" s="110" t="s">
        <v>45</v>
      </c>
      <c r="AE38" s="110" t="s">
        <v>45</v>
      </c>
      <c r="AF38" s="110">
        <v>12.0</v>
      </c>
      <c r="AG38" s="110" t="s">
        <v>45</v>
      </c>
      <c r="AH38" s="110" t="s">
        <v>45</v>
      </c>
      <c r="AI38" s="110">
        <v>6.0</v>
      </c>
      <c r="AJ38" s="110">
        <v>25.0</v>
      </c>
      <c r="AK38" s="110" t="s">
        <v>45</v>
      </c>
      <c r="AL38" s="110">
        <v>9.0</v>
      </c>
      <c r="AM38" s="110">
        <v>11.0</v>
      </c>
      <c r="AN38" s="110">
        <v>10.0</v>
      </c>
      <c r="AO38" s="110">
        <v>22.0</v>
      </c>
      <c r="AP38" s="112">
        <v>644.0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196</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197</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44104.0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198</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199</v>
      </c>
      <c r="H10" s="123">
        <v>0.0</v>
      </c>
      <c r="I10" s="123" t="s">
        <v>199</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199</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199</v>
      </c>
    </row>
    <row r="11">
      <c r="A11" s="121" t="s">
        <v>167</v>
      </c>
      <c r="B11" s="123" t="s">
        <v>199</v>
      </c>
      <c r="C11" s="123">
        <v>0.0</v>
      </c>
      <c r="D11" s="123" t="s">
        <v>199</v>
      </c>
      <c r="E11" s="123">
        <v>0.0</v>
      </c>
      <c r="F11" s="123">
        <v>0.0</v>
      </c>
      <c r="G11" s="123">
        <v>0.0</v>
      </c>
      <c r="H11" s="123" t="s">
        <v>199</v>
      </c>
      <c r="I11" s="123">
        <v>0.0</v>
      </c>
      <c r="J11" s="123">
        <v>0.0</v>
      </c>
      <c r="K11" s="123" t="s">
        <v>199</v>
      </c>
      <c r="L11" s="123">
        <v>0.0</v>
      </c>
      <c r="M11" s="123">
        <v>0.0</v>
      </c>
      <c r="N11" s="123">
        <v>0.0</v>
      </c>
      <c r="O11" s="123">
        <v>0.0</v>
      </c>
      <c r="P11" s="123">
        <v>0.0</v>
      </c>
      <c r="Q11" s="123">
        <v>0.0</v>
      </c>
      <c r="R11" s="123" t="s">
        <v>199</v>
      </c>
      <c r="S11" s="123">
        <v>0.0</v>
      </c>
      <c r="T11" s="123" t="s">
        <v>199</v>
      </c>
      <c r="U11" s="123" t="s">
        <v>199</v>
      </c>
      <c r="V11" s="123">
        <v>0.0</v>
      </c>
      <c r="W11" s="123">
        <v>0.0</v>
      </c>
      <c r="X11" s="123">
        <v>0.0</v>
      </c>
      <c r="Y11" s="123">
        <v>0.0</v>
      </c>
      <c r="Z11" s="123">
        <v>0.0</v>
      </c>
      <c r="AA11" s="123">
        <v>0.0</v>
      </c>
      <c r="AB11" s="123">
        <v>0.0</v>
      </c>
      <c r="AC11" s="123" t="s">
        <v>199</v>
      </c>
      <c r="AD11" s="123">
        <v>0.0</v>
      </c>
      <c r="AE11" s="123" t="s">
        <v>199</v>
      </c>
      <c r="AF11" s="123">
        <v>0.0</v>
      </c>
      <c r="AG11" s="123">
        <v>0.0</v>
      </c>
      <c r="AH11" s="123">
        <v>0.0</v>
      </c>
      <c r="AI11" s="123">
        <v>0.0</v>
      </c>
      <c r="AJ11" s="123" t="s">
        <v>199</v>
      </c>
      <c r="AK11" s="123">
        <v>0.0</v>
      </c>
      <c r="AL11" s="123">
        <v>0.0</v>
      </c>
      <c r="AM11" s="123" t="s">
        <v>199</v>
      </c>
      <c r="AN11" s="123">
        <v>0.0</v>
      </c>
      <c r="AO11" s="123">
        <v>1.0</v>
      </c>
    </row>
    <row r="12">
      <c r="A12" s="121" t="s">
        <v>168</v>
      </c>
      <c r="B12" s="123" t="s">
        <v>199</v>
      </c>
      <c r="C12" s="123" t="s">
        <v>199</v>
      </c>
      <c r="D12" s="123">
        <v>0.0</v>
      </c>
      <c r="E12" s="123" t="s">
        <v>199</v>
      </c>
      <c r="F12" s="123">
        <v>0.0</v>
      </c>
      <c r="G12" s="123" t="s">
        <v>199</v>
      </c>
      <c r="H12" s="123" t="s">
        <v>199</v>
      </c>
      <c r="I12" s="123" t="s">
        <v>199</v>
      </c>
      <c r="J12" s="123">
        <v>0.0</v>
      </c>
      <c r="K12" s="123" t="s">
        <v>199</v>
      </c>
      <c r="L12" s="123">
        <v>0.0</v>
      </c>
      <c r="M12" s="123" t="s">
        <v>199</v>
      </c>
      <c r="N12" s="123">
        <v>0.0</v>
      </c>
      <c r="O12" s="123">
        <v>0.0</v>
      </c>
      <c r="P12" s="123" t="s">
        <v>199</v>
      </c>
      <c r="Q12" s="123" t="s">
        <v>199</v>
      </c>
      <c r="R12" s="123">
        <v>0.0</v>
      </c>
      <c r="S12" s="123" t="s">
        <v>199</v>
      </c>
      <c r="T12" s="123" t="s">
        <v>199</v>
      </c>
      <c r="U12" s="123">
        <v>0.0</v>
      </c>
      <c r="V12" s="123">
        <v>0.0</v>
      </c>
      <c r="W12" s="123" t="s">
        <v>199</v>
      </c>
      <c r="X12" s="123">
        <v>0.0</v>
      </c>
      <c r="Y12" s="123">
        <v>0.0</v>
      </c>
      <c r="Z12" s="123" t="s">
        <v>199</v>
      </c>
      <c r="AA12" s="123" t="s">
        <v>199</v>
      </c>
      <c r="AB12" s="123" t="s">
        <v>199</v>
      </c>
      <c r="AC12" s="123">
        <v>14.0</v>
      </c>
      <c r="AD12" s="123">
        <v>0.0</v>
      </c>
      <c r="AE12" s="123" t="s">
        <v>199</v>
      </c>
      <c r="AF12" s="123">
        <v>0.0</v>
      </c>
      <c r="AG12" s="123" t="s">
        <v>199</v>
      </c>
      <c r="AH12" s="123">
        <v>0.0</v>
      </c>
      <c r="AI12" s="123" t="s">
        <v>199</v>
      </c>
      <c r="AJ12" s="123" t="s">
        <v>199</v>
      </c>
      <c r="AK12" s="123">
        <v>0.0</v>
      </c>
      <c r="AL12" s="123">
        <v>0.0</v>
      </c>
      <c r="AM12" s="123" t="s">
        <v>199</v>
      </c>
      <c r="AN12" s="123">
        <v>0.0</v>
      </c>
      <c r="AO12" s="123">
        <v>6.0</v>
      </c>
    </row>
    <row r="13">
      <c r="A13" s="121" t="s">
        <v>169</v>
      </c>
      <c r="B13" s="123">
        <v>31.0</v>
      </c>
      <c r="C13" s="123" t="s">
        <v>199</v>
      </c>
      <c r="D13" s="123">
        <v>30.0</v>
      </c>
      <c r="E13" s="123" t="s">
        <v>199</v>
      </c>
      <c r="F13" s="123" t="s">
        <v>199</v>
      </c>
      <c r="G13" s="123" t="s">
        <v>199</v>
      </c>
      <c r="H13" s="123">
        <v>33.0</v>
      </c>
      <c r="I13" s="123">
        <v>17.0</v>
      </c>
      <c r="J13" s="123">
        <v>0.0</v>
      </c>
      <c r="K13" s="123">
        <v>17.0</v>
      </c>
      <c r="L13" s="123" t="s">
        <v>199</v>
      </c>
      <c r="M13" s="123">
        <v>0.0</v>
      </c>
      <c r="N13" s="123">
        <v>0.0</v>
      </c>
      <c r="O13" s="123" t="s">
        <v>199</v>
      </c>
      <c r="P13" s="123">
        <v>0.0</v>
      </c>
      <c r="Q13" s="123" t="s">
        <v>199</v>
      </c>
      <c r="R13" s="123" t="s">
        <v>199</v>
      </c>
      <c r="S13" s="123">
        <v>0.0</v>
      </c>
      <c r="T13" s="123">
        <v>0.0</v>
      </c>
      <c r="U13" s="123" t="s">
        <v>199</v>
      </c>
      <c r="V13" s="123">
        <v>0.0</v>
      </c>
      <c r="W13" s="123" t="s">
        <v>199</v>
      </c>
      <c r="X13" s="123">
        <v>27.0</v>
      </c>
      <c r="Y13" s="123">
        <v>15.0</v>
      </c>
      <c r="Z13" s="123" t="s">
        <v>199</v>
      </c>
      <c r="AA13" s="123">
        <v>22.0</v>
      </c>
      <c r="AB13" s="123" t="s">
        <v>199</v>
      </c>
      <c r="AC13" s="123">
        <v>26.0</v>
      </c>
      <c r="AD13" s="123">
        <v>0.0</v>
      </c>
      <c r="AE13" s="123">
        <v>47.0</v>
      </c>
      <c r="AF13" s="123" t="s">
        <v>199</v>
      </c>
      <c r="AG13" s="123" t="s">
        <v>199</v>
      </c>
      <c r="AH13" s="123">
        <v>38.0</v>
      </c>
      <c r="AI13" s="123">
        <v>0.0</v>
      </c>
      <c r="AJ13" s="123">
        <v>19.0</v>
      </c>
      <c r="AK13" s="123">
        <v>0.0</v>
      </c>
      <c r="AL13" s="123">
        <v>21.0</v>
      </c>
      <c r="AM13" s="123" t="s">
        <v>199</v>
      </c>
      <c r="AN13" s="123" t="s">
        <v>199</v>
      </c>
      <c r="AO13" s="123">
        <v>19.0</v>
      </c>
    </row>
    <row r="14">
      <c r="A14" s="121" t="s">
        <v>170</v>
      </c>
      <c r="B14" s="123" t="s">
        <v>199</v>
      </c>
      <c r="C14" s="123">
        <v>27.0</v>
      </c>
      <c r="D14" s="123">
        <v>36.0</v>
      </c>
      <c r="E14" s="123">
        <v>52.0</v>
      </c>
      <c r="F14" s="123" t="s">
        <v>199</v>
      </c>
      <c r="G14" s="123">
        <v>35.0</v>
      </c>
      <c r="H14" s="123">
        <v>52.0</v>
      </c>
      <c r="I14" s="123">
        <v>49.0</v>
      </c>
      <c r="J14" s="123">
        <v>38.0</v>
      </c>
      <c r="K14" s="123">
        <v>32.0</v>
      </c>
      <c r="L14" s="123" t="s">
        <v>199</v>
      </c>
      <c r="M14" s="123">
        <v>0.0</v>
      </c>
      <c r="N14" s="123" t="s">
        <v>199</v>
      </c>
      <c r="O14" s="123" t="s">
        <v>199</v>
      </c>
      <c r="P14" s="123" t="s">
        <v>199</v>
      </c>
      <c r="Q14" s="123">
        <v>38.0</v>
      </c>
      <c r="R14" s="123">
        <v>42.0</v>
      </c>
      <c r="S14" s="123" t="s">
        <v>199</v>
      </c>
      <c r="T14" s="123" t="s">
        <v>199</v>
      </c>
      <c r="U14" s="123" t="s">
        <v>199</v>
      </c>
      <c r="V14" s="123" t="s">
        <v>199</v>
      </c>
      <c r="W14" s="123">
        <v>24.0</v>
      </c>
      <c r="X14" s="123">
        <v>31.0</v>
      </c>
      <c r="Y14" s="123">
        <v>80.0</v>
      </c>
      <c r="Z14" s="123" t="s">
        <v>199</v>
      </c>
      <c r="AA14" s="123">
        <v>77.0</v>
      </c>
      <c r="AB14" s="123">
        <v>40.0</v>
      </c>
      <c r="AC14" s="123">
        <v>63.0</v>
      </c>
      <c r="AD14" s="123">
        <v>0.0</v>
      </c>
      <c r="AE14" s="123" t="s">
        <v>199</v>
      </c>
      <c r="AF14" s="123">
        <v>37.0</v>
      </c>
      <c r="AG14" s="123">
        <v>26.0</v>
      </c>
      <c r="AH14" s="123">
        <v>32.0</v>
      </c>
      <c r="AI14" s="123" t="s">
        <v>199</v>
      </c>
      <c r="AJ14" s="123">
        <v>36.0</v>
      </c>
      <c r="AK14" s="123" t="s">
        <v>199</v>
      </c>
      <c r="AL14" s="123">
        <v>52.0</v>
      </c>
      <c r="AM14" s="123">
        <v>40.0</v>
      </c>
      <c r="AN14" s="123">
        <v>26.0</v>
      </c>
      <c r="AO14" s="123">
        <v>46.0</v>
      </c>
    </row>
    <row r="15">
      <c r="A15" s="121" t="s">
        <v>171</v>
      </c>
      <c r="B15" s="123">
        <v>37.0</v>
      </c>
      <c r="C15" s="123">
        <v>40.0</v>
      </c>
      <c r="D15" s="123">
        <v>79.0</v>
      </c>
      <c r="E15" s="123">
        <v>248.0</v>
      </c>
      <c r="F15" s="123" t="s">
        <v>199</v>
      </c>
      <c r="G15" s="123">
        <v>67.0</v>
      </c>
      <c r="H15" s="123">
        <v>134.0</v>
      </c>
      <c r="I15" s="123">
        <v>121.0</v>
      </c>
      <c r="J15" s="123">
        <v>99.0</v>
      </c>
      <c r="K15" s="123">
        <v>131.0</v>
      </c>
      <c r="L15" s="123" t="s">
        <v>199</v>
      </c>
      <c r="M15" s="123">
        <v>107.0</v>
      </c>
      <c r="N15" s="123" t="s">
        <v>199</v>
      </c>
      <c r="O15" s="123" t="s">
        <v>199</v>
      </c>
      <c r="P15" s="123" t="s">
        <v>199</v>
      </c>
      <c r="Q15" s="123">
        <v>130.0</v>
      </c>
      <c r="R15" s="123">
        <v>88.0</v>
      </c>
      <c r="S15" s="123" t="s">
        <v>199</v>
      </c>
      <c r="T15" s="123">
        <v>37.0</v>
      </c>
      <c r="U15" s="123">
        <v>84.0</v>
      </c>
      <c r="V15" s="123">
        <v>0.0</v>
      </c>
      <c r="W15" s="123">
        <v>32.0</v>
      </c>
      <c r="X15" s="123">
        <v>84.0</v>
      </c>
      <c r="Y15" s="123">
        <v>185.0</v>
      </c>
      <c r="Z15" s="123">
        <v>40.0</v>
      </c>
      <c r="AA15" s="123">
        <v>201.0</v>
      </c>
      <c r="AB15" s="123" t="s">
        <v>199</v>
      </c>
      <c r="AC15" s="123">
        <v>293.0</v>
      </c>
      <c r="AD15" s="123" t="s">
        <v>199</v>
      </c>
      <c r="AE15" s="123">
        <v>57.0</v>
      </c>
      <c r="AF15" s="123">
        <v>83.0</v>
      </c>
      <c r="AG15" s="123">
        <v>62.0</v>
      </c>
      <c r="AH15" s="123">
        <v>89.0</v>
      </c>
      <c r="AI15" s="123" t="s">
        <v>199</v>
      </c>
      <c r="AJ15" s="123">
        <v>80.0</v>
      </c>
      <c r="AK15" s="123">
        <v>81.0</v>
      </c>
      <c r="AL15" s="123">
        <v>73.0</v>
      </c>
      <c r="AM15" s="123">
        <v>35.0</v>
      </c>
      <c r="AN15" s="123">
        <v>91.0</v>
      </c>
      <c r="AO15" s="123">
        <v>137.0</v>
      </c>
    </row>
    <row r="16">
      <c r="A16" s="121" t="s">
        <v>172</v>
      </c>
      <c r="B16" s="123" t="s">
        <v>199</v>
      </c>
      <c r="C16" s="123">
        <v>58.0</v>
      </c>
      <c r="D16" s="123">
        <v>49.0</v>
      </c>
      <c r="E16" s="123">
        <v>578.0</v>
      </c>
      <c r="F16" s="123" t="s">
        <v>199</v>
      </c>
      <c r="G16" s="123">
        <v>52.0</v>
      </c>
      <c r="H16" s="123">
        <v>170.0</v>
      </c>
      <c r="I16" s="123">
        <v>81.0</v>
      </c>
      <c r="J16" s="123">
        <v>38.0</v>
      </c>
      <c r="K16" s="123">
        <v>112.0</v>
      </c>
      <c r="L16" s="123" t="s">
        <v>199</v>
      </c>
      <c r="M16" s="123" t="s">
        <v>199</v>
      </c>
      <c r="N16" s="123">
        <v>60.0</v>
      </c>
      <c r="O16" s="123">
        <v>0.0</v>
      </c>
      <c r="P16" s="123" t="s">
        <v>199</v>
      </c>
      <c r="Q16" s="123">
        <v>133.0</v>
      </c>
      <c r="R16" s="123">
        <v>92.0</v>
      </c>
      <c r="S16" s="123" t="s">
        <v>199</v>
      </c>
      <c r="T16" s="123" t="s">
        <v>199</v>
      </c>
      <c r="U16" s="123" t="s">
        <v>199</v>
      </c>
      <c r="V16" s="123">
        <v>0.0</v>
      </c>
      <c r="W16" s="123">
        <v>0.0</v>
      </c>
      <c r="X16" s="123">
        <v>23.0</v>
      </c>
      <c r="Y16" s="123">
        <v>259.0</v>
      </c>
      <c r="Z16" s="123" t="s">
        <v>199</v>
      </c>
      <c r="AA16" s="123">
        <v>288.0</v>
      </c>
      <c r="AB16" s="123" t="s">
        <v>199</v>
      </c>
      <c r="AC16" s="123">
        <v>349.0</v>
      </c>
      <c r="AD16" s="123" t="s">
        <v>199</v>
      </c>
      <c r="AE16" s="123">
        <v>57.0</v>
      </c>
      <c r="AF16" s="123">
        <v>37.0</v>
      </c>
      <c r="AG16" s="123">
        <v>33.0</v>
      </c>
      <c r="AH16" s="123">
        <v>51.0</v>
      </c>
      <c r="AI16" s="123" t="s">
        <v>199</v>
      </c>
      <c r="AJ16" s="123">
        <v>75.0</v>
      </c>
      <c r="AK16" s="123" t="s">
        <v>199</v>
      </c>
      <c r="AL16" s="123">
        <v>104.0</v>
      </c>
      <c r="AM16" s="123">
        <v>27.0</v>
      </c>
      <c r="AN16" s="123">
        <v>113.0</v>
      </c>
      <c r="AO16" s="123">
        <v>152.0</v>
      </c>
    </row>
    <row r="17">
      <c r="A17" s="121" t="s">
        <v>173</v>
      </c>
      <c r="B17" s="123">
        <v>37.0</v>
      </c>
      <c r="C17" s="123">
        <v>54.0</v>
      </c>
      <c r="D17" s="123">
        <v>61.0</v>
      </c>
      <c r="E17" s="123">
        <v>903.0</v>
      </c>
      <c r="F17" s="123" t="s">
        <v>199</v>
      </c>
      <c r="G17" s="123">
        <v>46.0</v>
      </c>
      <c r="H17" s="123">
        <v>153.0</v>
      </c>
      <c r="I17" s="123">
        <v>101.0</v>
      </c>
      <c r="J17" s="123">
        <v>92.0</v>
      </c>
      <c r="K17" s="123">
        <v>105.0</v>
      </c>
      <c r="L17" s="123">
        <v>74.0</v>
      </c>
      <c r="M17" s="123" t="s">
        <v>199</v>
      </c>
      <c r="N17" s="123">
        <v>70.0</v>
      </c>
      <c r="O17" s="123" t="s">
        <v>199</v>
      </c>
      <c r="P17" s="123" t="s">
        <v>199</v>
      </c>
      <c r="Q17" s="123">
        <v>151.0</v>
      </c>
      <c r="R17" s="123">
        <v>106.0</v>
      </c>
      <c r="S17" s="123">
        <v>0.0</v>
      </c>
      <c r="T17" s="123">
        <v>37.0</v>
      </c>
      <c r="U17" s="123">
        <v>64.0</v>
      </c>
      <c r="V17" s="123">
        <v>0.0</v>
      </c>
      <c r="W17" s="123">
        <v>36.0</v>
      </c>
      <c r="X17" s="123">
        <v>61.0</v>
      </c>
      <c r="Y17" s="123">
        <v>246.0</v>
      </c>
      <c r="Z17" s="123">
        <v>49.0</v>
      </c>
      <c r="AA17" s="123">
        <v>369.0</v>
      </c>
      <c r="AB17" s="123">
        <v>29.0</v>
      </c>
      <c r="AC17" s="123">
        <v>456.0</v>
      </c>
      <c r="AD17" s="123">
        <v>66.0</v>
      </c>
      <c r="AE17" s="123">
        <v>57.0</v>
      </c>
      <c r="AF17" s="123">
        <v>83.0</v>
      </c>
      <c r="AG17" s="123">
        <v>23.0</v>
      </c>
      <c r="AH17" s="123">
        <v>76.0</v>
      </c>
      <c r="AI17" s="123">
        <v>133.0</v>
      </c>
      <c r="AJ17" s="123">
        <v>73.0</v>
      </c>
      <c r="AK17" s="123" t="s">
        <v>199</v>
      </c>
      <c r="AL17" s="123">
        <v>117.0</v>
      </c>
      <c r="AM17" s="123">
        <v>66.0</v>
      </c>
      <c r="AN17" s="123">
        <v>118.0</v>
      </c>
      <c r="AO17" s="123">
        <v>190.0</v>
      </c>
    </row>
    <row r="18">
      <c r="A18" s="121" t="s">
        <v>174</v>
      </c>
      <c r="B18" s="123" t="s">
        <v>199</v>
      </c>
      <c r="C18" s="123">
        <v>45.0</v>
      </c>
      <c r="D18" s="123">
        <v>61.0</v>
      </c>
      <c r="E18" s="123">
        <v>686.0</v>
      </c>
      <c r="F18" s="123" t="s">
        <v>199</v>
      </c>
      <c r="G18" s="123">
        <v>35.0</v>
      </c>
      <c r="H18" s="123">
        <v>134.0</v>
      </c>
      <c r="I18" s="123">
        <v>61.0</v>
      </c>
      <c r="J18" s="123">
        <v>76.0</v>
      </c>
      <c r="K18" s="123">
        <v>89.0</v>
      </c>
      <c r="L18" s="123" t="s">
        <v>199</v>
      </c>
      <c r="M18" s="123" t="s">
        <v>199</v>
      </c>
      <c r="N18" s="123" t="s">
        <v>199</v>
      </c>
      <c r="O18" s="123">
        <v>0.0</v>
      </c>
      <c r="P18" s="123">
        <v>0.0</v>
      </c>
      <c r="Q18" s="123">
        <v>86.0</v>
      </c>
      <c r="R18" s="123">
        <v>88.0</v>
      </c>
      <c r="S18" s="123">
        <v>0.0</v>
      </c>
      <c r="T18" s="123" t="s">
        <v>199</v>
      </c>
      <c r="U18" s="123" t="s">
        <v>199</v>
      </c>
      <c r="V18" s="123">
        <v>0.0</v>
      </c>
      <c r="W18" s="123">
        <v>32.0</v>
      </c>
      <c r="X18" s="123">
        <v>19.0</v>
      </c>
      <c r="Y18" s="123">
        <v>176.0</v>
      </c>
      <c r="Z18" s="123" t="s">
        <v>199</v>
      </c>
      <c r="AA18" s="123">
        <v>282.0</v>
      </c>
      <c r="AB18" s="123" t="s">
        <v>199</v>
      </c>
      <c r="AC18" s="123">
        <v>389.0</v>
      </c>
      <c r="AD18" s="123">
        <v>66.0</v>
      </c>
      <c r="AE18" s="123" t="s">
        <v>199</v>
      </c>
      <c r="AF18" s="123">
        <v>51.0</v>
      </c>
      <c r="AG18" s="123" t="s">
        <v>199</v>
      </c>
      <c r="AH18" s="123">
        <v>44.0</v>
      </c>
      <c r="AI18" s="123" t="s">
        <v>199</v>
      </c>
      <c r="AJ18" s="123">
        <v>72.0</v>
      </c>
      <c r="AK18" s="123" t="s">
        <v>199</v>
      </c>
      <c r="AL18" s="123">
        <v>86.0</v>
      </c>
      <c r="AM18" s="123">
        <v>31.0</v>
      </c>
      <c r="AN18" s="123">
        <v>130.0</v>
      </c>
      <c r="AO18" s="123">
        <v>155.0</v>
      </c>
    </row>
    <row r="19">
      <c r="A19" s="121" t="s">
        <v>175</v>
      </c>
      <c r="B19" s="123" t="s">
        <v>199</v>
      </c>
      <c r="C19" s="123">
        <v>40.0</v>
      </c>
      <c r="D19" s="123" t="s">
        <v>199</v>
      </c>
      <c r="E19" s="123">
        <v>671.0</v>
      </c>
      <c r="F19" s="123" t="s">
        <v>199</v>
      </c>
      <c r="G19" s="123">
        <v>35.0</v>
      </c>
      <c r="H19" s="123">
        <v>101.0</v>
      </c>
      <c r="I19" s="123">
        <v>61.0</v>
      </c>
      <c r="J19" s="123">
        <v>54.0</v>
      </c>
      <c r="K19" s="123">
        <v>107.0</v>
      </c>
      <c r="L19" s="123">
        <v>88.0</v>
      </c>
      <c r="M19" s="123" t="s">
        <v>199</v>
      </c>
      <c r="N19" s="123" t="s">
        <v>199</v>
      </c>
      <c r="O19" s="123" t="s">
        <v>199</v>
      </c>
      <c r="P19" s="123" t="s">
        <v>199</v>
      </c>
      <c r="Q19" s="123">
        <v>113.0</v>
      </c>
      <c r="R19" s="123">
        <v>92.0</v>
      </c>
      <c r="S19" s="123" t="s">
        <v>199</v>
      </c>
      <c r="T19" s="123" t="s">
        <v>199</v>
      </c>
      <c r="U19" s="123" t="s">
        <v>199</v>
      </c>
      <c r="V19" s="123">
        <v>0.0</v>
      </c>
      <c r="W19" s="123">
        <v>32.0</v>
      </c>
      <c r="X19" s="123">
        <v>31.0</v>
      </c>
      <c r="Y19" s="123">
        <v>139.0</v>
      </c>
      <c r="Z19" s="123" t="s">
        <v>199</v>
      </c>
      <c r="AA19" s="123">
        <v>269.0</v>
      </c>
      <c r="AB19" s="123" t="s">
        <v>199</v>
      </c>
      <c r="AC19" s="123">
        <v>304.0</v>
      </c>
      <c r="AD19" s="123" t="s">
        <v>199</v>
      </c>
      <c r="AE19" s="123" t="s">
        <v>199</v>
      </c>
      <c r="AF19" s="123">
        <v>51.0</v>
      </c>
      <c r="AG19" s="123" t="s">
        <v>199</v>
      </c>
      <c r="AH19" s="123">
        <v>32.0</v>
      </c>
      <c r="AI19" s="123" t="s">
        <v>199</v>
      </c>
      <c r="AJ19" s="123">
        <v>56.0</v>
      </c>
      <c r="AK19" s="123">
        <v>0.0</v>
      </c>
      <c r="AL19" s="123">
        <v>97.0</v>
      </c>
      <c r="AM19" s="123" t="s">
        <v>199</v>
      </c>
      <c r="AN19" s="123">
        <v>137.0</v>
      </c>
      <c r="AO19" s="123">
        <v>131.0</v>
      </c>
    </row>
    <row r="20">
      <c r="A20" s="121" t="s">
        <v>176</v>
      </c>
      <c r="B20" s="123">
        <v>37.0</v>
      </c>
      <c r="C20" s="123">
        <v>27.0</v>
      </c>
      <c r="D20" s="123" t="s">
        <v>199</v>
      </c>
      <c r="E20" s="123">
        <v>490.0</v>
      </c>
      <c r="F20" s="123">
        <v>0.0</v>
      </c>
      <c r="G20" s="123">
        <v>35.0</v>
      </c>
      <c r="H20" s="123">
        <v>94.0</v>
      </c>
      <c r="I20" s="123">
        <v>32.0</v>
      </c>
      <c r="J20" s="123">
        <v>46.0</v>
      </c>
      <c r="K20" s="123">
        <v>76.0</v>
      </c>
      <c r="L20" s="123" t="s">
        <v>199</v>
      </c>
      <c r="M20" s="123" t="s">
        <v>199</v>
      </c>
      <c r="N20" s="123">
        <v>89.0</v>
      </c>
      <c r="O20" s="123" t="s">
        <v>199</v>
      </c>
      <c r="P20" s="123">
        <v>0.0</v>
      </c>
      <c r="Q20" s="123">
        <v>79.0</v>
      </c>
      <c r="R20" s="123">
        <v>60.0</v>
      </c>
      <c r="S20" s="123">
        <v>0.0</v>
      </c>
      <c r="T20" s="123">
        <v>0.0</v>
      </c>
      <c r="U20" s="123" t="s">
        <v>199</v>
      </c>
      <c r="V20" s="123">
        <v>0.0</v>
      </c>
      <c r="W20" s="123" t="s">
        <v>199</v>
      </c>
      <c r="X20" s="123">
        <v>19.0</v>
      </c>
      <c r="Y20" s="123">
        <v>145.0</v>
      </c>
      <c r="Z20" s="123">
        <v>73.0</v>
      </c>
      <c r="AA20" s="123">
        <v>170.0</v>
      </c>
      <c r="AB20" s="123" t="s">
        <v>199</v>
      </c>
      <c r="AC20" s="123">
        <v>268.0</v>
      </c>
      <c r="AD20" s="123">
        <v>0.0</v>
      </c>
      <c r="AE20" s="123">
        <v>47.0</v>
      </c>
      <c r="AF20" s="123">
        <v>55.0</v>
      </c>
      <c r="AG20" s="123" t="s">
        <v>199</v>
      </c>
      <c r="AH20" s="123">
        <v>44.0</v>
      </c>
      <c r="AI20" s="123">
        <v>133.0</v>
      </c>
      <c r="AJ20" s="123">
        <v>43.0</v>
      </c>
      <c r="AK20" s="123" t="s">
        <v>199</v>
      </c>
      <c r="AL20" s="123">
        <v>41.0</v>
      </c>
      <c r="AM20" s="123" t="s">
        <v>199</v>
      </c>
      <c r="AN20" s="123">
        <v>104.0</v>
      </c>
      <c r="AO20" s="123">
        <v>106.0</v>
      </c>
    </row>
    <row r="21">
      <c r="A21" s="121" t="s">
        <v>177</v>
      </c>
      <c r="B21" s="123">
        <v>43.0</v>
      </c>
      <c r="C21" s="123">
        <v>45.0</v>
      </c>
      <c r="D21" s="123">
        <v>55.0</v>
      </c>
      <c r="E21" s="123">
        <v>330.0</v>
      </c>
      <c r="F21" s="123">
        <v>0.0</v>
      </c>
      <c r="G21" s="123">
        <v>49.0</v>
      </c>
      <c r="H21" s="123">
        <v>90.0</v>
      </c>
      <c r="I21" s="123">
        <v>35.0</v>
      </c>
      <c r="J21" s="123" t="s">
        <v>199</v>
      </c>
      <c r="K21" s="123">
        <v>36.0</v>
      </c>
      <c r="L21" s="123" t="s">
        <v>199</v>
      </c>
      <c r="M21" s="123" t="s">
        <v>199</v>
      </c>
      <c r="N21" s="123" t="s">
        <v>199</v>
      </c>
      <c r="O21" s="123" t="s">
        <v>199</v>
      </c>
      <c r="P21" s="123" t="s">
        <v>199</v>
      </c>
      <c r="Q21" s="123">
        <v>65.0</v>
      </c>
      <c r="R21" s="123">
        <v>51.0</v>
      </c>
      <c r="S21" s="123" t="s">
        <v>199</v>
      </c>
      <c r="T21" s="123" t="s">
        <v>199</v>
      </c>
      <c r="U21" s="123" t="s">
        <v>199</v>
      </c>
      <c r="V21" s="123">
        <v>0.0</v>
      </c>
      <c r="W21" s="123" t="s">
        <v>199</v>
      </c>
      <c r="X21" s="123">
        <v>19.0</v>
      </c>
      <c r="Y21" s="123">
        <v>77.0</v>
      </c>
      <c r="Z21" s="123">
        <v>49.0</v>
      </c>
      <c r="AA21" s="123">
        <v>155.0</v>
      </c>
      <c r="AB21" s="123">
        <v>40.0</v>
      </c>
      <c r="AC21" s="123">
        <v>226.0</v>
      </c>
      <c r="AD21" s="123" t="s">
        <v>199</v>
      </c>
      <c r="AE21" s="123" t="s">
        <v>199</v>
      </c>
      <c r="AF21" s="123">
        <v>28.0</v>
      </c>
      <c r="AG21" s="123" t="s">
        <v>199</v>
      </c>
      <c r="AH21" s="123">
        <v>57.0</v>
      </c>
      <c r="AI21" s="123">
        <v>48.0</v>
      </c>
      <c r="AJ21" s="123">
        <v>44.0</v>
      </c>
      <c r="AK21" s="123" t="s">
        <v>199</v>
      </c>
      <c r="AL21" s="123">
        <v>45.0</v>
      </c>
      <c r="AM21" s="123" t="s">
        <v>199</v>
      </c>
      <c r="AN21" s="123">
        <v>89.0</v>
      </c>
      <c r="AO21" s="123">
        <v>90.0</v>
      </c>
    </row>
    <row r="22">
      <c r="A22" s="121" t="s">
        <v>178</v>
      </c>
      <c r="B22" s="123" t="s">
        <v>199</v>
      </c>
      <c r="C22" s="123">
        <v>40.0</v>
      </c>
      <c r="D22" s="123" t="s">
        <v>199</v>
      </c>
      <c r="E22" s="123">
        <v>155.0</v>
      </c>
      <c r="F22" s="123" t="s">
        <v>199</v>
      </c>
      <c r="G22" s="123">
        <v>29.0</v>
      </c>
      <c r="H22" s="123">
        <v>60.0</v>
      </c>
      <c r="I22" s="123">
        <v>17.0</v>
      </c>
      <c r="J22" s="123">
        <v>0.0</v>
      </c>
      <c r="K22" s="123">
        <v>44.0</v>
      </c>
      <c r="L22" s="123">
        <v>0.0</v>
      </c>
      <c r="M22" s="123" t="s">
        <v>199</v>
      </c>
      <c r="N22" s="123" t="s">
        <v>199</v>
      </c>
      <c r="O22" s="123">
        <v>0.0</v>
      </c>
      <c r="P22" s="123" t="s">
        <v>199</v>
      </c>
      <c r="Q22" s="123">
        <v>120.0</v>
      </c>
      <c r="R22" s="123">
        <v>42.0</v>
      </c>
      <c r="S22" s="123">
        <v>0.0</v>
      </c>
      <c r="T22" s="123" t="s">
        <v>199</v>
      </c>
      <c r="U22" s="123" t="s">
        <v>199</v>
      </c>
      <c r="V22" s="123">
        <v>0.0</v>
      </c>
      <c r="W22" s="123">
        <v>36.0</v>
      </c>
      <c r="X22" s="123">
        <v>23.0</v>
      </c>
      <c r="Y22" s="123">
        <v>52.0</v>
      </c>
      <c r="Z22" s="123" t="s">
        <v>199</v>
      </c>
      <c r="AA22" s="123">
        <v>96.0</v>
      </c>
      <c r="AB22" s="123">
        <v>34.0</v>
      </c>
      <c r="AC22" s="123">
        <v>186.0</v>
      </c>
      <c r="AD22" s="123" t="s">
        <v>199</v>
      </c>
      <c r="AE22" s="123" t="s">
        <v>199</v>
      </c>
      <c r="AF22" s="123">
        <v>0.0</v>
      </c>
      <c r="AG22" s="123">
        <v>0.0</v>
      </c>
      <c r="AH22" s="123" t="s">
        <v>199</v>
      </c>
      <c r="AI22" s="123">
        <v>0.0</v>
      </c>
      <c r="AJ22" s="123">
        <v>26.0</v>
      </c>
      <c r="AK22" s="123" t="s">
        <v>199</v>
      </c>
      <c r="AL22" s="123">
        <v>31.0</v>
      </c>
      <c r="AM22" s="123" t="s">
        <v>199</v>
      </c>
      <c r="AN22" s="123">
        <v>91.0</v>
      </c>
      <c r="AO22" s="123">
        <v>68.0</v>
      </c>
    </row>
    <row r="23">
      <c r="A23" s="121" t="s">
        <v>179</v>
      </c>
      <c r="B23" s="123" t="s">
        <v>199</v>
      </c>
      <c r="C23" s="123" t="s">
        <v>199</v>
      </c>
      <c r="D23" s="123" t="s">
        <v>199</v>
      </c>
      <c r="E23" s="123">
        <v>170.0</v>
      </c>
      <c r="F23" s="123">
        <v>0.0</v>
      </c>
      <c r="G23" s="123" t="s">
        <v>199</v>
      </c>
      <c r="H23" s="123">
        <v>43.0</v>
      </c>
      <c r="I23" s="123">
        <v>32.0</v>
      </c>
      <c r="J23" s="123" t="s">
        <v>199</v>
      </c>
      <c r="K23" s="123">
        <v>25.0</v>
      </c>
      <c r="L23" s="123" t="s">
        <v>199</v>
      </c>
      <c r="M23" s="123">
        <v>0.0</v>
      </c>
      <c r="N23" s="123" t="s">
        <v>199</v>
      </c>
      <c r="O23" s="123">
        <v>0.0</v>
      </c>
      <c r="P23" s="123" t="s">
        <v>199</v>
      </c>
      <c r="Q23" s="123">
        <v>41.0</v>
      </c>
      <c r="R23" s="123" t="s">
        <v>199</v>
      </c>
      <c r="S23" s="123">
        <v>0.0</v>
      </c>
      <c r="T23" s="123" t="s">
        <v>199</v>
      </c>
      <c r="U23" s="123" t="s">
        <v>199</v>
      </c>
      <c r="V23" s="123">
        <v>0.0</v>
      </c>
      <c r="W23" s="123" t="s">
        <v>199</v>
      </c>
      <c r="X23" s="123" t="s">
        <v>199</v>
      </c>
      <c r="Y23" s="123">
        <v>62.0</v>
      </c>
      <c r="Z23" s="123" t="s">
        <v>199</v>
      </c>
      <c r="AA23" s="123">
        <v>71.0</v>
      </c>
      <c r="AB23" s="123">
        <v>29.0</v>
      </c>
      <c r="AC23" s="123">
        <v>144.0</v>
      </c>
      <c r="AD23" s="123">
        <v>0.0</v>
      </c>
      <c r="AE23" s="123" t="s">
        <v>199</v>
      </c>
      <c r="AF23" s="123" t="s">
        <v>199</v>
      </c>
      <c r="AG23" s="123">
        <v>0.0</v>
      </c>
      <c r="AH23" s="123" t="s">
        <v>199</v>
      </c>
      <c r="AI23" s="123" t="s">
        <v>199</v>
      </c>
      <c r="AJ23" s="123">
        <v>23.0</v>
      </c>
      <c r="AK23" s="123">
        <v>0.0</v>
      </c>
      <c r="AL23" s="123">
        <v>35.0</v>
      </c>
      <c r="AM23" s="123">
        <v>0.0</v>
      </c>
      <c r="AN23" s="123">
        <v>60.0</v>
      </c>
      <c r="AO23" s="123">
        <v>50.0</v>
      </c>
    </row>
    <row r="24">
      <c r="A24" s="121" t="s">
        <v>180</v>
      </c>
      <c r="B24" s="123" t="s">
        <v>199</v>
      </c>
      <c r="C24" s="123" t="s">
        <v>199</v>
      </c>
      <c r="D24" s="123" t="s">
        <v>199</v>
      </c>
      <c r="E24" s="123">
        <v>119.0</v>
      </c>
      <c r="F24" s="123" t="s">
        <v>199</v>
      </c>
      <c r="G24" s="123" t="s">
        <v>199</v>
      </c>
      <c r="H24" s="123">
        <v>39.0</v>
      </c>
      <c r="I24" s="123">
        <v>26.0</v>
      </c>
      <c r="J24" s="123" t="s">
        <v>199</v>
      </c>
      <c r="K24" s="123">
        <v>25.0</v>
      </c>
      <c r="L24" s="123" t="s">
        <v>199</v>
      </c>
      <c r="M24" s="123">
        <v>0.0</v>
      </c>
      <c r="N24" s="123">
        <v>0.0</v>
      </c>
      <c r="O24" s="123">
        <v>0.0</v>
      </c>
      <c r="P24" s="123">
        <v>0.0</v>
      </c>
      <c r="Q24" s="123">
        <v>51.0</v>
      </c>
      <c r="R24" s="123">
        <v>28.0</v>
      </c>
      <c r="S24" s="123">
        <v>0.0</v>
      </c>
      <c r="T24" s="123" t="s">
        <v>199</v>
      </c>
      <c r="U24" s="123">
        <v>0.0</v>
      </c>
      <c r="V24" s="123">
        <v>0.0</v>
      </c>
      <c r="W24" s="123" t="s">
        <v>199</v>
      </c>
      <c r="X24" s="123" t="s">
        <v>199</v>
      </c>
      <c r="Y24" s="123">
        <v>28.0</v>
      </c>
      <c r="Z24" s="123">
        <v>57.0</v>
      </c>
      <c r="AA24" s="123">
        <v>57.0</v>
      </c>
      <c r="AB24" s="123">
        <v>0.0</v>
      </c>
      <c r="AC24" s="123">
        <v>89.0</v>
      </c>
      <c r="AD24" s="123">
        <v>0.0</v>
      </c>
      <c r="AE24" s="123" t="s">
        <v>199</v>
      </c>
      <c r="AF24" s="123" t="s">
        <v>199</v>
      </c>
      <c r="AG24" s="123" t="s">
        <v>199</v>
      </c>
      <c r="AH24" s="123" t="s">
        <v>199</v>
      </c>
      <c r="AI24" s="123" t="s">
        <v>199</v>
      </c>
      <c r="AJ24" s="123">
        <v>12.0</v>
      </c>
      <c r="AK24" s="123">
        <v>0.0</v>
      </c>
      <c r="AL24" s="123" t="s">
        <v>199</v>
      </c>
      <c r="AM24" s="123">
        <v>0.0</v>
      </c>
      <c r="AN24" s="123">
        <v>46.0</v>
      </c>
      <c r="AO24" s="123">
        <v>36.0</v>
      </c>
    </row>
    <row r="25">
      <c r="A25" s="121" t="s">
        <v>181</v>
      </c>
      <c r="B25" s="123">
        <v>0.0</v>
      </c>
      <c r="C25" s="123" t="s">
        <v>199</v>
      </c>
      <c r="D25" s="123" t="s">
        <v>199</v>
      </c>
      <c r="E25" s="123">
        <v>114.0</v>
      </c>
      <c r="F25" s="123" t="s">
        <v>199</v>
      </c>
      <c r="G25" s="123">
        <v>0.0</v>
      </c>
      <c r="H25" s="123">
        <v>22.0</v>
      </c>
      <c r="I25" s="123" t="s">
        <v>199</v>
      </c>
      <c r="J25" s="123" t="s">
        <v>199</v>
      </c>
      <c r="K25" s="123">
        <v>17.0</v>
      </c>
      <c r="L25" s="123">
        <v>0.0</v>
      </c>
      <c r="M25" s="123">
        <v>0.0</v>
      </c>
      <c r="N25" s="123">
        <v>0.0</v>
      </c>
      <c r="O25" s="123">
        <v>0.0</v>
      </c>
      <c r="P25" s="123" t="s">
        <v>199</v>
      </c>
      <c r="Q25" s="123">
        <v>21.0</v>
      </c>
      <c r="R25" s="123">
        <v>32.0</v>
      </c>
      <c r="S25" s="123">
        <v>0.0</v>
      </c>
      <c r="T25" s="123" t="s">
        <v>199</v>
      </c>
      <c r="U25" s="123" t="s">
        <v>199</v>
      </c>
      <c r="V25" s="123">
        <v>0.0</v>
      </c>
      <c r="W25" s="123">
        <v>28.0</v>
      </c>
      <c r="X25" s="123" t="s">
        <v>199</v>
      </c>
      <c r="Y25" s="123" t="s">
        <v>199</v>
      </c>
      <c r="Z25" s="123" t="s">
        <v>199</v>
      </c>
      <c r="AA25" s="123">
        <v>36.0</v>
      </c>
      <c r="AB25" s="123">
        <v>0.0</v>
      </c>
      <c r="AC25" s="123">
        <v>72.0</v>
      </c>
      <c r="AD25" s="123" t="s">
        <v>199</v>
      </c>
      <c r="AE25" s="123" t="s">
        <v>199</v>
      </c>
      <c r="AF25" s="123" t="s">
        <v>199</v>
      </c>
      <c r="AG25" s="123">
        <v>0.0</v>
      </c>
      <c r="AH25" s="123">
        <v>0.0</v>
      </c>
      <c r="AI25" s="123" t="s">
        <v>199</v>
      </c>
      <c r="AJ25" s="123">
        <v>14.0</v>
      </c>
      <c r="AK25" s="123">
        <v>0.0</v>
      </c>
      <c r="AL25" s="123">
        <v>35.0</v>
      </c>
      <c r="AM25" s="123" t="s">
        <v>199</v>
      </c>
      <c r="AN25" s="123">
        <v>39.0</v>
      </c>
      <c r="AO25" s="123">
        <v>28.0</v>
      </c>
    </row>
    <row r="26">
      <c r="A26" s="121" t="s">
        <v>182</v>
      </c>
      <c r="B26" s="123" t="s">
        <v>199</v>
      </c>
      <c r="C26" s="123" t="s">
        <v>199</v>
      </c>
      <c r="D26" s="123" t="s">
        <v>199</v>
      </c>
      <c r="E26" s="123">
        <v>62.0</v>
      </c>
      <c r="F26" s="123" t="s">
        <v>199</v>
      </c>
      <c r="G26" s="123" t="s">
        <v>199</v>
      </c>
      <c r="H26" s="123">
        <v>16.0</v>
      </c>
      <c r="I26" s="123">
        <v>26.0</v>
      </c>
      <c r="J26" s="123" t="s">
        <v>199</v>
      </c>
      <c r="K26" s="123">
        <v>15.0</v>
      </c>
      <c r="L26" s="123">
        <v>0.0</v>
      </c>
      <c r="M26" s="123" t="s">
        <v>199</v>
      </c>
      <c r="N26" s="123" t="s">
        <v>199</v>
      </c>
      <c r="O26" s="123" t="s">
        <v>199</v>
      </c>
      <c r="P26" s="123">
        <v>0.0</v>
      </c>
      <c r="Q26" s="123">
        <v>31.0</v>
      </c>
      <c r="R26" s="123">
        <v>23.0</v>
      </c>
      <c r="S26" s="123">
        <v>0.0</v>
      </c>
      <c r="T26" s="123">
        <v>37.0</v>
      </c>
      <c r="U26" s="123">
        <v>0.0</v>
      </c>
      <c r="V26" s="123">
        <v>0.0</v>
      </c>
      <c r="W26" s="123">
        <v>48.0</v>
      </c>
      <c r="X26" s="123" t="s">
        <v>199</v>
      </c>
      <c r="Y26" s="123">
        <v>37.0</v>
      </c>
      <c r="Z26" s="123" t="s">
        <v>199</v>
      </c>
      <c r="AA26" s="123">
        <v>56.0</v>
      </c>
      <c r="AB26" s="123" t="s">
        <v>199</v>
      </c>
      <c r="AC26" s="123">
        <v>66.0</v>
      </c>
      <c r="AD26" s="123">
        <v>0.0</v>
      </c>
      <c r="AE26" s="123" t="s">
        <v>199</v>
      </c>
      <c r="AF26" s="123" t="s">
        <v>199</v>
      </c>
      <c r="AG26" s="123" t="s">
        <v>199</v>
      </c>
      <c r="AH26" s="123" t="s">
        <v>199</v>
      </c>
      <c r="AI26" s="123" t="s">
        <v>199</v>
      </c>
      <c r="AJ26" s="123">
        <v>12.0</v>
      </c>
      <c r="AK26" s="123" t="s">
        <v>199</v>
      </c>
      <c r="AL26" s="123">
        <v>31.0</v>
      </c>
      <c r="AM26" s="123" t="s">
        <v>199</v>
      </c>
      <c r="AN26" s="123">
        <v>39.0</v>
      </c>
      <c r="AO26" s="123">
        <v>31.0</v>
      </c>
    </row>
    <row r="27">
      <c r="A27" s="121" t="s">
        <v>183</v>
      </c>
      <c r="B27" s="123" t="s">
        <v>199</v>
      </c>
      <c r="C27" s="123" t="s">
        <v>199</v>
      </c>
      <c r="D27" s="123" t="s">
        <v>199</v>
      </c>
      <c r="E27" s="123">
        <v>31.0</v>
      </c>
      <c r="F27" s="123" t="s">
        <v>199</v>
      </c>
      <c r="G27" s="123">
        <v>26.0</v>
      </c>
      <c r="H27" s="123">
        <v>39.0</v>
      </c>
      <c r="I27" s="123" t="s">
        <v>199</v>
      </c>
      <c r="J27" s="123" t="s">
        <v>199</v>
      </c>
      <c r="K27" s="123">
        <v>13.0</v>
      </c>
      <c r="L27" s="123">
        <v>0.0</v>
      </c>
      <c r="M27" s="123" t="s">
        <v>199</v>
      </c>
      <c r="N27" s="123" t="s">
        <v>199</v>
      </c>
      <c r="O27" s="123">
        <v>0.0</v>
      </c>
      <c r="P27" s="123" t="s">
        <v>199</v>
      </c>
      <c r="Q27" s="123">
        <v>31.0</v>
      </c>
      <c r="R27" s="123" t="s">
        <v>199</v>
      </c>
      <c r="S27" s="123" t="s">
        <v>199</v>
      </c>
      <c r="T27" s="123">
        <v>31.0</v>
      </c>
      <c r="U27" s="123">
        <v>0.0</v>
      </c>
      <c r="V27" s="123">
        <v>0.0</v>
      </c>
      <c r="W27" s="123">
        <v>36.0</v>
      </c>
      <c r="X27" s="123" t="s">
        <v>199</v>
      </c>
      <c r="Y27" s="123">
        <v>31.0</v>
      </c>
      <c r="Z27" s="123" t="s">
        <v>199</v>
      </c>
      <c r="AA27" s="123">
        <v>18.0</v>
      </c>
      <c r="AB27" s="123" t="s">
        <v>199</v>
      </c>
      <c r="AC27" s="123">
        <v>47.0</v>
      </c>
      <c r="AD27" s="123">
        <v>0.0</v>
      </c>
      <c r="AE27" s="123" t="s">
        <v>199</v>
      </c>
      <c r="AF27" s="123">
        <v>23.0</v>
      </c>
      <c r="AG27" s="123">
        <v>0.0</v>
      </c>
      <c r="AH27" s="123" t="s">
        <v>199</v>
      </c>
      <c r="AI27" s="123" t="s">
        <v>199</v>
      </c>
      <c r="AJ27" s="123">
        <v>12.0</v>
      </c>
      <c r="AK27" s="123">
        <v>0.0</v>
      </c>
      <c r="AL27" s="123">
        <v>28.0</v>
      </c>
      <c r="AM27" s="123">
        <v>22.0</v>
      </c>
      <c r="AN27" s="123">
        <v>17.0</v>
      </c>
      <c r="AO27" s="123">
        <v>25.0</v>
      </c>
    </row>
    <row r="28">
      <c r="A28" s="121" t="s">
        <v>184</v>
      </c>
      <c r="B28" s="123" t="s">
        <v>199</v>
      </c>
      <c r="C28" s="123">
        <v>31.0</v>
      </c>
      <c r="D28" s="123" t="s">
        <v>199</v>
      </c>
      <c r="E28" s="123">
        <v>77.0</v>
      </c>
      <c r="F28" s="123" t="s">
        <v>199</v>
      </c>
      <c r="G28" s="123">
        <v>26.0</v>
      </c>
      <c r="H28" s="123">
        <v>30.0</v>
      </c>
      <c r="I28" s="123" t="s">
        <v>199</v>
      </c>
      <c r="J28" s="123">
        <v>54.0</v>
      </c>
      <c r="K28" s="123">
        <v>15.0</v>
      </c>
      <c r="L28" s="123">
        <v>0.0</v>
      </c>
      <c r="M28" s="123">
        <v>0.0</v>
      </c>
      <c r="N28" s="123" t="s">
        <v>199</v>
      </c>
      <c r="O28" s="123" t="s">
        <v>199</v>
      </c>
      <c r="P28" s="123" t="s">
        <v>199</v>
      </c>
      <c r="Q28" s="123">
        <v>21.0</v>
      </c>
      <c r="R28" s="123">
        <v>28.0</v>
      </c>
      <c r="S28" s="123">
        <v>0.0</v>
      </c>
      <c r="T28" s="123">
        <v>50.0</v>
      </c>
      <c r="U28" s="123" t="s">
        <v>199</v>
      </c>
      <c r="V28" s="123" t="s">
        <v>199</v>
      </c>
      <c r="W28" s="123">
        <v>44.0</v>
      </c>
      <c r="X28" s="123">
        <v>0.0</v>
      </c>
      <c r="Y28" s="123">
        <v>49.0</v>
      </c>
      <c r="Z28" s="123">
        <v>40.0</v>
      </c>
      <c r="AA28" s="123">
        <v>39.0</v>
      </c>
      <c r="AB28" s="123" t="s">
        <v>199</v>
      </c>
      <c r="AC28" s="123">
        <v>57.0</v>
      </c>
      <c r="AD28" s="123">
        <v>0.0</v>
      </c>
      <c r="AE28" s="123" t="s">
        <v>199</v>
      </c>
      <c r="AF28" s="123">
        <v>23.0</v>
      </c>
      <c r="AG28" s="123" t="s">
        <v>199</v>
      </c>
      <c r="AH28" s="123" t="s">
        <v>199</v>
      </c>
      <c r="AI28" s="123" t="s">
        <v>199</v>
      </c>
      <c r="AJ28" s="123">
        <v>21.0</v>
      </c>
      <c r="AK28" s="123" t="s">
        <v>199</v>
      </c>
      <c r="AL28" s="123">
        <v>45.0</v>
      </c>
      <c r="AM28" s="123" t="s">
        <v>199</v>
      </c>
      <c r="AN28" s="123">
        <v>29.0</v>
      </c>
      <c r="AO28" s="123">
        <v>32.0</v>
      </c>
    </row>
    <row r="29">
      <c r="A29" s="121" t="s">
        <v>185</v>
      </c>
      <c r="B29" s="123" t="s">
        <v>199</v>
      </c>
      <c r="C29" s="123">
        <v>31.0</v>
      </c>
      <c r="D29" s="123" t="s">
        <v>199</v>
      </c>
      <c r="E29" s="123">
        <v>114.0</v>
      </c>
      <c r="F29" s="123" t="s">
        <v>199</v>
      </c>
      <c r="G29" s="123" t="s">
        <v>199</v>
      </c>
      <c r="H29" s="123">
        <v>43.0</v>
      </c>
      <c r="I29" s="123">
        <v>32.0</v>
      </c>
      <c r="J29" s="123" t="s">
        <v>199</v>
      </c>
      <c r="K29" s="123">
        <v>32.0</v>
      </c>
      <c r="L29" s="123">
        <v>0.0</v>
      </c>
      <c r="M29" s="123">
        <v>0.0</v>
      </c>
      <c r="N29" s="123">
        <v>0.0</v>
      </c>
      <c r="O29" s="123">
        <v>0.0</v>
      </c>
      <c r="P29" s="123">
        <v>0.0</v>
      </c>
      <c r="Q29" s="123">
        <v>38.0</v>
      </c>
      <c r="R29" s="123">
        <v>23.0</v>
      </c>
      <c r="S29" s="123" t="s">
        <v>199</v>
      </c>
      <c r="T29" s="123" t="s">
        <v>199</v>
      </c>
      <c r="U29" s="123" t="s">
        <v>199</v>
      </c>
      <c r="V29" s="123">
        <v>0.0</v>
      </c>
      <c r="W29" s="123" t="s">
        <v>199</v>
      </c>
      <c r="X29" s="123" t="s">
        <v>199</v>
      </c>
      <c r="Y29" s="123">
        <v>43.0</v>
      </c>
      <c r="Z29" s="123" t="s">
        <v>199</v>
      </c>
      <c r="AA29" s="123">
        <v>79.0</v>
      </c>
      <c r="AB29" s="123" t="s">
        <v>199</v>
      </c>
      <c r="AC29" s="123">
        <v>67.0</v>
      </c>
      <c r="AD29" s="123">
        <v>0.0</v>
      </c>
      <c r="AE29" s="123" t="s">
        <v>199</v>
      </c>
      <c r="AF29" s="123">
        <v>60.0</v>
      </c>
      <c r="AG29" s="123">
        <v>0.0</v>
      </c>
      <c r="AH29" s="123" t="s">
        <v>199</v>
      </c>
      <c r="AI29" s="123" t="s">
        <v>199</v>
      </c>
      <c r="AJ29" s="123">
        <v>25.0</v>
      </c>
      <c r="AK29" s="123">
        <v>0.0</v>
      </c>
      <c r="AL29" s="123">
        <v>31.0</v>
      </c>
      <c r="AM29" s="123" t="s">
        <v>199</v>
      </c>
      <c r="AN29" s="123">
        <v>39.0</v>
      </c>
      <c r="AO29" s="123">
        <v>39.0</v>
      </c>
    </row>
    <row r="30">
      <c r="A30" s="121" t="s">
        <v>186</v>
      </c>
      <c r="B30" s="123">
        <v>0.0</v>
      </c>
      <c r="C30" s="123">
        <v>36.0</v>
      </c>
      <c r="D30" s="123" t="s">
        <v>199</v>
      </c>
      <c r="E30" s="123">
        <v>181.0</v>
      </c>
      <c r="F30" s="123" t="s">
        <v>199</v>
      </c>
      <c r="G30" s="123">
        <v>32.0</v>
      </c>
      <c r="H30" s="123">
        <v>53.0</v>
      </c>
      <c r="I30" s="123">
        <v>29.0</v>
      </c>
      <c r="J30" s="123">
        <v>46.0</v>
      </c>
      <c r="K30" s="123">
        <v>40.0</v>
      </c>
      <c r="L30" s="123" t="s">
        <v>199</v>
      </c>
      <c r="M30" s="123">
        <v>0.0</v>
      </c>
      <c r="N30" s="123" t="s">
        <v>199</v>
      </c>
      <c r="O30" s="123" t="s">
        <v>199</v>
      </c>
      <c r="P30" s="123" t="s">
        <v>199</v>
      </c>
      <c r="Q30" s="123">
        <v>65.0</v>
      </c>
      <c r="R30" s="123">
        <v>23.0</v>
      </c>
      <c r="S30" s="123">
        <v>0.0</v>
      </c>
      <c r="T30" s="123" t="s">
        <v>199</v>
      </c>
      <c r="U30" s="123" t="s">
        <v>199</v>
      </c>
      <c r="V30" s="123" t="s">
        <v>199</v>
      </c>
      <c r="W30" s="123">
        <v>32.0</v>
      </c>
      <c r="X30" s="123">
        <v>23.0</v>
      </c>
      <c r="Y30" s="123">
        <v>102.0</v>
      </c>
      <c r="Z30" s="123" t="s">
        <v>199</v>
      </c>
      <c r="AA30" s="123">
        <v>128.0</v>
      </c>
      <c r="AB30" s="123" t="s">
        <v>199</v>
      </c>
      <c r="AC30" s="123">
        <v>95.0</v>
      </c>
      <c r="AD30" s="123">
        <v>0.0</v>
      </c>
      <c r="AE30" s="123" t="s">
        <v>199</v>
      </c>
      <c r="AF30" s="123">
        <v>42.0</v>
      </c>
      <c r="AG30" s="123">
        <v>0.0</v>
      </c>
      <c r="AH30" s="123" t="s">
        <v>199</v>
      </c>
      <c r="AI30" s="123">
        <v>86.0</v>
      </c>
      <c r="AJ30" s="123">
        <v>42.0</v>
      </c>
      <c r="AK30" s="123" t="s">
        <v>199</v>
      </c>
      <c r="AL30" s="123">
        <v>35.0</v>
      </c>
      <c r="AM30" s="123" t="s">
        <v>199</v>
      </c>
      <c r="AN30" s="123">
        <v>41.0</v>
      </c>
      <c r="AO30" s="123">
        <v>58.0</v>
      </c>
    </row>
    <row r="31">
      <c r="A31" s="124" t="s">
        <v>187</v>
      </c>
      <c r="B31" s="123" t="s">
        <v>199</v>
      </c>
      <c r="C31" s="123">
        <v>22.0</v>
      </c>
      <c r="D31" s="123">
        <v>43.0</v>
      </c>
      <c r="E31" s="123">
        <v>191.0</v>
      </c>
      <c r="F31" s="123" t="s">
        <v>199</v>
      </c>
      <c r="G31" s="123">
        <v>20.0</v>
      </c>
      <c r="H31" s="123">
        <v>94.0</v>
      </c>
      <c r="I31" s="123">
        <v>29.0</v>
      </c>
      <c r="J31" s="123">
        <v>54.0</v>
      </c>
      <c r="K31" s="123">
        <v>30.0</v>
      </c>
      <c r="L31" s="123" t="s">
        <v>199</v>
      </c>
      <c r="M31" s="123" t="s">
        <v>199</v>
      </c>
      <c r="N31" s="123" t="s">
        <v>199</v>
      </c>
      <c r="O31" s="123">
        <v>0.0</v>
      </c>
      <c r="P31" s="123" t="s">
        <v>199</v>
      </c>
      <c r="Q31" s="123">
        <v>34.0</v>
      </c>
      <c r="R31" s="123">
        <v>60.0</v>
      </c>
      <c r="S31" s="123">
        <v>0.0</v>
      </c>
      <c r="T31" s="123">
        <v>37.0</v>
      </c>
      <c r="U31" s="123">
        <v>0.0</v>
      </c>
      <c r="V31" s="123" t="s">
        <v>199</v>
      </c>
      <c r="W31" s="123">
        <v>28.0</v>
      </c>
      <c r="X31" s="123">
        <v>19.0</v>
      </c>
      <c r="Y31" s="123">
        <v>105.0</v>
      </c>
      <c r="Z31" s="123" t="s">
        <v>199</v>
      </c>
      <c r="AA31" s="123">
        <v>145.0</v>
      </c>
      <c r="AB31" s="123">
        <v>0.0</v>
      </c>
      <c r="AC31" s="123">
        <v>106.0</v>
      </c>
      <c r="AD31" s="123" t="s">
        <v>199</v>
      </c>
      <c r="AE31" s="123" t="s">
        <v>199</v>
      </c>
      <c r="AF31" s="123" t="s">
        <v>199</v>
      </c>
      <c r="AG31" s="123" t="s">
        <v>199</v>
      </c>
      <c r="AH31" s="123" t="s">
        <v>199</v>
      </c>
      <c r="AI31" s="123" t="s">
        <v>199</v>
      </c>
      <c r="AJ31" s="123">
        <v>44.0</v>
      </c>
      <c r="AK31" s="123" t="s">
        <v>199</v>
      </c>
      <c r="AL31" s="123">
        <v>73.0</v>
      </c>
      <c r="AM31" s="123" t="s">
        <v>199</v>
      </c>
      <c r="AN31" s="123">
        <v>48.0</v>
      </c>
      <c r="AO31" s="123">
        <v>63.0</v>
      </c>
    </row>
    <row r="32">
      <c r="A32" s="124" t="s">
        <v>188</v>
      </c>
      <c r="B32" s="123" t="s">
        <v>199</v>
      </c>
      <c r="C32" s="123">
        <v>27.0</v>
      </c>
      <c r="D32" s="123" t="s">
        <v>199</v>
      </c>
      <c r="E32" s="123">
        <v>196.0</v>
      </c>
      <c r="F32" s="123">
        <v>0.0</v>
      </c>
      <c r="G32" s="123">
        <v>23.0</v>
      </c>
      <c r="H32" s="123">
        <v>112.0</v>
      </c>
      <c r="I32" s="123">
        <v>32.0</v>
      </c>
      <c r="J32" s="123" t="s">
        <v>199</v>
      </c>
      <c r="K32" s="123">
        <v>38.0</v>
      </c>
      <c r="L32" s="123" t="s">
        <v>199</v>
      </c>
      <c r="M32" s="123" t="s">
        <v>199</v>
      </c>
      <c r="N32" s="123" t="s">
        <v>199</v>
      </c>
      <c r="O32" s="123">
        <v>0.0</v>
      </c>
      <c r="P32" s="123">
        <v>0.0</v>
      </c>
      <c r="Q32" s="123">
        <v>51.0</v>
      </c>
      <c r="R32" s="123">
        <v>55.0</v>
      </c>
      <c r="S32" s="123">
        <v>0.0</v>
      </c>
      <c r="T32" s="123" t="s">
        <v>199</v>
      </c>
      <c r="U32" s="123" t="s">
        <v>199</v>
      </c>
      <c r="V32" s="123" t="s">
        <v>199</v>
      </c>
      <c r="W32" s="123">
        <v>20.0</v>
      </c>
      <c r="X32" s="123">
        <v>19.0</v>
      </c>
      <c r="Y32" s="123">
        <v>80.0</v>
      </c>
      <c r="Z32" s="123" t="s">
        <v>199</v>
      </c>
      <c r="AA32" s="123">
        <v>116.0</v>
      </c>
      <c r="AB32" s="123" t="s">
        <v>199</v>
      </c>
      <c r="AC32" s="123">
        <v>121.0</v>
      </c>
      <c r="AD32" s="123" t="s">
        <v>199</v>
      </c>
      <c r="AE32" s="123" t="s">
        <v>199</v>
      </c>
      <c r="AF32" s="123">
        <v>32.0</v>
      </c>
      <c r="AG32" s="123">
        <v>0.0</v>
      </c>
      <c r="AH32" s="123">
        <v>0.0</v>
      </c>
      <c r="AI32" s="123">
        <v>0.0</v>
      </c>
      <c r="AJ32" s="123">
        <v>33.0</v>
      </c>
      <c r="AK32" s="123">
        <v>0.0</v>
      </c>
      <c r="AL32" s="123">
        <v>35.0</v>
      </c>
      <c r="AM32" s="123">
        <v>22.0</v>
      </c>
      <c r="AN32" s="123">
        <v>51.0</v>
      </c>
      <c r="AO32" s="123">
        <v>62.0</v>
      </c>
    </row>
    <row r="33">
      <c r="A33" s="124" t="s">
        <v>189</v>
      </c>
      <c r="B33" s="123" t="s">
        <v>199</v>
      </c>
      <c r="C33" s="123">
        <v>22.0</v>
      </c>
      <c r="D33" s="123" t="s">
        <v>199</v>
      </c>
      <c r="E33" s="123">
        <v>175.0</v>
      </c>
      <c r="F33" s="123" t="s">
        <v>199</v>
      </c>
      <c r="G33" s="123">
        <v>17.0</v>
      </c>
      <c r="H33" s="123">
        <v>41.0</v>
      </c>
      <c r="I33" s="123">
        <v>43.0</v>
      </c>
      <c r="J33" s="123">
        <v>46.0</v>
      </c>
      <c r="K33" s="123">
        <v>27.0</v>
      </c>
      <c r="L33" s="123" t="s">
        <v>199</v>
      </c>
      <c r="M33" s="123" t="s">
        <v>199</v>
      </c>
      <c r="N33" s="123" t="s">
        <v>199</v>
      </c>
      <c r="O33" s="123">
        <v>0.0</v>
      </c>
      <c r="P33" s="123" t="s">
        <v>199</v>
      </c>
      <c r="Q33" s="123">
        <v>34.0</v>
      </c>
      <c r="R33" s="123">
        <v>28.0</v>
      </c>
      <c r="S33" s="123">
        <v>0.0</v>
      </c>
      <c r="T33" s="123">
        <v>0.0</v>
      </c>
      <c r="U33" s="123">
        <v>116.0</v>
      </c>
      <c r="V33" s="123" t="s">
        <v>199</v>
      </c>
      <c r="W33" s="123" t="s">
        <v>199</v>
      </c>
      <c r="X33" s="123">
        <v>31.0</v>
      </c>
      <c r="Y33" s="123">
        <v>59.0</v>
      </c>
      <c r="Z33" s="123">
        <v>0.0</v>
      </c>
      <c r="AA33" s="123">
        <v>77.0</v>
      </c>
      <c r="AB33" s="123" t="s">
        <v>199</v>
      </c>
      <c r="AC33" s="123">
        <v>124.0</v>
      </c>
      <c r="AD33" s="123" t="s">
        <v>199</v>
      </c>
      <c r="AE33" s="123" t="s">
        <v>199</v>
      </c>
      <c r="AF33" s="123">
        <v>46.0</v>
      </c>
      <c r="AG33" s="123">
        <v>46.0</v>
      </c>
      <c r="AH33" s="123" t="s">
        <v>199</v>
      </c>
      <c r="AI33" s="123">
        <v>0.0</v>
      </c>
      <c r="AJ33" s="123">
        <v>25.0</v>
      </c>
      <c r="AK33" s="123">
        <v>0.0</v>
      </c>
      <c r="AL33" s="123">
        <v>48.0</v>
      </c>
      <c r="AM33" s="123">
        <v>0.0</v>
      </c>
      <c r="AN33" s="123">
        <v>46.0</v>
      </c>
      <c r="AO33" s="123">
        <v>54.0</v>
      </c>
    </row>
    <row r="34">
      <c r="A34" s="124" t="s">
        <v>190</v>
      </c>
      <c r="B34" s="123">
        <v>0.0</v>
      </c>
      <c r="C34" s="123">
        <v>67.0</v>
      </c>
      <c r="D34" s="123" t="s">
        <v>199</v>
      </c>
      <c r="E34" s="123">
        <v>181.0</v>
      </c>
      <c r="F34" s="123">
        <v>0.0</v>
      </c>
      <c r="G34" s="123">
        <v>26.0</v>
      </c>
      <c r="H34" s="123">
        <v>63.0</v>
      </c>
      <c r="I34" s="123">
        <v>61.0</v>
      </c>
      <c r="J34" s="123">
        <v>69.0</v>
      </c>
      <c r="K34" s="123">
        <v>27.0</v>
      </c>
      <c r="L34" s="123" t="s">
        <v>199</v>
      </c>
      <c r="M34" s="123" t="s">
        <v>199</v>
      </c>
      <c r="N34" s="123" t="s">
        <v>199</v>
      </c>
      <c r="O34" s="123" t="s">
        <v>199</v>
      </c>
      <c r="P34" s="123" t="s">
        <v>199</v>
      </c>
      <c r="Q34" s="123">
        <v>75.0</v>
      </c>
      <c r="R34" s="123">
        <v>42.0</v>
      </c>
      <c r="S34" s="123">
        <v>0.0</v>
      </c>
      <c r="T34" s="123">
        <v>31.0</v>
      </c>
      <c r="U34" s="123">
        <v>58.0</v>
      </c>
      <c r="V34" s="123">
        <v>0.0</v>
      </c>
      <c r="W34" s="123" t="s">
        <v>199</v>
      </c>
      <c r="X34" s="123">
        <v>53.0</v>
      </c>
      <c r="Y34" s="123">
        <v>59.0</v>
      </c>
      <c r="Z34" s="123" t="s">
        <v>199</v>
      </c>
      <c r="AA34" s="123">
        <v>75.0</v>
      </c>
      <c r="AB34" s="123" t="s">
        <v>199</v>
      </c>
      <c r="AC34" s="123">
        <v>121.0</v>
      </c>
      <c r="AD34" s="123">
        <v>0.0</v>
      </c>
      <c r="AE34" s="123" t="s">
        <v>199</v>
      </c>
      <c r="AF34" s="123">
        <v>37.0</v>
      </c>
      <c r="AG34" s="123" t="s">
        <v>199</v>
      </c>
      <c r="AH34" s="123">
        <v>44.0</v>
      </c>
      <c r="AI34" s="123" t="s">
        <v>199</v>
      </c>
      <c r="AJ34" s="123">
        <v>44.0</v>
      </c>
      <c r="AK34" s="123" t="s">
        <v>199</v>
      </c>
      <c r="AL34" s="123" t="s">
        <v>199</v>
      </c>
      <c r="AM34" s="123" t="s">
        <v>199</v>
      </c>
      <c r="AN34" s="123">
        <v>39.0</v>
      </c>
      <c r="AO34" s="123">
        <v>60.0</v>
      </c>
    </row>
    <row r="35">
      <c r="A35" s="124" t="s">
        <v>191</v>
      </c>
      <c r="B35" s="123" t="s">
        <v>199</v>
      </c>
      <c r="C35" s="123">
        <v>31.0</v>
      </c>
      <c r="D35" s="123" t="s">
        <v>199</v>
      </c>
      <c r="E35" s="123">
        <v>114.0</v>
      </c>
      <c r="F35" s="123" t="s">
        <v>199</v>
      </c>
      <c r="G35" s="123">
        <v>26.0</v>
      </c>
      <c r="H35" s="123">
        <v>53.0</v>
      </c>
      <c r="I35" s="123">
        <v>35.0</v>
      </c>
      <c r="J35" s="123">
        <v>61.0</v>
      </c>
      <c r="K35" s="123">
        <v>11.0</v>
      </c>
      <c r="L35" s="123">
        <v>0.0</v>
      </c>
      <c r="M35" s="123" t="s">
        <v>199</v>
      </c>
      <c r="N35" s="123" t="s">
        <v>199</v>
      </c>
      <c r="O35" s="123" t="s">
        <v>199</v>
      </c>
      <c r="P35" s="123">
        <v>0.0</v>
      </c>
      <c r="Q35" s="123">
        <v>48.0</v>
      </c>
      <c r="R35" s="123">
        <v>37.0</v>
      </c>
      <c r="S35" s="123">
        <v>0.0</v>
      </c>
      <c r="T35" s="123" t="s">
        <v>199</v>
      </c>
      <c r="U35" s="123">
        <v>39.0</v>
      </c>
      <c r="V35" s="123">
        <v>0.0</v>
      </c>
      <c r="W35" s="123">
        <v>20.0</v>
      </c>
      <c r="X35" s="123">
        <v>27.0</v>
      </c>
      <c r="Y35" s="123">
        <v>49.0</v>
      </c>
      <c r="Z35" s="123" t="s">
        <v>199</v>
      </c>
      <c r="AA35" s="123">
        <v>53.0</v>
      </c>
      <c r="AB35" s="123">
        <v>29.0</v>
      </c>
      <c r="AC35" s="123">
        <v>106.0</v>
      </c>
      <c r="AD35" s="123" t="s">
        <v>199</v>
      </c>
      <c r="AE35" s="123" t="s">
        <v>199</v>
      </c>
      <c r="AF35" s="123">
        <v>37.0</v>
      </c>
      <c r="AG35" s="123" t="s">
        <v>199</v>
      </c>
      <c r="AH35" s="123">
        <v>32.0</v>
      </c>
      <c r="AI35" s="123" t="s">
        <v>199</v>
      </c>
      <c r="AJ35" s="123">
        <v>17.0</v>
      </c>
      <c r="AK35" s="123" t="s">
        <v>199</v>
      </c>
      <c r="AL35" s="123">
        <v>21.0</v>
      </c>
      <c r="AM35" s="123" t="s">
        <v>199</v>
      </c>
      <c r="AN35" s="123">
        <v>43.0</v>
      </c>
      <c r="AO35" s="123">
        <v>47.0</v>
      </c>
    </row>
    <row r="36">
      <c r="A36" s="124" t="s">
        <v>192</v>
      </c>
      <c r="B36" s="123" t="s">
        <v>199</v>
      </c>
      <c r="C36" s="123" t="s">
        <v>199</v>
      </c>
      <c r="D36" s="123" t="s">
        <v>199</v>
      </c>
      <c r="E36" s="123">
        <v>26.0</v>
      </c>
      <c r="F36" s="123">
        <v>0.0</v>
      </c>
      <c r="G36" s="123" t="s">
        <v>199</v>
      </c>
      <c r="H36" s="123">
        <v>44.0</v>
      </c>
      <c r="I36" s="123">
        <v>40.0</v>
      </c>
      <c r="J36" s="123">
        <v>0.0</v>
      </c>
      <c r="K36" s="123">
        <v>21.0</v>
      </c>
      <c r="L36" s="123">
        <v>0.0</v>
      </c>
      <c r="M36" s="123" t="s">
        <v>199</v>
      </c>
      <c r="N36" s="123" t="s">
        <v>199</v>
      </c>
      <c r="O36" s="123">
        <v>0.0</v>
      </c>
      <c r="P36" s="123" t="s">
        <v>199</v>
      </c>
      <c r="Q36" s="123">
        <v>48.0</v>
      </c>
      <c r="R36" s="123">
        <v>28.0</v>
      </c>
      <c r="S36" s="123">
        <v>0.0</v>
      </c>
      <c r="T36" s="123" t="s">
        <v>199</v>
      </c>
      <c r="U36" s="123" t="s">
        <v>199</v>
      </c>
      <c r="V36" s="123">
        <v>0.0</v>
      </c>
      <c r="W36" s="123">
        <v>24.0</v>
      </c>
      <c r="X36" s="123">
        <v>23.0</v>
      </c>
      <c r="Y36" s="123">
        <v>86.0</v>
      </c>
      <c r="Z36" s="123" t="s">
        <v>199</v>
      </c>
      <c r="AA36" s="123">
        <v>53.0</v>
      </c>
      <c r="AB36" s="123" t="s">
        <v>199</v>
      </c>
      <c r="AC36" s="123">
        <v>99.0</v>
      </c>
      <c r="AD36" s="123">
        <v>0.0</v>
      </c>
      <c r="AE36" s="123" t="s">
        <v>199</v>
      </c>
      <c r="AF36" s="123">
        <v>28.0</v>
      </c>
      <c r="AG36" s="123">
        <v>0.0</v>
      </c>
      <c r="AH36" s="123">
        <v>38.0</v>
      </c>
      <c r="AI36" s="123" t="s">
        <v>199</v>
      </c>
      <c r="AJ36" s="123">
        <v>32.0</v>
      </c>
      <c r="AK36" s="123">
        <v>0.0</v>
      </c>
      <c r="AL36" s="123" t="s">
        <v>199</v>
      </c>
      <c r="AM36" s="123" t="s">
        <v>199</v>
      </c>
      <c r="AN36" s="123">
        <v>29.0</v>
      </c>
      <c r="AO36" s="123">
        <v>42.0</v>
      </c>
    </row>
    <row r="37">
      <c r="A37" s="124" t="s">
        <v>193</v>
      </c>
      <c r="B37" s="123">
        <v>31.0</v>
      </c>
      <c r="C37" s="123">
        <v>45.0</v>
      </c>
      <c r="D37" s="123">
        <v>43.0</v>
      </c>
      <c r="E37" s="123">
        <v>93.0</v>
      </c>
      <c r="F37" s="123" t="s">
        <v>199</v>
      </c>
      <c r="G37" s="123">
        <v>14.0</v>
      </c>
      <c r="H37" s="123">
        <v>37.0</v>
      </c>
      <c r="I37" s="123">
        <v>81.0</v>
      </c>
      <c r="J37" s="123" t="s">
        <v>199</v>
      </c>
      <c r="K37" s="123">
        <v>32.0</v>
      </c>
      <c r="L37" s="123">
        <v>0.0</v>
      </c>
      <c r="M37" s="123" t="s">
        <v>199</v>
      </c>
      <c r="N37" s="123">
        <v>0.0</v>
      </c>
      <c r="O37" s="123">
        <v>0.0</v>
      </c>
      <c r="P37" s="123">
        <v>0.0</v>
      </c>
      <c r="Q37" s="123">
        <v>31.0</v>
      </c>
      <c r="R37" s="123" t="s">
        <v>199</v>
      </c>
      <c r="S37" s="123">
        <v>0.0</v>
      </c>
      <c r="T37" s="123" t="s">
        <v>199</v>
      </c>
      <c r="U37" s="123">
        <v>32.0</v>
      </c>
      <c r="V37" s="123">
        <v>0.0</v>
      </c>
      <c r="W37" s="123">
        <v>52.0</v>
      </c>
      <c r="X37" s="123">
        <v>27.0</v>
      </c>
      <c r="Y37" s="123">
        <v>37.0</v>
      </c>
      <c r="Z37" s="123" t="s">
        <v>199</v>
      </c>
      <c r="AA37" s="123">
        <v>78.0</v>
      </c>
      <c r="AB37" s="123" t="s">
        <v>199</v>
      </c>
      <c r="AC37" s="123">
        <v>81.0</v>
      </c>
      <c r="AD37" s="123">
        <v>0.0</v>
      </c>
      <c r="AE37" s="123" t="s">
        <v>199</v>
      </c>
      <c r="AF37" s="123">
        <v>28.0</v>
      </c>
      <c r="AG37" s="123" t="s">
        <v>199</v>
      </c>
      <c r="AH37" s="123" t="s">
        <v>199</v>
      </c>
      <c r="AI37" s="123">
        <v>0.0</v>
      </c>
      <c r="AJ37" s="123">
        <v>27.0</v>
      </c>
      <c r="AK37" s="123" t="s">
        <v>199</v>
      </c>
      <c r="AL37" s="123">
        <v>38.0</v>
      </c>
      <c r="AM37" s="123">
        <v>22.0</v>
      </c>
      <c r="AN37" s="123">
        <v>39.0</v>
      </c>
      <c r="AO37" s="123">
        <v>44.0</v>
      </c>
    </row>
    <row r="38">
      <c r="A38" s="124" t="s">
        <v>194</v>
      </c>
      <c r="B38" s="123" t="s">
        <v>199</v>
      </c>
      <c r="C38" s="123">
        <v>27.0</v>
      </c>
      <c r="D38" s="123">
        <v>61.0</v>
      </c>
      <c r="E38" s="123">
        <v>114.0</v>
      </c>
      <c r="F38" s="123" t="s">
        <v>199</v>
      </c>
      <c r="G38" s="123">
        <v>61.0</v>
      </c>
      <c r="H38" s="123">
        <v>47.0</v>
      </c>
      <c r="I38" s="123">
        <v>40.0</v>
      </c>
      <c r="J38" s="123" t="s">
        <v>199</v>
      </c>
      <c r="K38" s="123">
        <v>17.0</v>
      </c>
      <c r="L38" s="123" t="s">
        <v>199</v>
      </c>
      <c r="M38" s="123">
        <v>0.0</v>
      </c>
      <c r="N38" s="123">
        <v>0.0</v>
      </c>
      <c r="O38" s="123">
        <v>0.0</v>
      </c>
      <c r="P38" s="123" t="s">
        <v>199</v>
      </c>
      <c r="Q38" s="123">
        <v>72.0</v>
      </c>
      <c r="R38" s="123">
        <v>23.0</v>
      </c>
      <c r="S38" s="123">
        <v>0.0</v>
      </c>
      <c r="T38" s="123">
        <v>0.0</v>
      </c>
      <c r="U38" s="123">
        <v>186.0</v>
      </c>
      <c r="V38" s="123">
        <v>0.0</v>
      </c>
      <c r="W38" s="123">
        <v>24.0</v>
      </c>
      <c r="X38" s="123">
        <v>19.0</v>
      </c>
      <c r="Y38" s="123">
        <v>52.0</v>
      </c>
      <c r="Z38" s="123">
        <v>57.0</v>
      </c>
      <c r="AA38" s="123">
        <v>54.0</v>
      </c>
      <c r="AB38" s="123" t="s">
        <v>199</v>
      </c>
      <c r="AC38" s="123">
        <v>153.0</v>
      </c>
      <c r="AD38" s="123">
        <v>0.0</v>
      </c>
      <c r="AE38" s="123" t="s">
        <v>199</v>
      </c>
      <c r="AF38" s="123">
        <v>42.0</v>
      </c>
      <c r="AG38" s="123">
        <v>20.0</v>
      </c>
      <c r="AH38" s="123">
        <v>32.0</v>
      </c>
      <c r="AI38" s="123" t="s">
        <v>199</v>
      </c>
      <c r="AJ38" s="123">
        <v>39.0</v>
      </c>
      <c r="AK38" s="123" t="s">
        <v>199</v>
      </c>
      <c r="AL38" s="123">
        <v>35.0</v>
      </c>
      <c r="AM38" s="123">
        <v>35.0</v>
      </c>
      <c r="AN38" s="123">
        <v>36.0</v>
      </c>
      <c r="AO38" s="123">
        <v>61.0</v>
      </c>
    </row>
    <row r="39">
      <c r="A39" s="124" t="s">
        <v>195</v>
      </c>
      <c r="B39" s="123" t="s">
        <v>199</v>
      </c>
      <c r="C39" s="123" t="s">
        <v>199</v>
      </c>
      <c r="D39" s="123">
        <v>43.0</v>
      </c>
      <c r="E39" s="123">
        <v>181.0</v>
      </c>
      <c r="F39" s="123" t="s">
        <v>199</v>
      </c>
      <c r="G39" s="123">
        <v>17.0</v>
      </c>
      <c r="H39" s="123">
        <v>53.0</v>
      </c>
      <c r="I39" s="123">
        <v>38.0</v>
      </c>
      <c r="J39" s="123" t="s">
        <v>199</v>
      </c>
      <c r="K39" s="123">
        <v>19.0</v>
      </c>
      <c r="L39" s="123" t="s">
        <v>199</v>
      </c>
      <c r="M39" s="123">
        <v>0.0</v>
      </c>
      <c r="N39" s="123" t="s">
        <v>199</v>
      </c>
      <c r="O39" s="123" t="s">
        <v>199</v>
      </c>
      <c r="P39" s="123">
        <v>0.0</v>
      </c>
      <c r="Q39" s="123">
        <v>89.0</v>
      </c>
      <c r="R39" s="123">
        <v>65.0</v>
      </c>
      <c r="S39" s="123">
        <v>0.0</v>
      </c>
      <c r="T39" s="123" t="s">
        <v>199</v>
      </c>
      <c r="U39" s="123">
        <v>154.0</v>
      </c>
      <c r="V39" s="123">
        <v>0.0</v>
      </c>
      <c r="W39" s="123">
        <v>20.0</v>
      </c>
      <c r="X39" s="123">
        <v>23.0</v>
      </c>
      <c r="Y39" s="123">
        <v>71.0</v>
      </c>
      <c r="Z39" s="123">
        <v>65.0</v>
      </c>
      <c r="AA39" s="123">
        <v>113.0</v>
      </c>
      <c r="AB39" s="123">
        <v>0.0</v>
      </c>
      <c r="AC39" s="123">
        <v>123.0</v>
      </c>
      <c r="AD39" s="123" t="s">
        <v>199</v>
      </c>
      <c r="AE39" s="123" t="s">
        <v>199</v>
      </c>
      <c r="AF39" s="123">
        <v>55.0</v>
      </c>
      <c r="AG39" s="123" t="s">
        <v>199</v>
      </c>
      <c r="AH39" s="123" t="s">
        <v>199</v>
      </c>
      <c r="AI39" s="123">
        <v>57.0</v>
      </c>
      <c r="AJ39" s="123">
        <v>31.0</v>
      </c>
      <c r="AK39" s="123" t="s">
        <v>199</v>
      </c>
      <c r="AL39" s="123">
        <v>31.0</v>
      </c>
      <c r="AM39" s="123">
        <v>49.0</v>
      </c>
      <c r="AN39" s="123">
        <v>24.0</v>
      </c>
      <c r="AO39" s="123">
        <v>61.0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200</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201</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202</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44104.0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203</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590.0</v>
      </c>
      <c r="F17" s="134">
        <v>48.0</v>
      </c>
      <c r="G17" s="134">
        <v>275.0</v>
      </c>
      <c r="H17" s="135">
        <v>1063.0</v>
      </c>
      <c r="I17" s="134">
        <v>426.0</v>
      </c>
      <c r="J17" s="134">
        <v>150.0</v>
      </c>
      <c r="K17" s="134">
        <v>749.0</v>
      </c>
      <c r="L17" s="134">
        <v>56.0</v>
      </c>
      <c r="M17" s="134">
        <v>39.0</v>
      </c>
      <c r="N17" s="134">
        <v>72.0</v>
      </c>
      <c r="O17" s="134">
        <v>56.0</v>
      </c>
      <c r="P17" s="134">
        <v>35.0</v>
      </c>
      <c r="Q17" s="134">
        <v>352.0</v>
      </c>
      <c r="R17" s="134">
        <v>259.0</v>
      </c>
      <c r="S17" s="134">
        <v>17.0</v>
      </c>
      <c r="T17" s="134">
        <v>170.0</v>
      </c>
      <c r="U17" s="134">
        <v>93.0</v>
      </c>
      <c r="V17" s="134">
        <v>5.0</v>
      </c>
      <c r="W17" s="134">
        <v>214.0</v>
      </c>
      <c r="X17" s="134">
        <v>239.0</v>
      </c>
      <c r="Y17" s="134">
        <v>580.0</v>
      </c>
      <c r="Z17" s="134">
        <v>144.0</v>
      </c>
      <c r="AA17" s="135">
        <v>1299.0</v>
      </c>
      <c r="AB17" s="134">
        <v>127.0</v>
      </c>
      <c r="AC17" s="135">
        <v>3549.0</v>
      </c>
      <c r="AD17" s="134">
        <v>43.0</v>
      </c>
      <c r="AE17" s="134">
        <v>114.0</v>
      </c>
      <c r="AF17" s="134">
        <v>200.0</v>
      </c>
      <c r="AG17" s="134">
        <v>169.0</v>
      </c>
      <c r="AH17" s="134">
        <v>142.0</v>
      </c>
      <c r="AI17" s="134">
        <v>114.0</v>
      </c>
      <c r="AJ17" s="134">
        <v>767.0</v>
      </c>
      <c r="AK17" s="134">
        <v>38.0</v>
      </c>
      <c r="AL17" s="134">
        <v>293.0</v>
      </c>
      <c r="AM17" s="134">
        <v>95.0</v>
      </c>
      <c r="AN17" s="134">
        <v>507.0</v>
      </c>
      <c r="AO17" s="134">
        <v>772.0</v>
      </c>
      <c r="AP17" s="136">
        <v>14376.0</v>
      </c>
    </row>
    <row r="18">
      <c r="A18" s="132" t="s">
        <v>175</v>
      </c>
      <c r="B18" s="134">
        <v>109.0</v>
      </c>
      <c r="C18" s="134">
        <v>231.0</v>
      </c>
      <c r="D18" s="134">
        <v>139.0</v>
      </c>
      <c r="E18" s="134">
        <v>653.0</v>
      </c>
      <c r="F18" s="134">
        <v>63.0</v>
      </c>
      <c r="G18" s="134">
        <v>323.0</v>
      </c>
      <c r="H18" s="135">
        <v>1155.0</v>
      </c>
      <c r="I18" s="134">
        <v>343.0</v>
      </c>
      <c r="J18" s="134">
        <v>151.0</v>
      </c>
      <c r="K18" s="134">
        <v>745.0</v>
      </c>
      <c r="L18" s="134">
        <v>40.0</v>
      </c>
      <c r="M18" s="134">
        <v>25.0</v>
      </c>
      <c r="N18" s="134">
        <v>76.0</v>
      </c>
      <c r="O18" s="134">
        <v>55.0</v>
      </c>
      <c r="P18" s="134">
        <v>49.0</v>
      </c>
      <c r="Q18" s="134">
        <v>431.0</v>
      </c>
      <c r="R18" s="134">
        <v>302.0</v>
      </c>
      <c r="S18" s="134">
        <v>22.0</v>
      </c>
      <c r="T18" s="134">
        <v>162.0</v>
      </c>
      <c r="U18" s="134">
        <v>78.0</v>
      </c>
      <c r="V18" s="134">
        <v>7.0</v>
      </c>
      <c r="W18" s="134">
        <v>225.0</v>
      </c>
      <c r="X18" s="134">
        <v>229.0</v>
      </c>
      <c r="Y18" s="134">
        <v>572.0</v>
      </c>
      <c r="Z18" s="134">
        <v>104.0</v>
      </c>
      <c r="AA18" s="135">
        <v>1500.0</v>
      </c>
      <c r="AB18" s="134">
        <v>123.0</v>
      </c>
      <c r="AC18" s="135">
        <v>3837.0</v>
      </c>
      <c r="AD18" s="134">
        <v>51.0</v>
      </c>
      <c r="AE18" s="134">
        <v>116.0</v>
      </c>
      <c r="AF18" s="134">
        <v>189.0</v>
      </c>
      <c r="AG18" s="134">
        <v>238.0</v>
      </c>
      <c r="AH18" s="134">
        <v>173.0</v>
      </c>
      <c r="AI18" s="134">
        <v>152.0</v>
      </c>
      <c r="AJ18" s="134">
        <v>913.0</v>
      </c>
      <c r="AK18" s="134">
        <v>53.0</v>
      </c>
      <c r="AL18" s="134">
        <v>331.0</v>
      </c>
      <c r="AM18" s="134">
        <v>188.0</v>
      </c>
      <c r="AN18" s="134">
        <v>497.0</v>
      </c>
      <c r="AO18" s="134">
        <v>884.0</v>
      </c>
      <c r="AP18" s="136">
        <v>15534.0</v>
      </c>
    </row>
    <row r="19">
      <c r="A19" s="132" t="s">
        <v>176</v>
      </c>
      <c r="B19" s="134">
        <v>121.0</v>
      </c>
      <c r="C19" s="134">
        <v>212.0</v>
      </c>
      <c r="D19" s="134">
        <v>249.0</v>
      </c>
      <c r="E19" s="134">
        <v>608.0</v>
      </c>
      <c r="F19" s="134">
        <v>106.0</v>
      </c>
      <c r="G19" s="134">
        <v>473.0</v>
      </c>
      <c r="H19" s="135">
        <v>1153.0</v>
      </c>
      <c r="I19" s="134">
        <v>379.0</v>
      </c>
      <c r="J19" s="134">
        <v>208.0</v>
      </c>
      <c r="K19" s="134">
        <v>788.0</v>
      </c>
      <c r="L19" s="134">
        <v>49.0</v>
      </c>
      <c r="M19" s="134">
        <v>48.0</v>
      </c>
      <c r="N19" s="134">
        <v>103.0</v>
      </c>
      <c r="O19" s="134">
        <v>131.0</v>
      </c>
      <c r="P19" s="134">
        <v>45.0</v>
      </c>
      <c r="Q19" s="134">
        <v>434.0</v>
      </c>
      <c r="R19" s="134">
        <v>305.0</v>
      </c>
      <c r="S19" s="134">
        <v>28.0</v>
      </c>
      <c r="T19" s="134">
        <v>295.0</v>
      </c>
      <c r="U19" s="134">
        <v>131.0</v>
      </c>
      <c r="V19" s="134" t="s">
        <v>45</v>
      </c>
      <c r="W19" s="134">
        <v>281.0</v>
      </c>
      <c r="X19" s="134">
        <v>311.0</v>
      </c>
      <c r="Y19" s="134">
        <v>636.0</v>
      </c>
      <c r="Z19" s="134">
        <v>293.0</v>
      </c>
      <c r="AA19" s="135">
        <v>1424.0</v>
      </c>
      <c r="AB19" s="134">
        <v>154.0</v>
      </c>
      <c r="AC19" s="135">
        <v>3982.0</v>
      </c>
      <c r="AD19" s="134">
        <v>65.0</v>
      </c>
      <c r="AE19" s="134">
        <v>137.0</v>
      </c>
      <c r="AF19" s="134">
        <v>222.0</v>
      </c>
      <c r="AG19" s="134">
        <v>276.0</v>
      </c>
      <c r="AH19" s="134">
        <v>137.0</v>
      </c>
      <c r="AI19" s="134">
        <v>169.0</v>
      </c>
      <c r="AJ19" s="134">
        <v>990.0</v>
      </c>
      <c r="AK19" s="134">
        <v>55.0</v>
      </c>
      <c r="AL19" s="134">
        <v>341.0</v>
      </c>
      <c r="AM19" s="134">
        <v>378.0</v>
      </c>
      <c r="AN19" s="134">
        <v>530.0</v>
      </c>
      <c r="AO19" s="134">
        <v>776.0</v>
      </c>
      <c r="AP19" s="136">
        <v>17027.0</v>
      </c>
    </row>
    <row r="20">
      <c r="A20" s="132" t="s">
        <v>177</v>
      </c>
      <c r="B20" s="134">
        <v>134.0</v>
      </c>
      <c r="C20" s="134">
        <v>281.0</v>
      </c>
      <c r="D20" s="134">
        <v>227.0</v>
      </c>
      <c r="E20" s="134">
        <v>526.0</v>
      </c>
      <c r="F20" s="134">
        <v>74.0</v>
      </c>
      <c r="G20" s="134">
        <v>406.0</v>
      </c>
      <c r="H20" s="135">
        <v>1281.0</v>
      </c>
      <c r="I20" s="134">
        <v>433.0</v>
      </c>
      <c r="J20" s="134">
        <v>247.0</v>
      </c>
      <c r="K20" s="134">
        <v>744.0</v>
      </c>
      <c r="L20" s="134">
        <v>53.0</v>
      </c>
      <c r="M20" s="134">
        <v>72.0</v>
      </c>
      <c r="N20" s="134">
        <v>133.0</v>
      </c>
      <c r="O20" s="134">
        <v>68.0</v>
      </c>
      <c r="P20" s="134">
        <v>80.0</v>
      </c>
      <c r="Q20" s="134">
        <v>418.0</v>
      </c>
      <c r="R20" s="134">
        <v>314.0</v>
      </c>
      <c r="S20" s="134">
        <v>34.0</v>
      </c>
      <c r="T20" s="134">
        <v>271.0</v>
      </c>
      <c r="U20" s="134">
        <v>117.0</v>
      </c>
      <c r="V20" s="134">
        <v>6.0</v>
      </c>
      <c r="W20" s="134">
        <v>383.0</v>
      </c>
      <c r="X20" s="134">
        <v>290.0</v>
      </c>
      <c r="Y20" s="134">
        <v>582.0</v>
      </c>
      <c r="Z20" s="134">
        <v>170.0</v>
      </c>
      <c r="AA20" s="135">
        <v>1568.0</v>
      </c>
      <c r="AB20" s="134">
        <v>150.0</v>
      </c>
      <c r="AC20" s="135">
        <v>4064.0</v>
      </c>
      <c r="AD20" s="134">
        <v>57.0</v>
      </c>
      <c r="AE20" s="134">
        <v>125.0</v>
      </c>
      <c r="AF20" s="134">
        <v>220.0</v>
      </c>
      <c r="AG20" s="134">
        <v>282.0</v>
      </c>
      <c r="AH20" s="134">
        <v>171.0</v>
      </c>
      <c r="AI20" s="134">
        <v>176.0</v>
      </c>
      <c r="AJ20" s="134">
        <v>943.0</v>
      </c>
      <c r="AK20" s="134">
        <v>55.0</v>
      </c>
      <c r="AL20" s="134">
        <v>348.0</v>
      </c>
      <c r="AM20" s="134">
        <v>145.0</v>
      </c>
      <c r="AN20" s="134">
        <v>603.0</v>
      </c>
      <c r="AO20" s="134">
        <v>393.0</v>
      </c>
      <c r="AP20" s="136">
        <v>16644.0</v>
      </c>
    </row>
    <row r="21">
      <c r="A21" s="132" t="s">
        <v>178</v>
      </c>
      <c r="B21" s="134">
        <v>95.0</v>
      </c>
      <c r="C21" s="134">
        <v>311.0</v>
      </c>
      <c r="D21" s="134">
        <v>197.0</v>
      </c>
      <c r="E21" s="134">
        <v>352.0</v>
      </c>
      <c r="F21" s="134">
        <v>94.0</v>
      </c>
      <c r="G21" s="134">
        <v>455.0</v>
      </c>
      <c r="H21" s="135">
        <v>1029.0</v>
      </c>
      <c r="I21" s="134">
        <v>320.0</v>
      </c>
      <c r="J21" s="134">
        <v>157.0</v>
      </c>
      <c r="K21" s="134">
        <v>657.0</v>
      </c>
      <c r="L21" s="134">
        <v>65.0</v>
      </c>
      <c r="M21" s="134">
        <v>56.0</v>
      </c>
      <c r="N21" s="134">
        <v>84.0</v>
      </c>
      <c r="O21" s="134">
        <v>103.0</v>
      </c>
      <c r="P21" s="134">
        <v>47.0</v>
      </c>
      <c r="Q21" s="134">
        <v>364.0</v>
      </c>
      <c r="R21" s="134">
        <v>215.0</v>
      </c>
      <c r="S21" s="134">
        <v>26.0</v>
      </c>
      <c r="T21" s="134">
        <v>200.0</v>
      </c>
      <c r="U21" s="134">
        <v>127.0</v>
      </c>
      <c r="V21" s="134">
        <v>30.0</v>
      </c>
      <c r="W21" s="134">
        <v>218.0</v>
      </c>
      <c r="X21" s="134">
        <v>318.0</v>
      </c>
      <c r="Y21" s="134">
        <v>443.0</v>
      </c>
      <c r="Z21" s="134">
        <v>160.0</v>
      </c>
      <c r="AA21" s="135">
        <v>1075.0</v>
      </c>
      <c r="AB21" s="134">
        <v>145.0</v>
      </c>
      <c r="AC21" s="135">
        <v>3113.0</v>
      </c>
      <c r="AD21" s="134">
        <v>71.0</v>
      </c>
      <c r="AE21" s="134">
        <v>132.0</v>
      </c>
      <c r="AF21" s="134">
        <v>204.0</v>
      </c>
      <c r="AG21" s="134">
        <v>268.0</v>
      </c>
      <c r="AH21" s="134">
        <v>153.0</v>
      </c>
      <c r="AI21" s="134">
        <v>192.0</v>
      </c>
      <c r="AJ21" s="135">
        <v>1003.0</v>
      </c>
      <c r="AK21" s="134">
        <v>65.0</v>
      </c>
      <c r="AL21" s="134">
        <v>351.0</v>
      </c>
      <c r="AM21" s="134">
        <v>237.0</v>
      </c>
      <c r="AN21" s="134">
        <v>555.0</v>
      </c>
      <c r="AO21" s="134">
        <v>161.0</v>
      </c>
      <c r="AP21" s="136">
        <v>13848.0</v>
      </c>
    </row>
    <row r="22">
      <c r="A22" s="132" t="s">
        <v>179</v>
      </c>
      <c r="B22" s="134">
        <v>135.0</v>
      </c>
      <c r="C22" s="134">
        <v>236.0</v>
      </c>
      <c r="D22" s="134">
        <v>221.0</v>
      </c>
      <c r="E22" s="134">
        <v>339.0</v>
      </c>
      <c r="F22" s="134">
        <v>95.0</v>
      </c>
      <c r="G22" s="134">
        <v>540.0</v>
      </c>
      <c r="H22" s="135">
        <v>1124.0</v>
      </c>
      <c r="I22" s="134">
        <v>370.0</v>
      </c>
      <c r="J22" s="134">
        <v>228.0</v>
      </c>
      <c r="K22" s="134">
        <v>866.0</v>
      </c>
      <c r="L22" s="134">
        <v>97.0</v>
      </c>
      <c r="M22" s="134">
        <v>59.0</v>
      </c>
      <c r="N22" s="134">
        <v>101.0</v>
      </c>
      <c r="O22" s="134">
        <v>78.0</v>
      </c>
      <c r="P22" s="134">
        <v>71.0</v>
      </c>
      <c r="Q22" s="134">
        <v>427.0</v>
      </c>
      <c r="R22" s="134">
        <v>325.0</v>
      </c>
      <c r="S22" s="134">
        <v>32.0</v>
      </c>
      <c r="T22" s="134">
        <v>305.0</v>
      </c>
      <c r="U22" s="134">
        <v>138.0</v>
      </c>
      <c r="V22" s="134">
        <v>11.0</v>
      </c>
      <c r="W22" s="134">
        <v>359.0</v>
      </c>
      <c r="X22" s="134">
        <v>364.0</v>
      </c>
      <c r="Y22" s="134">
        <v>557.0</v>
      </c>
      <c r="Z22" s="134">
        <v>165.0</v>
      </c>
      <c r="AA22" s="135">
        <v>1242.0</v>
      </c>
      <c r="AB22" s="134">
        <v>188.0</v>
      </c>
      <c r="AC22" s="135">
        <v>3554.0</v>
      </c>
      <c r="AD22" s="134">
        <v>84.0</v>
      </c>
      <c r="AE22" s="134">
        <v>138.0</v>
      </c>
      <c r="AF22" s="134">
        <v>260.0</v>
      </c>
      <c r="AG22" s="134">
        <v>335.0</v>
      </c>
      <c r="AH22" s="134">
        <v>165.0</v>
      </c>
      <c r="AI22" s="134">
        <v>147.0</v>
      </c>
      <c r="AJ22" s="135">
        <v>1129.0</v>
      </c>
      <c r="AK22" s="134">
        <v>52.0</v>
      </c>
      <c r="AL22" s="134">
        <v>442.0</v>
      </c>
      <c r="AM22" s="134">
        <v>168.0</v>
      </c>
      <c r="AN22" s="134">
        <v>587.0</v>
      </c>
      <c r="AO22" s="134">
        <v>140.0</v>
      </c>
      <c r="AP22" s="136">
        <v>15874.0</v>
      </c>
    </row>
    <row r="23">
      <c r="A23" s="132" t="s">
        <v>180</v>
      </c>
      <c r="B23" s="134">
        <v>159.0</v>
      </c>
      <c r="C23" s="134">
        <v>290.0</v>
      </c>
      <c r="D23" s="134">
        <v>139.0</v>
      </c>
      <c r="E23" s="134">
        <v>280.0</v>
      </c>
      <c r="F23" s="134">
        <v>75.0</v>
      </c>
      <c r="G23" s="134">
        <v>363.0</v>
      </c>
      <c r="H23" s="134">
        <v>987.0</v>
      </c>
      <c r="I23" s="134">
        <v>449.0</v>
      </c>
      <c r="J23" s="134">
        <v>250.0</v>
      </c>
      <c r="K23" s="134">
        <v>638.0</v>
      </c>
      <c r="L23" s="134">
        <v>55.0</v>
      </c>
      <c r="M23" s="134">
        <v>53.0</v>
      </c>
      <c r="N23" s="134">
        <v>82.0</v>
      </c>
      <c r="O23" s="134">
        <v>44.0</v>
      </c>
      <c r="P23" s="134">
        <v>82.0</v>
      </c>
      <c r="Q23" s="134">
        <v>407.0</v>
      </c>
      <c r="R23" s="134">
        <v>336.0</v>
      </c>
      <c r="S23" s="134">
        <v>35.0</v>
      </c>
      <c r="T23" s="134">
        <v>253.0</v>
      </c>
      <c r="U23" s="134">
        <v>115.0</v>
      </c>
      <c r="V23" s="134">
        <v>6.0</v>
      </c>
      <c r="W23" s="134">
        <v>426.0</v>
      </c>
      <c r="X23" s="134">
        <v>259.0</v>
      </c>
      <c r="Y23" s="134">
        <v>491.0</v>
      </c>
      <c r="Z23" s="134">
        <v>140.0</v>
      </c>
      <c r="AA23" s="135">
        <v>1117.0</v>
      </c>
      <c r="AB23" s="134">
        <v>187.0</v>
      </c>
      <c r="AC23" s="135">
        <v>3354.0</v>
      </c>
      <c r="AD23" s="134">
        <v>35.0</v>
      </c>
      <c r="AE23" s="134">
        <v>112.0</v>
      </c>
      <c r="AF23" s="134">
        <v>237.0</v>
      </c>
      <c r="AG23" s="134">
        <v>264.0</v>
      </c>
      <c r="AH23" s="134">
        <v>169.0</v>
      </c>
      <c r="AI23" s="134">
        <v>146.0</v>
      </c>
      <c r="AJ23" s="134">
        <v>936.0</v>
      </c>
      <c r="AK23" s="134">
        <v>47.0</v>
      </c>
      <c r="AL23" s="134">
        <v>295.0</v>
      </c>
      <c r="AM23" s="134">
        <v>115.0</v>
      </c>
      <c r="AN23" s="134">
        <v>512.0</v>
      </c>
      <c r="AO23" s="134">
        <v>230.0</v>
      </c>
      <c r="AP23" s="136">
        <v>14170.0</v>
      </c>
    </row>
    <row r="24">
      <c r="A24" s="132" t="s">
        <v>181</v>
      </c>
      <c r="B24" s="134">
        <v>180.0</v>
      </c>
      <c r="C24" s="134">
        <v>231.0</v>
      </c>
      <c r="D24" s="134">
        <v>149.0</v>
      </c>
      <c r="E24" s="134">
        <v>302.0</v>
      </c>
      <c r="F24" s="134">
        <v>93.0</v>
      </c>
      <c r="G24" s="134">
        <v>363.0</v>
      </c>
      <c r="H24" s="134">
        <v>925.0</v>
      </c>
      <c r="I24" s="134">
        <v>320.0</v>
      </c>
      <c r="J24" s="134">
        <v>281.0</v>
      </c>
      <c r="K24" s="134">
        <v>574.0</v>
      </c>
      <c r="L24" s="134">
        <v>61.0</v>
      </c>
      <c r="M24" s="134">
        <v>54.0</v>
      </c>
      <c r="N24" s="134">
        <v>84.0</v>
      </c>
      <c r="O24" s="134">
        <v>77.0</v>
      </c>
      <c r="P24" s="134">
        <v>71.0</v>
      </c>
      <c r="Q24" s="134">
        <v>398.0</v>
      </c>
      <c r="R24" s="134">
        <v>207.0</v>
      </c>
      <c r="S24" s="134">
        <v>27.0</v>
      </c>
      <c r="T24" s="134">
        <v>306.0</v>
      </c>
      <c r="U24" s="134">
        <v>158.0</v>
      </c>
      <c r="V24" s="134">
        <v>8.0</v>
      </c>
      <c r="W24" s="134">
        <v>439.0</v>
      </c>
      <c r="X24" s="134">
        <v>417.0</v>
      </c>
      <c r="Y24" s="134">
        <v>452.0</v>
      </c>
      <c r="Z24" s="134">
        <v>141.0</v>
      </c>
      <c r="AA24" s="134">
        <v>812.0</v>
      </c>
      <c r="AB24" s="134">
        <v>219.0</v>
      </c>
      <c r="AC24" s="135">
        <v>3240.0</v>
      </c>
      <c r="AD24" s="134">
        <v>62.0</v>
      </c>
      <c r="AE24" s="134">
        <v>133.0</v>
      </c>
      <c r="AF24" s="134">
        <v>204.0</v>
      </c>
      <c r="AG24" s="134">
        <v>410.0</v>
      </c>
      <c r="AH24" s="134">
        <v>110.0</v>
      </c>
      <c r="AI24" s="134">
        <v>157.0</v>
      </c>
      <c r="AJ24" s="134">
        <v>857.0</v>
      </c>
      <c r="AK24" s="134">
        <v>48.0</v>
      </c>
      <c r="AL24" s="134">
        <v>373.0</v>
      </c>
      <c r="AM24" s="134">
        <v>242.0</v>
      </c>
      <c r="AN24" s="134">
        <v>442.0</v>
      </c>
      <c r="AO24" s="134">
        <v>203.0</v>
      </c>
      <c r="AP24" s="136">
        <v>13830.0</v>
      </c>
    </row>
    <row r="25">
      <c r="A25" s="132" t="s">
        <v>182</v>
      </c>
      <c r="B25" s="134">
        <v>193.0</v>
      </c>
      <c r="C25" s="134">
        <v>257.0</v>
      </c>
      <c r="D25" s="134">
        <v>171.0</v>
      </c>
      <c r="E25" s="134">
        <v>277.0</v>
      </c>
      <c r="F25" s="134">
        <v>129.0</v>
      </c>
      <c r="G25" s="134">
        <v>486.0</v>
      </c>
      <c r="H25" s="135">
        <v>1069.0</v>
      </c>
      <c r="I25" s="134">
        <v>457.0</v>
      </c>
      <c r="J25" s="134">
        <v>326.0</v>
      </c>
      <c r="K25" s="134">
        <v>736.0</v>
      </c>
      <c r="L25" s="134">
        <v>59.0</v>
      </c>
      <c r="M25" s="134">
        <v>51.0</v>
      </c>
      <c r="N25" s="134">
        <v>96.0</v>
      </c>
      <c r="O25" s="134">
        <v>82.0</v>
      </c>
      <c r="P25" s="134">
        <v>87.0</v>
      </c>
      <c r="Q25" s="134">
        <v>424.0</v>
      </c>
      <c r="R25" s="134">
        <v>307.0</v>
      </c>
      <c r="S25" s="134">
        <v>28.0</v>
      </c>
      <c r="T25" s="134">
        <v>241.0</v>
      </c>
      <c r="U25" s="134">
        <v>173.0</v>
      </c>
      <c r="V25" s="134">
        <v>19.0</v>
      </c>
      <c r="W25" s="134">
        <v>414.0</v>
      </c>
      <c r="X25" s="134">
        <v>405.0</v>
      </c>
      <c r="Y25" s="134">
        <v>534.0</v>
      </c>
      <c r="Z25" s="134">
        <v>155.0</v>
      </c>
      <c r="AA25" s="135">
        <v>1064.0</v>
      </c>
      <c r="AB25" s="134">
        <v>189.0</v>
      </c>
      <c r="AC25" s="135">
        <v>3581.0</v>
      </c>
      <c r="AD25" s="134">
        <v>55.0</v>
      </c>
      <c r="AE25" s="134">
        <v>187.0</v>
      </c>
      <c r="AF25" s="134">
        <v>295.0</v>
      </c>
      <c r="AG25" s="134">
        <v>481.0</v>
      </c>
      <c r="AH25" s="134">
        <v>149.0</v>
      </c>
      <c r="AI25" s="134">
        <v>137.0</v>
      </c>
      <c r="AJ25" s="135">
        <v>1119.0</v>
      </c>
      <c r="AK25" s="134">
        <v>94.0</v>
      </c>
      <c r="AL25" s="134">
        <v>372.0</v>
      </c>
      <c r="AM25" s="134">
        <v>319.0</v>
      </c>
      <c r="AN25" s="134">
        <v>617.0</v>
      </c>
      <c r="AO25" s="134">
        <v>166.0</v>
      </c>
      <c r="AP25" s="136">
        <v>16001.0</v>
      </c>
    </row>
    <row r="26">
      <c r="A26" s="132" t="s">
        <v>183</v>
      </c>
      <c r="B26" s="134">
        <v>207.0</v>
      </c>
      <c r="C26" s="134">
        <v>322.0</v>
      </c>
      <c r="D26" s="134">
        <v>163.0</v>
      </c>
      <c r="E26" s="134">
        <v>252.0</v>
      </c>
      <c r="F26" s="134">
        <v>107.0</v>
      </c>
      <c r="G26" s="134">
        <v>430.0</v>
      </c>
      <c r="H26" s="134">
        <v>880.0</v>
      </c>
      <c r="I26" s="134">
        <v>307.0</v>
      </c>
      <c r="J26" s="134">
        <v>380.0</v>
      </c>
      <c r="K26" s="134">
        <v>633.0</v>
      </c>
      <c r="L26" s="134">
        <v>59.0</v>
      </c>
      <c r="M26" s="134">
        <v>44.0</v>
      </c>
      <c r="N26" s="134">
        <v>84.0</v>
      </c>
      <c r="O26" s="134">
        <v>80.0</v>
      </c>
      <c r="P26" s="134">
        <v>86.0</v>
      </c>
      <c r="Q26" s="134">
        <v>303.0</v>
      </c>
      <c r="R26" s="134">
        <v>202.0</v>
      </c>
      <c r="S26" s="134">
        <v>22.0</v>
      </c>
      <c r="T26" s="134">
        <v>260.0</v>
      </c>
      <c r="U26" s="134">
        <v>190.0</v>
      </c>
      <c r="V26" s="134">
        <v>21.0</v>
      </c>
      <c r="W26" s="134">
        <v>462.0</v>
      </c>
      <c r="X26" s="134">
        <v>369.0</v>
      </c>
      <c r="Y26" s="134">
        <v>384.0</v>
      </c>
      <c r="Z26" s="134">
        <v>180.0</v>
      </c>
      <c r="AA26" s="134">
        <v>859.0</v>
      </c>
      <c r="AB26" s="134">
        <v>158.0</v>
      </c>
      <c r="AC26" s="135">
        <v>2972.0</v>
      </c>
      <c r="AD26" s="134">
        <v>49.0</v>
      </c>
      <c r="AE26" s="134">
        <v>149.0</v>
      </c>
      <c r="AF26" s="134">
        <v>208.0</v>
      </c>
      <c r="AG26" s="134">
        <v>367.0</v>
      </c>
      <c r="AH26" s="134">
        <v>85.0</v>
      </c>
      <c r="AI26" s="134">
        <v>143.0</v>
      </c>
      <c r="AJ26" s="134">
        <v>967.0</v>
      </c>
      <c r="AK26" s="134">
        <v>63.0</v>
      </c>
      <c r="AL26" s="134">
        <v>395.0</v>
      </c>
      <c r="AM26" s="134">
        <v>286.0</v>
      </c>
      <c r="AN26" s="134">
        <v>512.0</v>
      </c>
      <c r="AO26" s="134">
        <v>145.0</v>
      </c>
      <c r="AP26" s="136">
        <v>13785.0</v>
      </c>
    </row>
    <row r="27">
      <c r="A27" s="132" t="s">
        <v>184</v>
      </c>
      <c r="B27" s="134">
        <v>263.0</v>
      </c>
      <c r="C27" s="134">
        <v>411.0</v>
      </c>
      <c r="D27" s="134">
        <v>184.0</v>
      </c>
      <c r="E27" s="134">
        <v>327.0</v>
      </c>
      <c r="F27" s="134">
        <v>156.0</v>
      </c>
      <c r="G27" s="134">
        <v>599.0</v>
      </c>
      <c r="H27" s="135">
        <v>1272.0</v>
      </c>
      <c r="I27" s="134">
        <v>483.0</v>
      </c>
      <c r="J27" s="134">
        <v>433.0</v>
      </c>
      <c r="K27" s="134">
        <v>913.0</v>
      </c>
      <c r="L27" s="134">
        <v>78.0</v>
      </c>
      <c r="M27" s="134">
        <v>77.0</v>
      </c>
      <c r="N27" s="134">
        <v>108.0</v>
      </c>
      <c r="O27" s="134">
        <v>105.0</v>
      </c>
      <c r="P27" s="134">
        <v>119.0</v>
      </c>
      <c r="Q27" s="134">
        <v>430.0</v>
      </c>
      <c r="R27" s="134">
        <v>309.0</v>
      </c>
      <c r="S27" s="134">
        <v>43.0</v>
      </c>
      <c r="T27" s="134">
        <v>374.0</v>
      </c>
      <c r="U27" s="134">
        <v>236.0</v>
      </c>
      <c r="V27" s="134">
        <v>31.0</v>
      </c>
      <c r="W27" s="134">
        <v>642.0</v>
      </c>
      <c r="X27" s="134">
        <v>483.0</v>
      </c>
      <c r="Y27" s="134">
        <v>576.0</v>
      </c>
      <c r="Z27" s="134">
        <v>146.0</v>
      </c>
      <c r="AA27" s="135">
        <v>1166.0</v>
      </c>
      <c r="AB27" s="134">
        <v>271.0</v>
      </c>
      <c r="AC27" s="135">
        <v>3987.0</v>
      </c>
      <c r="AD27" s="134">
        <v>59.0</v>
      </c>
      <c r="AE27" s="134">
        <v>190.0</v>
      </c>
      <c r="AF27" s="134">
        <v>343.0</v>
      </c>
      <c r="AG27" s="134">
        <v>598.0</v>
      </c>
      <c r="AH27" s="134">
        <v>135.0</v>
      </c>
      <c r="AI27" s="134">
        <v>174.0</v>
      </c>
      <c r="AJ27" s="135">
        <v>1203.0</v>
      </c>
      <c r="AK27" s="134">
        <v>102.0</v>
      </c>
      <c r="AL27" s="134">
        <v>494.0</v>
      </c>
      <c r="AM27" s="134">
        <v>274.0</v>
      </c>
      <c r="AN27" s="134">
        <v>580.0</v>
      </c>
      <c r="AO27" s="134">
        <v>358.0</v>
      </c>
      <c r="AP27" s="136">
        <v>18732.0</v>
      </c>
    </row>
    <row r="28">
      <c r="A28" s="132" t="s">
        <v>185</v>
      </c>
      <c r="B28" s="134">
        <v>278.0</v>
      </c>
      <c r="C28" s="134">
        <v>353.0</v>
      </c>
      <c r="D28" s="134">
        <v>174.0</v>
      </c>
      <c r="E28" s="134">
        <v>348.0</v>
      </c>
      <c r="F28" s="134">
        <v>171.0</v>
      </c>
      <c r="G28" s="134">
        <v>567.0</v>
      </c>
      <c r="H28" s="135">
        <v>1125.0</v>
      </c>
      <c r="I28" s="134">
        <v>478.0</v>
      </c>
      <c r="J28" s="134">
        <v>406.0</v>
      </c>
      <c r="K28" s="134">
        <v>743.0</v>
      </c>
      <c r="L28" s="134">
        <v>78.0</v>
      </c>
      <c r="M28" s="134">
        <v>75.0</v>
      </c>
      <c r="N28" s="134">
        <v>98.0</v>
      </c>
      <c r="O28" s="134">
        <v>94.0</v>
      </c>
      <c r="P28" s="134">
        <v>108.0</v>
      </c>
      <c r="Q28" s="134">
        <v>395.0</v>
      </c>
      <c r="R28" s="134">
        <v>292.0</v>
      </c>
      <c r="S28" s="134">
        <v>50.0</v>
      </c>
      <c r="T28" s="134">
        <v>343.0</v>
      </c>
      <c r="U28" s="134">
        <v>186.0</v>
      </c>
      <c r="V28" s="134">
        <v>40.0</v>
      </c>
      <c r="W28" s="134">
        <v>437.0</v>
      </c>
      <c r="X28" s="134">
        <v>463.0</v>
      </c>
      <c r="Y28" s="134">
        <v>528.0</v>
      </c>
      <c r="Z28" s="134">
        <v>133.0</v>
      </c>
      <c r="AA28" s="135">
        <v>1300.0</v>
      </c>
      <c r="AB28" s="134">
        <v>217.0</v>
      </c>
      <c r="AC28" s="135">
        <v>3546.0</v>
      </c>
      <c r="AD28" s="134">
        <v>73.0</v>
      </c>
      <c r="AE28" s="134">
        <v>175.0</v>
      </c>
      <c r="AF28" s="134">
        <v>311.0</v>
      </c>
      <c r="AG28" s="134">
        <v>526.0</v>
      </c>
      <c r="AH28" s="134">
        <v>154.0</v>
      </c>
      <c r="AI28" s="134">
        <v>178.0</v>
      </c>
      <c r="AJ28" s="135">
        <v>1161.0</v>
      </c>
      <c r="AK28" s="134">
        <v>79.0</v>
      </c>
      <c r="AL28" s="134">
        <v>466.0</v>
      </c>
      <c r="AM28" s="134">
        <v>306.0</v>
      </c>
      <c r="AN28" s="134">
        <v>551.0</v>
      </c>
      <c r="AO28" s="134">
        <v>484.0</v>
      </c>
      <c r="AP28" s="136">
        <v>17490.0</v>
      </c>
    </row>
    <row r="29">
      <c r="A29" s="137" t="s">
        <v>186</v>
      </c>
      <c r="B29" s="134">
        <v>276.0</v>
      </c>
      <c r="C29" s="134">
        <v>460.0</v>
      </c>
      <c r="D29" s="134">
        <v>197.0</v>
      </c>
      <c r="E29" s="134">
        <v>456.0</v>
      </c>
      <c r="F29" s="134">
        <v>151.0</v>
      </c>
      <c r="G29" s="134">
        <v>845.0</v>
      </c>
      <c r="H29" s="135">
        <v>1495.0</v>
      </c>
      <c r="I29" s="134">
        <v>498.0</v>
      </c>
      <c r="J29" s="134">
        <v>556.0</v>
      </c>
      <c r="K29" s="135">
        <v>1053.0</v>
      </c>
      <c r="L29" s="134">
        <v>106.0</v>
      </c>
      <c r="M29" s="134">
        <v>88.0</v>
      </c>
      <c r="N29" s="134">
        <v>129.0</v>
      </c>
      <c r="O29" s="134">
        <v>120.0</v>
      </c>
      <c r="P29" s="134">
        <v>113.0</v>
      </c>
      <c r="Q29" s="134">
        <v>525.0</v>
      </c>
      <c r="R29" s="134">
        <v>332.0</v>
      </c>
      <c r="S29" s="134">
        <v>53.0</v>
      </c>
      <c r="T29" s="134">
        <v>403.0</v>
      </c>
      <c r="U29" s="134">
        <v>269.0</v>
      </c>
      <c r="V29" s="134">
        <v>49.0</v>
      </c>
      <c r="W29" s="134">
        <v>637.0</v>
      </c>
      <c r="X29" s="134">
        <v>589.0</v>
      </c>
      <c r="Y29" s="134">
        <v>647.0</v>
      </c>
      <c r="Z29" s="134">
        <v>157.0</v>
      </c>
      <c r="AA29" s="135">
        <v>1623.0</v>
      </c>
      <c r="AB29" s="134">
        <v>208.0</v>
      </c>
      <c r="AC29" s="135">
        <v>4528.0</v>
      </c>
      <c r="AD29" s="134">
        <v>68.0</v>
      </c>
      <c r="AE29" s="134">
        <v>219.0</v>
      </c>
      <c r="AF29" s="134">
        <v>355.0</v>
      </c>
      <c r="AG29" s="134">
        <v>670.0</v>
      </c>
      <c r="AH29" s="134">
        <v>175.0</v>
      </c>
      <c r="AI29" s="134">
        <v>235.0</v>
      </c>
      <c r="AJ29" s="135">
        <v>1498.0</v>
      </c>
      <c r="AK29" s="134">
        <v>129.0</v>
      </c>
      <c r="AL29" s="134">
        <v>600.0</v>
      </c>
      <c r="AM29" s="134">
        <v>395.0</v>
      </c>
      <c r="AN29" s="134">
        <v>742.0</v>
      </c>
      <c r="AO29" s="135">
        <v>1030.0</v>
      </c>
      <c r="AP29" s="136">
        <v>22679.0</v>
      </c>
    </row>
    <row r="30">
      <c r="A30" s="138" t="s">
        <v>187</v>
      </c>
      <c r="B30" s="136">
        <v>337.0</v>
      </c>
      <c r="C30" s="136">
        <v>429.0</v>
      </c>
      <c r="D30" s="136">
        <v>201.0</v>
      </c>
      <c r="E30" s="136">
        <v>540.0</v>
      </c>
      <c r="F30" s="136">
        <v>145.0</v>
      </c>
      <c r="G30" s="136">
        <v>869.0</v>
      </c>
      <c r="H30" s="136">
        <v>1435.0</v>
      </c>
      <c r="I30" s="136">
        <v>597.0</v>
      </c>
      <c r="J30" s="136">
        <v>319.0</v>
      </c>
      <c r="K30" s="136">
        <v>1127.0</v>
      </c>
      <c r="L30" s="136">
        <v>84.0</v>
      </c>
      <c r="M30" s="133">
        <v>68.0</v>
      </c>
      <c r="N30" s="136">
        <v>88.0</v>
      </c>
      <c r="O30" s="136">
        <v>121.0</v>
      </c>
      <c r="P30" s="136">
        <v>95.0</v>
      </c>
      <c r="Q30" s="136">
        <v>429.0</v>
      </c>
      <c r="R30" s="136">
        <v>317.0</v>
      </c>
      <c r="S30" s="133">
        <v>42.0</v>
      </c>
      <c r="T30" s="136">
        <v>327.0</v>
      </c>
      <c r="U30" s="136">
        <v>216.0</v>
      </c>
      <c r="V30" s="133">
        <v>39.0</v>
      </c>
      <c r="W30" s="136">
        <v>534.0</v>
      </c>
      <c r="X30" s="136">
        <v>452.0</v>
      </c>
      <c r="Y30" s="136">
        <v>632.0</v>
      </c>
      <c r="Z30" s="136">
        <v>164.0</v>
      </c>
      <c r="AA30" s="136">
        <v>1842.0</v>
      </c>
      <c r="AB30" s="136">
        <v>244.0</v>
      </c>
      <c r="AC30" s="136">
        <v>4626.0</v>
      </c>
      <c r="AD30" s="133">
        <v>94.0</v>
      </c>
      <c r="AE30" s="136">
        <v>224.0</v>
      </c>
      <c r="AF30" s="136">
        <v>326.0</v>
      </c>
      <c r="AG30" s="136">
        <v>538.0</v>
      </c>
      <c r="AH30" s="136">
        <v>187.0</v>
      </c>
      <c r="AI30" s="136">
        <v>230.0</v>
      </c>
      <c r="AJ30" s="136">
        <v>1717.0</v>
      </c>
      <c r="AK30" s="136">
        <v>127.0</v>
      </c>
      <c r="AL30" s="136">
        <v>615.0</v>
      </c>
      <c r="AM30" s="136">
        <v>351.0</v>
      </c>
      <c r="AN30" s="136">
        <v>888.0</v>
      </c>
      <c r="AO30" s="139">
        <v>1738.0</v>
      </c>
      <c r="AP30" s="136">
        <v>23354.0</v>
      </c>
    </row>
    <row r="31">
      <c r="A31" s="107" t="s">
        <v>188</v>
      </c>
      <c r="B31" s="136">
        <v>378.0</v>
      </c>
      <c r="C31" s="136">
        <v>1069.0</v>
      </c>
      <c r="D31" s="136">
        <v>227.0</v>
      </c>
      <c r="E31" s="136">
        <v>547.0</v>
      </c>
      <c r="F31" s="136">
        <v>159.0</v>
      </c>
      <c r="G31" s="136">
        <v>755.0</v>
      </c>
      <c r="H31" s="136">
        <v>1552.0</v>
      </c>
      <c r="I31" s="136">
        <v>626.0</v>
      </c>
      <c r="J31" s="136">
        <v>319.0</v>
      </c>
      <c r="K31" s="136">
        <v>1105.0</v>
      </c>
      <c r="L31" s="136">
        <v>82.0</v>
      </c>
      <c r="M31" s="133">
        <v>83.0</v>
      </c>
      <c r="N31" s="136">
        <v>112.0</v>
      </c>
      <c r="O31" s="136">
        <v>98.0</v>
      </c>
      <c r="P31" s="136">
        <v>96.0</v>
      </c>
      <c r="Q31" s="136">
        <v>509.0</v>
      </c>
      <c r="R31" s="136">
        <v>392.0</v>
      </c>
      <c r="S31" s="133">
        <v>54.0</v>
      </c>
      <c r="T31" s="136">
        <v>516.0</v>
      </c>
      <c r="U31" s="136">
        <v>220.0</v>
      </c>
      <c r="V31" s="133">
        <v>32.0</v>
      </c>
      <c r="W31" s="136">
        <v>651.0</v>
      </c>
      <c r="X31" s="136">
        <v>475.0</v>
      </c>
      <c r="Y31" s="136">
        <v>641.0</v>
      </c>
      <c r="Z31" s="136">
        <v>172.0</v>
      </c>
      <c r="AA31" s="136">
        <v>1659.0</v>
      </c>
      <c r="AB31" s="136">
        <v>261.0</v>
      </c>
      <c r="AC31" s="136">
        <v>5092.0</v>
      </c>
      <c r="AD31" s="133">
        <v>73.0</v>
      </c>
      <c r="AE31" s="136">
        <v>209.0</v>
      </c>
      <c r="AF31" s="136">
        <v>324.0</v>
      </c>
      <c r="AG31" s="136">
        <v>555.0</v>
      </c>
      <c r="AH31" s="136">
        <v>249.0</v>
      </c>
      <c r="AI31" s="136">
        <v>224.0</v>
      </c>
      <c r="AJ31" s="136">
        <v>1446.0</v>
      </c>
      <c r="AK31" s="136">
        <v>91.0</v>
      </c>
      <c r="AL31" s="136">
        <v>525.0</v>
      </c>
      <c r="AM31" s="136">
        <v>397.0</v>
      </c>
      <c r="AN31" s="136">
        <v>774.0</v>
      </c>
      <c r="AO31" s="139">
        <v>2476.0</v>
      </c>
      <c r="AP31" s="136">
        <v>25225.0</v>
      </c>
    </row>
    <row r="32">
      <c r="A32" s="107" t="s">
        <v>189</v>
      </c>
      <c r="B32" s="136">
        <v>403.0</v>
      </c>
      <c r="C32" s="136">
        <v>712.0</v>
      </c>
      <c r="D32" s="136">
        <v>302.0</v>
      </c>
      <c r="E32" s="136">
        <v>540.0</v>
      </c>
      <c r="F32" s="136">
        <v>147.0</v>
      </c>
      <c r="G32" s="136">
        <v>555.0</v>
      </c>
      <c r="H32" s="136">
        <v>1437.0</v>
      </c>
      <c r="I32" s="136">
        <v>745.0</v>
      </c>
      <c r="J32" s="136">
        <v>353.0</v>
      </c>
      <c r="K32" s="136">
        <v>1018.0</v>
      </c>
      <c r="L32" s="136">
        <v>79.0</v>
      </c>
      <c r="M32" s="133">
        <v>70.0</v>
      </c>
      <c r="N32" s="136">
        <v>116.0</v>
      </c>
      <c r="O32" s="136">
        <v>127.0</v>
      </c>
      <c r="P32" s="136">
        <v>122.0</v>
      </c>
      <c r="Q32" s="136">
        <v>491.0</v>
      </c>
      <c r="R32" s="136">
        <v>408.0</v>
      </c>
      <c r="S32" s="133">
        <v>58.0</v>
      </c>
      <c r="T32" s="136">
        <v>369.0</v>
      </c>
      <c r="U32" s="136">
        <v>255.0</v>
      </c>
      <c r="V32" s="133">
        <v>56.0</v>
      </c>
      <c r="W32" s="136">
        <v>548.0</v>
      </c>
      <c r="X32" s="136">
        <v>473.0</v>
      </c>
      <c r="Y32" s="136">
        <v>702.0</v>
      </c>
      <c r="Z32" s="136">
        <v>181.0</v>
      </c>
      <c r="AA32" s="136">
        <v>1682.0</v>
      </c>
      <c r="AB32" s="136">
        <v>303.0</v>
      </c>
      <c r="AC32" s="136">
        <v>4721.0</v>
      </c>
      <c r="AD32" s="133">
        <v>79.0</v>
      </c>
      <c r="AE32" s="136">
        <v>179.0</v>
      </c>
      <c r="AF32" s="136">
        <v>415.0</v>
      </c>
      <c r="AG32" s="136">
        <v>526.0</v>
      </c>
      <c r="AH32" s="136">
        <v>191.0</v>
      </c>
      <c r="AI32" s="136">
        <v>218.0</v>
      </c>
      <c r="AJ32" s="136">
        <v>1403.0</v>
      </c>
      <c r="AK32" s="136">
        <v>84.0</v>
      </c>
      <c r="AL32" s="136">
        <v>538.0</v>
      </c>
      <c r="AM32" s="136">
        <v>355.0</v>
      </c>
      <c r="AN32" s="136">
        <v>928.0</v>
      </c>
      <c r="AO32" s="139">
        <v>2226.0</v>
      </c>
      <c r="AP32" s="136">
        <v>24115.0</v>
      </c>
    </row>
    <row r="33">
      <c r="A33" s="107" t="s">
        <v>190</v>
      </c>
      <c r="B33" s="136">
        <v>441.0</v>
      </c>
      <c r="C33" s="136">
        <v>3650.0</v>
      </c>
      <c r="D33" s="136">
        <v>367.0</v>
      </c>
      <c r="E33" s="136">
        <v>441.0</v>
      </c>
      <c r="F33" s="136">
        <v>144.0</v>
      </c>
      <c r="G33" s="136">
        <v>569.0</v>
      </c>
      <c r="H33" s="136">
        <v>1400.0</v>
      </c>
      <c r="I33" s="136">
        <v>839.0</v>
      </c>
      <c r="J33" s="136">
        <v>405.0</v>
      </c>
      <c r="K33" s="136">
        <v>1009.0</v>
      </c>
      <c r="L33" s="136">
        <v>100.0</v>
      </c>
      <c r="M33" s="133">
        <v>85.0</v>
      </c>
      <c r="N33" s="136">
        <v>175.0</v>
      </c>
      <c r="O33" s="136">
        <v>124.0</v>
      </c>
      <c r="P33" s="136">
        <v>119.0</v>
      </c>
      <c r="Q33" s="136">
        <v>464.0</v>
      </c>
      <c r="R33" s="136">
        <v>441.0</v>
      </c>
      <c r="S33" s="133">
        <v>79.0</v>
      </c>
      <c r="T33" s="136">
        <v>395.0</v>
      </c>
      <c r="U33" s="136">
        <v>321.0</v>
      </c>
      <c r="V33" s="133">
        <v>47.0</v>
      </c>
      <c r="W33" s="136">
        <v>535.0</v>
      </c>
      <c r="X33" s="136">
        <v>723.0</v>
      </c>
      <c r="Y33" s="136">
        <v>601.0</v>
      </c>
      <c r="Z33" s="136">
        <v>218.0</v>
      </c>
      <c r="AA33" s="136">
        <v>1608.0</v>
      </c>
      <c r="AB33" s="136">
        <v>285.0</v>
      </c>
      <c r="AC33" s="136">
        <v>5426.0</v>
      </c>
      <c r="AD33" s="133">
        <v>71.0</v>
      </c>
      <c r="AE33" s="136">
        <v>208.0</v>
      </c>
      <c r="AF33" s="136">
        <v>2094.0</v>
      </c>
      <c r="AG33" s="136">
        <v>519.0</v>
      </c>
      <c r="AH33" s="136">
        <v>257.0</v>
      </c>
      <c r="AI33" s="136">
        <v>234.0</v>
      </c>
      <c r="AJ33" s="136">
        <v>1487.0</v>
      </c>
      <c r="AK33" s="136">
        <v>87.0</v>
      </c>
      <c r="AL33" s="136">
        <v>510.0</v>
      </c>
      <c r="AM33" s="136">
        <v>398.0</v>
      </c>
      <c r="AN33" s="136">
        <v>793.0</v>
      </c>
      <c r="AO33" s="139">
        <v>2184.0</v>
      </c>
      <c r="AP33" s="136">
        <v>29853.0</v>
      </c>
    </row>
    <row r="34">
      <c r="A34" s="107" t="s">
        <v>191</v>
      </c>
      <c r="B34" s="136">
        <v>458.0</v>
      </c>
      <c r="C34" s="136">
        <v>6356.0</v>
      </c>
      <c r="D34" s="136">
        <v>261.0</v>
      </c>
      <c r="E34" s="136">
        <v>459.0</v>
      </c>
      <c r="F34" s="136">
        <v>182.0</v>
      </c>
      <c r="G34" s="136">
        <v>696.0</v>
      </c>
      <c r="H34" s="136">
        <v>1559.0</v>
      </c>
      <c r="I34" s="136">
        <v>793.0</v>
      </c>
      <c r="J34" s="136">
        <v>467.0</v>
      </c>
      <c r="K34" s="136">
        <v>1013.0</v>
      </c>
      <c r="L34" s="136">
        <v>85.0</v>
      </c>
      <c r="M34" s="133">
        <v>110.0</v>
      </c>
      <c r="N34" s="136">
        <v>142.0</v>
      </c>
      <c r="O34" s="136">
        <v>131.0</v>
      </c>
      <c r="P34" s="136">
        <v>138.0</v>
      </c>
      <c r="Q34" s="136">
        <v>522.0</v>
      </c>
      <c r="R34" s="136">
        <v>476.0</v>
      </c>
      <c r="S34" s="133">
        <v>59.0</v>
      </c>
      <c r="T34" s="136">
        <v>292.0</v>
      </c>
      <c r="U34" s="136">
        <v>286.0</v>
      </c>
      <c r="V34" s="133">
        <v>44.0</v>
      </c>
      <c r="W34" s="136">
        <v>796.0</v>
      </c>
      <c r="X34" s="136">
        <v>618.0</v>
      </c>
      <c r="Y34" s="136">
        <v>631.0</v>
      </c>
      <c r="Z34" s="136">
        <v>333.0</v>
      </c>
      <c r="AA34" s="136">
        <v>1503.0</v>
      </c>
      <c r="AB34" s="136">
        <v>258.0</v>
      </c>
      <c r="AC34" s="136">
        <v>7186.0</v>
      </c>
      <c r="AD34" s="133">
        <v>68.0</v>
      </c>
      <c r="AE34" s="136">
        <v>243.0</v>
      </c>
      <c r="AF34" s="136">
        <v>4275.0</v>
      </c>
      <c r="AG34" s="136">
        <v>655.0</v>
      </c>
      <c r="AH34" s="136">
        <v>227.0</v>
      </c>
      <c r="AI34" s="136">
        <v>196.0</v>
      </c>
      <c r="AJ34" s="136">
        <v>1543.0</v>
      </c>
      <c r="AK34" s="136">
        <v>107.0</v>
      </c>
      <c r="AL34" s="136">
        <v>542.0</v>
      </c>
      <c r="AM34" s="136">
        <v>375.0</v>
      </c>
      <c r="AN34" s="136">
        <v>862.0</v>
      </c>
      <c r="AO34" s="139">
        <v>2015.0</v>
      </c>
      <c r="AP34" s="136">
        <v>36962.0</v>
      </c>
    </row>
    <row r="35">
      <c r="A35" s="107" t="s">
        <v>192</v>
      </c>
      <c r="B35" s="136">
        <v>574.0</v>
      </c>
      <c r="C35" s="136">
        <v>7009.0</v>
      </c>
      <c r="D35" s="136">
        <v>397.0</v>
      </c>
      <c r="E35" s="136">
        <v>403.0</v>
      </c>
      <c r="F35" s="136">
        <v>148.0</v>
      </c>
      <c r="G35" s="136">
        <v>669.0</v>
      </c>
      <c r="H35" s="136">
        <v>1735.0</v>
      </c>
      <c r="I35" s="136">
        <v>948.0</v>
      </c>
      <c r="J35" s="136">
        <v>530.0</v>
      </c>
      <c r="K35" s="136">
        <v>1141.0</v>
      </c>
      <c r="L35" s="136">
        <v>91.0</v>
      </c>
      <c r="M35" s="133">
        <v>125.0</v>
      </c>
      <c r="N35" s="136">
        <v>167.0</v>
      </c>
      <c r="O35" s="136">
        <v>124.0</v>
      </c>
      <c r="P35" s="136">
        <v>161.0</v>
      </c>
      <c r="Q35" s="136">
        <v>604.0</v>
      </c>
      <c r="R35" s="136">
        <v>557.0</v>
      </c>
      <c r="S35" s="133">
        <v>72.0</v>
      </c>
      <c r="T35" s="136">
        <v>407.0</v>
      </c>
      <c r="U35" s="136">
        <v>271.0</v>
      </c>
      <c r="V35" s="133">
        <v>27.0</v>
      </c>
      <c r="W35" s="136">
        <v>1231.0</v>
      </c>
      <c r="X35" s="136">
        <v>681.0</v>
      </c>
      <c r="Y35" s="136">
        <v>728.0</v>
      </c>
      <c r="Z35" s="136">
        <v>408.0</v>
      </c>
      <c r="AA35" s="136">
        <v>1814.0</v>
      </c>
      <c r="AB35" s="136">
        <v>360.0</v>
      </c>
      <c r="AC35" s="136">
        <v>12407.0</v>
      </c>
      <c r="AD35" s="133">
        <v>77.0</v>
      </c>
      <c r="AE35" s="136">
        <v>282.0</v>
      </c>
      <c r="AF35" s="136">
        <v>3410.0</v>
      </c>
      <c r="AG35" s="136">
        <v>566.0</v>
      </c>
      <c r="AH35" s="136">
        <v>271.0</v>
      </c>
      <c r="AI35" s="136">
        <v>260.0</v>
      </c>
      <c r="AJ35" s="136">
        <v>1528.0</v>
      </c>
      <c r="AK35" s="136">
        <v>131.0</v>
      </c>
      <c r="AL35" s="136">
        <v>485.0</v>
      </c>
      <c r="AM35" s="136">
        <v>353.0</v>
      </c>
      <c r="AN35" s="136">
        <v>1081.0</v>
      </c>
      <c r="AO35" s="139">
        <v>1009.0</v>
      </c>
      <c r="AP35" s="136">
        <v>43242.0</v>
      </c>
    </row>
    <row r="36">
      <c r="A36" s="107" t="s">
        <v>193</v>
      </c>
      <c r="B36" s="136">
        <v>503.0</v>
      </c>
      <c r="C36" s="136">
        <v>7523.0</v>
      </c>
      <c r="D36" s="136">
        <v>262.0</v>
      </c>
      <c r="E36" s="136">
        <v>362.0</v>
      </c>
      <c r="F36" s="136">
        <v>111.0</v>
      </c>
      <c r="G36" s="136">
        <v>612.0</v>
      </c>
      <c r="H36" s="136">
        <v>1477.0</v>
      </c>
      <c r="I36" s="136">
        <v>742.0</v>
      </c>
      <c r="J36" s="136">
        <v>395.0</v>
      </c>
      <c r="K36" s="136">
        <v>1083.0</v>
      </c>
      <c r="L36" s="136">
        <v>73.0</v>
      </c>
      <c r="M36" s="133">
        <v>94.0</v>
      </c>
      <c r="N36" s="136">
        <v>172.0</v>
      </c>
      <c r="O36" s="136">
        <v>105.0</v>
      </c>
      <c r="P36" s="136">
        <v>119.0</v>
      </c>
      <c r="Q36" s="136">
        <v>467.0</v>
      </c>
      <c r="R36" s="136">
        <v>467.0</v>
      </c>
      <c r="S36" s="133">
        <v>50.0</v>
      </c>
      <c r="T36" s="136">
        <v>492.0</v>
      </c>
      <c r="U36" s="136">
        <v>218.0</v>
      </c>
      <c r="V36" s="133">
        <v>59.0</v>
      </c>
      <c r="W36" s="136">
        <v>1692.0</v>
      </c>
      <c r="X36" s="136">
        <v>522.0</v>
      </c>
      <c r="Y36" s="136">
        <v>593.0</v>
      </c>
      <c r="Z36" s="136">
        <v>270.0</v>
      </c>
      <c r="AA36" s="136">
        <v>1660.0</v>
      </c>
      <c r="AB36" s="136">
        <v>277.0</v>
      </c>
      <c r="AC36" s="136">
        <v>10223.0</v>
      </c>
      <c r="AD36" s="133">
        <v>67.0</v>
      </c>
      <c r="AE36" s="136">
        <v>225.0</v>
      </c>
      <c r="AF36" s="136">
        <v>3666.0</v>
      </c>
      <c r="AG36" s="136">
        <v>425.0</v>
      </c>
      <c r="AH36" s="136">
        <v>265.0</v>
      </c>
      <c r="AI36" s="136">
        <v>217.0</v>
      </c>
      <c r="AJ36" s="136">
        <v>1385.0</v>
      </c>
      <c r="AK36" s="136">
        <v>98.0</v>
      </c>
      <c r="AL36" s="136">
        <v>445.0</v>
      </c>
      <c r="AM36" s="136">
        <v>306.0</v>
      </c>
      <c r="AN36" s="136">
        <v>681.0</v>
      </c>
      <c r="AO36" s="139">
        <v>1512.0</v>
      </c>
      <c r="AP36" s="136">
        <v>39915.0</v>
      </c>
    </row>
    <row r="37">
      <c r="A37" s="107" t="s">
        <v>194</v>
      </c>
      <c r="B37" s="136">
        <v>554.0</v>
      </c>
      <c r="C37" s="136">
        <v>8171.0</v>
      </c>
      <c r="D37" s="136">
        <v>301.0</v>
      </c>
      <c r="E37" s="136">
        <v>432.0</v>
      </c>
      <c r="F37" s="136">
        <v>146.0</v>
      </c>
      <c r="G37" s="136">
        <v>724.0</v>
      </c>
      <c r="H37" s="136">
        <v>1754.0</v>
      </c>
      <c r="I37" s="136">
        <v>795.0</v>
      </c>
      <c r="J37" s="136">
        <v>474.0</v>
      </c>
      <c r="K37" s="136">
        <v>1160.0</v>
      </c>
      <c r="L37" s="136">
        <v>114.0</v>
      </c>
      <c r="M37" s="133">
        <v>129.0</v>
      </c>
      <c r="N37" s="136">
        <v>190.0</v>
      </c>
      <c r="O37" s="136">
        <v>149.0</v>
      </c>
      <c r="P37" s="136">
        <v>160.0</v>
      </c>
      <c r="Q37" s="136">
        <v>664.0</v>
      </c>
      <c r="R37" s="136">
        <v>585.0</v>
      </c>
      <c r="S37" s="133">
        <v>52.0</v>
      </c>
      <c r="T37" s="136">
        <v>301.0</v>
      </c>
      <c r="U37" s="136">
        <v>304.0</v>
      </c>
      <c r="V37" s="133">
        <v>37.0</v>
      </c>
      <c r="W37" s="136">
        <v>785.0</v>
      </c>
      <c r="X37" s="136">
        <v>757.0</v>
      </c>
      <c r="Y37" s="136">
        <v>726.0</v>
      </c>
      <c r="Z37" s="136">
        <v>333.0</v>
      </c>
      <c r="AA37" s="136">
        <v>1743.0</v>
      </c>
      <c r="AB37" s="136">
        <v>335.0</v>
      </c>
      <c r="AC37" s="136">
        <v>12331.0</v>
      </c>
      <c r="AD37" s="133">
        <v>70.0</v>
      </c>
      <c r="AE37" s="136">
        <v>291.0</v>
      </c>
      <c r="AF37" s="136">
        <v>3725.0</v>
      </c>
      <c r="AG37" s="136">
        <v>579.0</v>
      </c>
      <c r="AH37" s="136">
        <v>271.0</v>
      </c>
      <c r="AI37" s="136">
        <v>251.0</v>
      </c>
      <c r="AJ37" s="136">
        <v>1593.0</v>
      </c>
      <c r="AK37" s="136">
        <v>140.0</v>
      </c>
      <c r="AL37" s="136">
        <v>580.0</v>
      </c>
      <c r="AM37" s="136">
        <v>386.0</v>
      </c>
      <c r="AN37" s="136">
        <v>883.0</v>
      </c>
      <c r="AO37" s="139">
        <v>1307.0</v>
      </c>
      <c r="AP37" s="136">
        <v>44282.0</v>
      </c>
    </row>
    <row r="38">
      <c r="A38" s="107" t="s">
        <v>195</v>
      </c>
      <c r="B38" s="136">
        <v>691.0</v>
      </c>
      <c r="C38" s="136">
        <v>7852.0</v>
      </c>
      <c r="D38" s="136">
        <v>380.0</v>
      </c>
      <c r="E38" s="136">
        <v>518.0</v>
      </c>
      <c r="F38" s="136">
        <v>204.0</v>
      </c>
      <c r="G38" s="136">
        <v>824.0</v>
      </c>
      <c r="H38" s="136">
        <v>1910.0</v>
      </c>
      <c r="I38" s="136">
        <v>1048.0</v>
      </c>
      <c r="J38" s="136">
        <v>613.0</v>
      </c>
      <c r="K38" s="136">
        <v>1394.0</v>
      </c>
      <c r="L38" s="136">
        <v>130.0</v>
      </c>
      <c r="M38" s="133">
        <v>156.0</v>
      </c>
      <c r="N38" s="136">
        <v>235.0</v>
      </c>
      <c r="O38" s="136">
        <v>159.0</v>
      </c>
      <c r="P38" s="136">
        <v>178.0</v>
      </c>
      <c r="Q38" s="136">
        <v>747.0</v>
      </c>
      <c r="R38" s="136">
        <v>678.0</v>
      </c>
      <c r="S38" s="133">
        <v>65.0</v>
      </c>
      <c r="T38" s="136">
        <v>380.0</v>
      </c>
      <c r="U38" s="136">
        <v>331.0</v>
      </c>
      <c r="V38" s="133">
        <v>33.0</v>
      </c>
      <c r="W38" s="136">
        <v>960.0</v>
      </c>
      <c r="X38" s="136">
        <v>873.0</v>
      </c>
      <c r="Y38" s="136">
        <v>826.0</v>
      </c>
      <c r="Z38" s="136">
        <v>410.0</v>
      </c>
      <c r="AA38" s="136">
        <v>2022.0</v>
      </c>
      <c r="AB38" s="136">
        <v>365.0</v>
      </c>
      <c r="AC38" s="136">
        <v>13836.0</v>
      </c>
      <c r="AD38" s="133">
        <v>86.0</v>
      </c>
      <c r="AE38" s="136">
        <v>341.0</v>
      </c>
      <c r="AF38" s="136">
        <v>3803.0</v>
      </c>
      <c r="AG38" s="136">
        <v>662.0</v>
      </c>
      <c r="AH38" s="136">
        <v>329.0</v>
      </c>
      <c r="AI38" s="136">
        <v>281.0</v>
      </c>
      <c r="AJ38" s="136">
        <v>1817.0</v>
      </c>
      <c r="AK38" s="136">
        <v>157.0</v>
      </c>
      <c r="AL38" s="136">
        <v>614.0</v>
      </c>
      <c r="AM38" s="136">
        <v>532.0</v>
      </c>
      <c r="AN38" s="136">
        <v>860.0</v>
      </c>
      <c r="AO38" s="139">
        <v>2065.0</v>
      </c>
      <c r="AP38" s="136">
        <v>49365.0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204</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205</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206</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44104.0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207</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199</v>
      </c>
      <c r="C17" s="143">
        <v>0.051</v>
      </c>
      <c r="D17" s="143">
        <v>0.052</v>
      </c>
      <c r="E17" s="143">
        <v>0.225</v>
      </c>
      <c r="F17" s="142" t="s">
        <v>199</v>
      </c>
      <c r="G17" s="143">
        <v>0.044</v>
      </c>
      <c r="H17" s="143">
        <v>0.103</v>
      </c>
      <c r="I17" s="143">
        <v>0.049</v>
      </c>
      <c r="J17" s="143">
        <v>0.067</v>
      </c>
      <c r="K17" s="143">
        <v>0.056</v>
      </c>
      <c r="L17" s="142" t="s">
        <v>199</v>
      </c>
      <c r="M17" s="142" t="s">
        <v>199</v>
      </c>
      <c r="N17" s="142" t="s">
        <v>199</v>
      </c>
      <c r="O17" s="143">
        <v>0.0</v>
      </c>
      <c r="P17" s="143">
        <v>0.0</v>
      </c>
      <c r="Q17" s="143">
        <v>0.071</v>
      </c>
      <c r="R17" s="143">
        <v>0.073</v>
      </c>
      <c r="S17" s="143">
        <v>0.0</v>
      </c>
      <c r="T17" s="142" t="s">
        <v>199</v>
      </c>
      <c r="U17" s="142" t="s">
        <v>199</v>
      </c>
      <c r="V17" s="144">
        <v>0.0</v>
      </c>
      <c r="W17" s="143">
        <v>0.037</v>
      </c>
      <c r="X17" s="143">
        <v>0.021</v>
      </c>
      <c r="Y17" s="143">
        <v>0.098</v>
      </c>
      <c r="Z17" s="142" t="s">
        <v>199</v>
      </c>
      <c r="AA17" s="143">
        <v>0.156</v>
      </c>
      <c r="AB17" s="142" t="s">
        <v>199</v>
      </c>
      <c r="AC17" s="143">
        <v>0.197</v>
      </c>
      <c r="AD17" s="143">
        <v>0.116</v>
      </c>
      <c r="AE17" s="142" t="s">
        <v>199</v>
      </c>
      <c r="AF17" s="143">
        <v>0.055</v>
      </c>
      <c r="AG17" s="142" t="s">
        <v>199</v>
      </c>
      <c r="AH17" s="143">
        <v>0.049</v>
      </c>
      <c r="AI17" s="142" t="s">
        <v>199</v>
      </c>
      <c r="AJ17" s="143">
        <v>0.076</v>
      </c>
      <c r="AK17" s="142" t="s">
        <v>199</v>
      </c>
      <c r="AL17" s="143">
        <v>0.085</v>
      </c>
      <c r="AM17" s="143">
        <v>0.074</v>
      </c>
      <c r="AN17" s="143">
        <v>0.107</v>
      </c>
      <c r="AO17" s="143">
        <v>0.114</v>
      </c>
    </row>
    <row r="18">
      <c r="A18" s="138" t="s">
        <v>175</v>
      </c>
      <c r="B18" s="142" t="s">
        <v>199</v>
      </c>
      <c r="C18" s="143">
        <v>0.039</v>
      </c>
      <c r="D18" s="142" t="s">
        <v>199</v>
      </c>
      <c r="E18" s="143">
        <v>0.199</v>
      </c>
      <c r="F18" s="142" t="s">
        <v>199</v>
      </c>
      <c r="G18" s="143">
        <v>0.037</v>
      </c>
      <c r="H18" s="143">
        <v>0.071</v>
      </c>
      <c r="I18" s="143">
        <v>0.061</v>
      </c>
      <c r="J18" s="143">
        <v>0.046</v>
      </c>
      <c r="K18" s="143">
        <v>0.068</v>
      </c>
      <c r="L18" s="143">
        <v>0.15</v>
      </c>
      <c r="M18" s="142" t="s">
        <v>199</v>
      </c>
      <c r="N18" s="142" t="s">
        <v>199</v>
      </c>
      <c r="O18" s="142" t="s">
        <v>199</v>
      </c>
      <c r="P18" s="142" t="s">
        <v>199</v>
      </c>
      <c r="Q18" s="143">
        <v>0.077</v>
      </c>
      <c r="R18" s="143">
        <v>0.066</v>
      </c>
      <c r="S18" s="142" t="s">
        <v>199</v>
      </c>
      <c r="T18" s="142" t="s">
        <v>199</v>
      </c>
      <c r="U18" s="142" t="s">
        <v>199</v>
      </c>
      <c r="V18" s="143">
        <v>0.0</v>
      </c>
      <c r="W18" s="143">
        <v>0.036</v>
      </c>
      <c r="X18" s="143">
        <v>0.035</v>
      </c>
      <c r="Y18" s="143">
        <v>0.079</v>
      </c>
      <c r="Z18" s="142" t="s">
        <v>199</v>
      </c>
      <c r="AA18" s="143">
        <v>0.129</v>
      </c>
      <c r="AB18" s="142" t="s">
        <v>199</v>
      </c>
      <c r="AC18" s="143">
        <v>0.142</v>
      </c>
      <c r="AD18" s="142" t="s">
        <v>199</v>
      </c>
      <c r="AE18" s="142" t="s">
        <v>199</v>
      </c>
      <c r="AF18" s="143">
        <v>0.058</v>
      </c>
      <c r="AG18" s="142" t="s">
        <v>199</v>
      </c>
      <c r="AH18" s="143">
        <v>0.029</v>
      </c>
      <c r="AI18" s="142" t="s">
        <v>199</v>
      </c>
      <c r="AJ18" s="143">
        <v>0.049</v>
      </c>
      <c r="AK18" s="144">
        <v>0.0</v>
      </c>
      <c r="AL18" s="143">
        <v>0.085</v>
      </c>
      <c r="AM18" s="142" t="s">
        <v>199</v>
      </c>
      <c r="AN18" s="143">
        <v>0.115</v>
      </c>
      <c r="AO18" s="143">
        <v>0.089</v>
      </c>
    </row>
    <row r="19">
      <c r="A19" s="138" t="s">
        <v>176</v>
      </c>
      <c r="B19" s="143">
        <v>0.05</v>
      </c>
      <c r="C19" s="143">
        <v>0.028</v>
      </c>
      <c r="D19" s="142" t="s">
        <v>199</v>
      </c>
      <c r="E19" s="143">
        <v>0.156</v>
      </c>
      <c r="F19" s="143">
        <v>0.0</v>
      </c>
      <c r="G19" s="143">
        <v>0.025</v>
      </c>
      <c r="H19" s="143">
        <v>0.066</v>
      </c>
      <c r="I19" s="143">
        <v>0.029</v>
      </c>
      <c r="J19" s="143">
        <v>0.029</v>
      </c>
      <c r="K19" s="143">
        <v>0.046</v>
      </c>
      <c r="L19" s="142" t="s">
        <v>199</v>
      </c>
      <c r="M19" s="142" t="s">
        <v>199</v>
      </c>
      <c r="N19" s="143">
        <v>0.087</v>
      </c>
      <c r="O19" s="142" t="s">
        <v>199</v>
      </c>
      <c r="P19" s="143">
        <v>0.0</v>
      </c>
      <c r="Q19" s="143">
        <v>0.053</v>
      </c>
      <c r="R19" s="143">
        <v>0.043</v>
      </c>
      <c r="S19" s="143">
        <v>0.0</v>
      </c>
      <c r="T19" s="143">
        <v>0.0</v>
      </c>
      <c r="U19" s="142" t="s">
        <v>199</v>
      </c>
      <c r="V19" s="142" t="s">
        <v>199</v>
      </c>
      <c r="W19" s="142" t="s">
        <v>199</v>
      </c>
      <c r="X19" s="143">
        <v>0.016</v>
      </c>
      <c r="Y19" s="143">
        <v>0.074</v>
      </c>
      <c r="Z19" s="143">
        <v>0.031</v>
      </c>
      <c r="AA19" s="143">
        <v>0.086</v>
      </c>
      <c r="AB19" s="142" t="s">
        <v>199</v>
      </c>
      <c r="AC19" s="143">
        <v>0.121</v>
      </c>
      <c r="AD19" s="143">
        <v>0.0</v>
      </c>
      <c r="AE19" s="143">
        <v>0.036</v>
      </c>
      <c r="AF19" s="143">
        <v>0.054</v>
      </c>
      <c r="AG19" s="142" t="s">
        <v>199</v>
      </c>
      <c r="AH19" s="143">
        <v>0.051</v>
      </c>
      <c r="AI19" s="143">
        <v>0.083</v>
      </c>
      <c r="AJ19" s="143">
        <v>0.035</v>
      </c>
      <c r="AK19" s="142" t="s">
        <v>199</v>
      </c>
      <c r="AL19" s="143">
        <v>0.035</v>
      </c>
      <c r="AM19" s="142" t="s">
        <v>199</v>
      </c>
      <c r="AN19" s="143">
        <v>0.081</v>
      </c>
      <c r="AO19" s="143">
        <v>0.066</v>
      </c>
    </row>
    <row r="20">
      <c r="A20" s="138" t="s">
        <v>177</v>
      </c>
      <c r="B20" s="143">
        <v>0.052</v>
      </c>
      <c r="C20" s="143">
        <v>0.036</v>
      </c>
      <c r="D20" s="143">
        <v>0.04</v>
      </c>
      <c r="E20" s="143">
        <v>0.122</v>
      </c>
      <c r="F20" s="143">
        <v>0.0</v>
      </c>
      <c r="G20" s="143">
        <v>0.042</v>
      </c>
      <c r="H20" s="143">
        <v>0.057</v>
      </c>
      <c r="I20" s="143">
        <v>0.028</v>
      </c>
      <c r="J20" s="142" t="s">
        <v>199</v>
      </c>
      <c r="K20" s="143">
        <v>0.023</v>
      </c>
      <c r="L20" s="142" t="s">
        <v>199</v>
      </c>
      <c r="M20" s="142" t="s">
        <v>199</v>
      </c>
      <c r="N20" s="142" t="s">
        <v>199</v>
      </c>
      <c r="O20" s="142" t="s">
        <v>199</v>
      </c>
      <c r="P20" s="142" t="s">
        <v>199</v>
      </c>
      <c r="Q20" s="143">
        <v>0.045</v>
      </c>
      <c r="R20" s="143">
        <v>0.035</v>
      </c>
      <c r="S20" s="142" t="s">
        <v>199</v>
      </c>
      <c r="T20" s="142" t="s">
        <v>199</v>
      </c>
      <c r="U20" s="142" t="s">
        <v>199</v>
      </c>
      <c r="V20" s="143">
        <v>0.0</v>
      </c>
      <c r="W20" s="142" t="s">
        <v>199</v>
      </c>
      <c r="X20" s="143">
        <v>0.017</v>
      </c>
      <c r="Y20" s="143">
        <v>0.043</v>
      </c>
      <c r="Z20" s="143">
        <v>0.035</v>
      </c>
      <c r="AA20" s="143">
        <v>0.071</v>
      </c>
      <c r="AB20" s="143">
        <v>0.047</v>
      </c>
      <c r="AC20" s="143">
        <v>0.1</v>
      </c>
      <c r="AD20" s="142" t="s">
        <v>199</v>
      </c>
      <c r="AE20" s="142" t="s">
        <v>199</v>
      </c>
      <c r="AF20" s="143">
        <v>0.027</v>
      </c>
      <c r="AG20" s="142" t="s">
        <v>199</v>
      </c>
      <c r="AH20" s="143">
        <v>0.053</v>
      </c>
      <c r="AI20" s="143">
        <v>0.028</v>
      </c>
      <c r="AJ20" s="143">
        <v>0.038</v>
      </c>
      <c r="AK20" s="142" t="s">
        <v>199</v>
      </c>
      <c r="AL20" s="143">
        <v>0.037</v>
      </c>
      <c r="AM20" s="142" t="s">
        <v>199</v>
      </c>
      <c r="AN20" s="143">
        <v>0.061</v>
      </c>
      <c r="AO20" s="143">
        <v>0.057</v>
      </c>
    </row>
    <row r="21">
      <c r="A21" s="138" t="s">
        <v>178</v>
      </c>
      <c r="B21" s="142" t="s">
        <v>199</v>
      </c>
      <c r="C21" s="143">
        <v>0.029</v>
      </c>
      <c r="D21" s="142" t="s">
        <v>199</v>
      </c>
      <c r="E21" s="143">
        <v>0.085</v>
      </c>
      <c r="F21" s="142" t="s">
        <v>199</v>
      </c>
      <c r="G21" s="143">
        <v>0.022</v>
      </c>
      <c r="H21" s="143">
        <v>0.048</v>
      </c>
      <c r="I21" s="143">
        <v>0.019</v>
      </c>
      <c r="J21" s="143">
        <v>0.0</v>
      </c>
      <c r="K21" s="143">
        <v>0.032</v>
      </c>
      <c r="L21" s="143">
        <v>0.0</v>
      </c>
      <c r="M21" s="142" t="s">
        <v>199</v>
      </c>
      <c r="N21" s="142" t="s">
        <v>199</v>
      </c>
      <c r="O21" s="143">
        <v>0.0</v>
      </c>
      <c r="P21" s="142" t="s">
        <v>199</v>
      </c>
      <c r="Q21" s="143">
        <v>0.096</v>
      </c>
      <c r="R21" s="143">
        <v>0.042</v>
      </c>
      <c r="S21" s="143">
        <v>0.0</v>
      </c>
      <c r="T21" s="142" t="s">
        <v>199</v>
      </c>
      <c r="U21" s="142" t="s">
        <v>199</v>
      </c>
      <c r="V21" s="143">
        <v>0.0</v>
      </c>
      <c r="W21" s="143">
        <v>0.041</v>
      </c>
      <c r="X21" s="143">
        <v>0.019</v>
      </c>
      <c r="Y21" s="143">
        <v>0.038</v>
      </c>
      <c r="Z21" s="142" t="s">
        <v>199</v>
      </c>
      <c r="AA21" s="143">
        <v>0.064</v>
      </c>
      <c r="AB21" s="143">
        <v>0.041</v>
      </c>
      <c r="AC21" s="143">
        <v>0.107</v>
      </c>
      <c r="AD21" s="142" t="s">
        <v>199</v>
      </c>
      <c r="AE21" s="142" t="s">
        <v>199</v>
      </c>
      <c r="AF21" s="143">
        <v>0.0</v>
      </c>
      <c r="AG21" s="143">
        <v>0.0</v>
      </c>
      <c r="AH21" s="142" t="s">
        <v>199</v>
      </c>
      <c r="AI21" s="143">
        <v>0.0</v>
      </c>
      <c r="AJ21" s="143">
        <v>0.021</v>
      </c>
      <c r="AK21" s="142" t="s">
        <v>199</v>
      </c>
      <c r="AL21" s="143">
        <v>0.026</v>
      </c>
      <c r="AM21" s="142" t="s">
        <v>199</v>
      </c>
      <c r="AN21" s="143">
        <v>0.068</v>
      </c>
      <c r="AO21" s="143">
        <v>0.052</v>
      </c>
    </row>
    <row r="22">
      <c r="A22" s="138" t="s">
        <v>179</v>
      </c>
      <c r="B22" s="142" t="s">
        <v>199</v>
      </c>
      <c r="C22" s="142" t="s">
        <v>199</v>
      </c>
      <c r="D22" s="142" t="s">
        <v>199</v>
      </c>
      <c r="E22" s="143">
        <v>0.097</v>
      </c>
      <c r="F22" s="143">
        <v>0.0</v>
      </c>
      <c r="G22" s="142" t="s">
        <v>199</v>
      </c>
      <c r="H22" s="143">
        <v>0.031</v>
      </c>
      <c r="I22" s="143">
        <v>0.03</v>
      </c>
      <c r="J22" s="142" t="s">
        <v>199</v>
      </c>
      <c r="K22" s="143">
        <v>0.014</v>
      </c>
      <c r="L22" s="142" t="s">
        <v>199</v>
      </c>
      <c r="M22" s="143">
        <v>0.0</v>
      </c>
      <c r="N22" s="142" t="s">
        <v>199</v>
      </c>
      <c r="O22" s="143">
        <v>0.0</v>
      </c>
      <c r="P22" s="142" t="s">
        <v>199</v>
      </c>
      <c r="Q22" s="143">
        <v>0.028</v>
      </c>
      <c r="R22" s="142" t="s">
        <v>199</v>
      </c>
      <c r="S22" s="143">
        <v>0.0</v>
      </c>
      <c r="T22" s="142" t="s">
        <v>199</v>
      </c>
      <c r="U22" s="142" t="s">
        <v>199</v>
      </c>
      <c r="V22" s="143">
        <v>0.0</v>
      </c>
      <c r="W22" s="142" t="s">
        <v>199</v>
      </c>
      <c r="X22" s="142" t="s">
        <v>199</v>
      </c>
      <c r="Y22" s="143">
        <v>0.036</v>
      </c>
      <c r="Z22" s="142" t="s">
        <v>199</v>
      </c>
      <c r="AA22" s="143">
        <v>0.041</v>
      </c>
      <c r="AB22" s="143">
        <v>0.027</v>
      </c>
      <c r="AC22" s="143">
        <v>0.073</v>
      </c>
      <c r="AD22" s="143">
        <v>0.0</v>
      </c>
      <c r="AE22" s="142" t="s">
        <v>199</v>
      </c>
      <c r="AF22" s="142" t="s">
        <v>199</v>
      </c>
      <c r="AG22" s="143">
        <v>0.0</v>
      </c>
      <c r="AH22" s="142" t="s">
        <v>199</v>
      </c>
      <c r="AI22" s="142" t="s">
        <v>199</v>
      </c>
      <c r="AJ22" s="143">
        <v>0.017</v>
      </c>
      <c r="AK22" s="143">
        <v>0.0</v>
      </c>
      <c r="AL22" s="143">
        <v>0.023</v>
      </c>
      <c r="AM22" s="143">
        <v>0.0</v>
      </c>
      <c r="AN22" s="143">
        <v>0.043</v>
      </c>
      <c r="AO22" s="143">
        <v>0.034</v>
      </c>
    </row>
    <row r="23">
      <c r="A23" s="138" t="s">
        <v>180</v>
      </c>
      <c r="B23" s="142" t="s">
        <v>199</v>
      </c>
      <c r="C23" s="142" t="s">
        <v>199</v>
      </c>
      <c r="D23" s="142" t="s">
        <v>199</v>
      </c>
      <c r="E23" s="143">
        <v>0.082</v>
      </c>
      <c r="F23" s="142" t="s">
        <v>199</v>
      </c>
      <c r="G23" s="142" t="s">
        <v>199</v>
      </c>
      <c r="H23" s="143">
        <v>0.032</v>
      </c>
      <c r="I23" s="143">
        <v>0.02</v>
      </c>
      <c r="J23" s="142" t="s">
        <v>199</v>
      </c>
      <c r="K23" s="143">
        <v>0.019</v>
      </c>
      <c r="L23" s="142" t="s">
        <v>199</v>
      </c>
      <c r="M23" s="144">
        <v>0.0</v>
      </c>
      <c r="N23" s="143">
        <v>0.0</v>
      </c>
      <c r="O23" s="143">
        <v>0.0</v>
      </c>
      <c r="P23" s="143">
        <v>0.0</v>
      </c>
      <c r="Q23" s="143">
        <v>0.037</v>
      </c>
      <c r="R23" s="143">
        <v>0.018</v>
      </c>
      <c r="S23" s="143">
        <v>0.0</v>
      </c>
      <c r="T23" s="142" t="s">
        <v>199</v>
      </c>
      <c r="U23" s="143">
        <v>0.0</v>
      </c>
      <c r="V23" s="143">
        <v>0.0</v>
      </c>
      <c r="W23" s="142" t="s">
        <v>199</v>
      </c>
      <c r="X23" s="142" t="s">
        <v>199</v>
      </c>
      <c r="Y23" s="143">
        <v>0.018</v>
      </c>
      <c r="Z23" s="143">
        <v>0.05</v>
      </c>
      <c r="AA23" s="143">
        <v>0.037</v>
      </c>
      <c r="AB23" s="143">
        <v>0.0</v>
      </c>
      <c r="AC23" s="143">
        <v>0.047</v>
      </c>
      <c r="AD23" s="143">
        <v>0.0</v>
      </c>
      <c r="AE23" s="142" t="s">
        <v>199</v>
      </c>
      <c r="AF23" s="142" t="s">
        <v>199</v>
      </c>
      <c r="AG23" s="142" t="s">
        <v>199</v>
      </c>
      <c r="AH23" s="142" t="s">
        <v>199</v>
      </c>
      <c r="AI23" s="142" t="s">
        <v>199</v>
      </c>
      <c r="AJ23" s="143">
        <v>0.011</v>
      </c>
      <c r="AK23" s="143">
        <v>0.0</v>
      </c>
      <c r="AL23" s="142" t="s">
        <v>199</v>
      </c>
      <c r="AM23" s="143">
        <v>0.0</v>
      </c>
      <c r="AN23" s="143">
        <v>0.037</v>
      </c>
      <c r="AO23" s="143">
        <v>0.027</v>
      </c>
    </row>
    <row r="24">
      <c r="A24" s="138" t="s">
        <v>181</v>
      </c>
      <c r="B24" s="143">
        <v>0.0</v>
      </c>
      <c r="C24" s="142" t="s">
        <v>199</v>
      </c>
      <c r="D24" s="142" t="s">
        <v>199</v>
      </c>
      <c r="E24" s="143">
        <v>0.073</v>
      </c>
      <c r="F24" s="142" t="s">
        <v>199</v>
      </c>
      <c r="G24" s="144">
        <v>0.0</v>
      </c>
      <c r="H24" s="143">
        <v>0.019</v>
      </c>
      <c r="I24" s="142" t="s">
        <v>199</v>
      </c>
      <c r="J24" s="142" t="s">
        <v>199</v>
      </c>
      <c r="K24" s="143">
        <v>0.014</v>
      </c>
      <c r="L24" s="143">
        <v>0.0</v>
      </c>
      <c r="M24" s="143">
        <v>0.0</v>
      </c>
      <c r="N24" s="143">
        <v>0.0</v>
      </c>
      <c r="O24" s="143">
        <v>0.0</v>
      </c>
      <c r="P24" s="142" t="s">
        <v>199</v>
      </c>
      <c r="Q24" s="143">
        <v>0.015</v>
      </c>
      <c r="R24" s="143">
        <v>0.034</v>
      </c>
      <c r="S24" s="143">
        <v>0.0</v>
      </c>
      <c r="T24" s="142" t="s">
        <v>199</v>
      </c>
      <c r="U24" s="142" t="s">
        <v>199</v>
      </c>
      <c r="V24" s="143">
        <v>0.0</v>
      </c>
      <c r="W24" s="143">
        <v>0.016</v>
      </c>
      <c r="X24" s="142" t="s">
        <v>199</v>
      </c>
      <c r="Y24" s="142" t="s">
        <v>199</v>
      </c>
      <c r="Z24" s="142" t="s">
        <v>199</v>
      </c>
      <c r="AA24" s="143">
        <v>0.032</v>
      </c>
      <c r="AB24" s="143">
        <v>0.0</v>
      </c>
      <c r="AC24" s="143">
        <v>0.04</v>
      </c>
      <c r="AD24" s="142" t="s">
        <v>199</v>
      </c>
      <c r="AE24" s="142" t="s">
        <v>199</v>
      </c>
      <c r="AF24" s="142" t="s">
        <v>199</v>
      </c>
      <c r="AG24" s="143">
        <v>0.0</v>
      </c>
      <c r="AH24" s="143">
        <v>0.0</v>
      </c>
      <c r="AI24" s="142" t="s">
        <v>199</v>
      </c>
      <c r="AJ24" s="143">
        <v>0.013</v>
      </c>
      <c r="AK24" s="143">
        <v>0.0</v>
      </c>
      <c r="AL24" s="143">
        <v>0.027</v>
      </c>
      <c r="AM24" s="142" t="s">
        <v>199</v>
      </c>
      <c r="AN24" s="143">
        <v>0.036</v>
      </c>
      <c r="AO24" s="143">
        <v>0.021</v>
      </c>
    </row>
    <row r="25">
      <c r="A25" s="138" t="s">
        <v>182</v>
      </c>
      <c r="B25" s="142" t="s">
        <v>199</v>
      </c>
      <c r="C25" s="142" t="s">
        <v>199</v>
      </c>
      <c r="D25" s="142" t="s">
        <v>199</v>
      </c>
      <c r="E25" s="143">
        <v>0.043</v>
      </c>
      <c r="F25" s="142" t="s">
        <v>199</v>
      </c>
      <c r="G25" s="142" t="s">
        <v>199</v>
      </c>
      <c r="H25" s="143">
        <v>0.012</v>
      </c>
      <c r="I25" s="143">
        <v>0.02</v>
      </c>
      <c r="J25" s="142" t="s">
        <v>199</v>
      </c>
      <c r="K25" s="143">
        <v>0.01</v>
      </c>
      <c r="L25" s="143">
        <v>0.0</v>
      </c>
      <c r="M25" s="142" t="s">
        <v>199</v>
      </c>
      <c r="N25" s="142" t="s">
        <v>199</v>
      </c>
      <c r="O25" s="142" t="s">
        <v>199</v>
      </c>
      <c r="P25" s="143">
        <v>0.0</v>
      </c>
      <c r="Q25" s="143">
        <v>0.021</v>
      </c>
      <c r="R25" s="143">
        <v>0.016</v>
      </c>
      <c r="S25" s="143">
        <v>0.0</v>
      </c>
      <c r="T25" s="143">
        <v>0.025</v>
      </c>
      <c r="U25" s="143">
        <v>0.0</v>
      </c>
      <c r="V25" s="143">
        <v>0.0</v>
      </c>
      <c r="W25" s="143">
        <v>0.029</v>
      </c>
      <c r="X25" s="142" t="s">
        <v>199</v>
      </c>
      <c r="Y25" s="143">
        <v>0.022</v>
      </c>
      <c r="Z25" s="142" t="s">
        <v>199</v>
      </c>
      <c r="AA25" s="143">
        <v>0.038</v>
      </c>
      <c r="AB25" s="142" t="s">
        <v>199</v>
      </c>
      <c r="AC25" s="143">
        <v>0.033</v>
      </c>
      <c r="AD25" s="143">
        <v>0.0</v>
      </c>
      <c r="AE25" s="142" t="s">
        <v>199</v>
      </c>
      <c r="AF25" s="142" t="s">
        <v>199</v>
      </c>
      <c r="AG25" s="142" t="s">
        <v>199</v>
      </c>
      <c r="AH25" s="142" t="s">
        <v>199</v>
      </c>
      <c r="AI25" s="142" t="s">
        <v>199</v>
      </c>
      <c r="AJ25" s="143">
        <v>0.009</v>
      </c>
      <c r="AK25" s="142" t="s">
        <v>199</v>
      </c>
      <c r="AL25" s="143">
        <v>0.024</v>
      </c>
      <c r="AM25" s="142" t="s">
        <v>199</v>
      </c>
      <c r="AN25" s="143">
        <v>0.026</v>
      </c>
      <c r="AO25" s="143">
        <v>0.02</v>
      </c>
    </row>
    <row r="26">
      <c r="A26" s="138" t="s">
        <v>183</v>
      </c>
      <c r="B26" s="142" t="s">
        <v>199</v>
      </c>
      <c r="C26" s="142" t="s">
        <v>199</v>
      </c>
      <c r="D26" s="142" t="s">
        <v>199</v>
      </c>
      <c r="E26" s="143">
        <v>0.024</v>
      </c>
      <c r="F26" s="142" t="s">
        <v>199</v>
      </c>
      <c r="G26" s="143">
        <v>0.021</v>
      </c>
      <c r="H26" s="143">
        <v>0.036</v>
      </c>
      <c r="I26" s="142" t="s">
        <v>199</v>
      </c>
      <c r="J26" s="142" t="s">
        <v>199</v>
      </c>
      <c r="K26" s="143">
        <v>0.009</v>
      </c>
      <c r="L26" s="143">
        <v>0.0</v>
      </c>
      <c r="M26" s="142" t="s">
        <v>199</v>
      </c>
      <c r="N26" s="142" t="s">
        <v>199</v>
      </c>
      <c r="O26" s="143">
        <v>0.0</v>
      </c>
      <c r="P26" s="142" t="s">
        <v>199</v>
      </c>
      <c r="Q26" s="143">
        <v>0.03</v>
      </c>
      <c r="R26" s="142" t="s">
        <v>199</v>
      </c>
      <c r="S26" s="142" t="s">
        <v>199</v>
      </c>
      <c r="T26" s="143">
        <v>0.019</v>
      </c>
      <c r="U26" s="143">
        <v>0.0</v>
      </c>
      <c r="V26" s="143">
        <v>0.0</v>
      </c>
      <c r="W26" s="143">
        <v>0.019</v>
      </c>
      <c r="X26" s="142" t="s">
        <v>199</v>
      </c>
      <c r="Y26" s="143">
        <v>0.026</v>
      </c>
      <c r="Z26" s="142" t="s">
        <v>199</v>
      </c>
      <c r="AA26" s="143">
        <v>0.015</v>
      </c>
      <c r="AB26" s="142" t="s">
        <v>199</v>
      </c>
      <c r="AC26" s="143">
        <v>0.028</v>
      </c>
      <c r="AD26" s="143">
        <v>0.0</v>
      </c>
      <c r="AE26" s="142" t="s">
        <v>199</v>
      </c>
      <c r="AF26" s="143">
        <v>0.024</v>
      </c>
      <c r="AG26" s="143">
        <v>0.0</v>
      </c>
      <c r="AH26" s="142" t="s">
        <v>199</v>
      </c>
      <c r="AI26" s="142" t="s">
        <v>199</v>
      </c>
      <c r="AJ26" s="143">
        <v>0.01</v>
      </c>
      <c r="AK26" s="143">
        <v>0.0</v>
      </c>
      <c r="AL26" s="143">
        <v>0.02</v>
      </c>
      <c r="AM26" s="143">
        <v>0.017</v>
      </c>
      <c r="AN26" s="143">
        <v>0.014</v>
      </c>
      <c r="AO26" s="143">
        <v>0.019</v>
      </c>
    </row>
    <row r="27">
      <c r="A27" s="138" t="s">
        <v>184</v>
      </c>
      <c r="B27" s="142" t="s">
        <v>199</v>
      </c>
      <c r="C27" s="143">
        <v>0.017</v>
      </c>
      <c r="D27" s="142" t="s">
        <v>199</v>
      </c>
      <c r="E27" s="143">
        <v>0.046</v>
      </c>
      <c r="F27" s="142" t="s">
        <v>199</v>
      </c>
      <c r="G27" s="143">
        <v>0.015</v>
      </c>
      <c r="H27" s="143">
        <v>0.019</v>
      </c>
      <c r="I27" s="142" t="s">
        <v>199</v>
      </c>
      <c r="J27" s="143">
        <v>0.016</v>
      </c>
      <c r="K27" s="143">
        <v>0.008</v>
      </c>
      <c r="L27" s="143">
        <v>0.0</v>
      </c>
      <c r="M27" s="143">
        <v>0.0</v>
      </c>
      <c r="N27" s="142" t="s">
        <v>199</v>
      </c>
      <c r="O27" s="142" t="s">
        <v>199</v>
      </c>
      <c r="P27" s="142" t="s">
        <v>199</v>
      </c>
      <c r="Q27" s="143">
        <v>0.014</v>
      </c>
      <c r="R27" s="143">
        <v>0.019</v>
      </c>
      <c r="S27" s="143">
        <v>0.0</v>
      </c>
      <c r="T27" s="143">
        <v>0.021</v>
      </c>
      <c r="U27" s="142" t="s">
        <v>199</v>
      </c>
      <c r="V27" s="142" t="s">
        <v>199</v>
      </c>
      <c r="W27" s="143">
        <v>0.017</v>
      </c>
      <c r="X27" s="143">
        <v>0.0</v>
      </c>
      <c r="Y27" s="143">
        <v>0.028</v>
      </c>
      <c r="Z27" s="143">
        <v>0.034</v>
      </c>
      <c r="AA27" s="143">
        <v>0.024</v>
      </c>
      <c r="AB27" s="142" t="s">
        <v>199</v>
      </c>
      <c r="AC27" s="143">
        <v>0.026</v>
      </c>
      <c r="AD27" s="143">
        <v>0.0</v>
      </c>
      <c r="AE27" s="142" t="s">
        <v>199</v>
      </c>
      <c r="AF27" s="143">
        <v>0.015</v>
      </c>
      <c r="AG27" s="142" t="s">
        <v>199</v>
      </c>
      <c r="AH27" s="142" t="s">
        <v>199</v>
      </c>
      <c r="AI27" s="142" t="s">
        <v>199</v>
      </c>
      <c r="AJ27" s="143">
        <v>0.014</v>
      </c>
      <c r="AK27" s="142" t="s">
        <v>199</v>
      </c>
      <c r="AL27" s="143">
        <v>0.026</v>
      </c>
      <c r="AM27" s="142" t="s">
        <v>199</v>
      </c>
      <c r="AN27" s="143">
        <v>0.021</v>
      </c>
      <c r="AO27" s="143">
        <v>0.018</v>
      </c>
    </row>
    <row r="28">
      <c r="A28" s="138" t="s">
        <v>185</v>
      </c>
      <c r="B28" s="142" t="s">
        <v>199</v>
      </c>
      <c r="C28" s="143">
        <v>0.02</v>
      </c>
      <c r="D28" s="142" t="s">
        <v>199</v>
      </c>
      <c r="E28" s="143">
        <v>0.063</v>
      </c>
      <c r="F28" s="142" t="s">
        <v>199</v>
      </c>
      <c r="G28" s="142" t="s">
        <v>199</v>
      </c>
      <c r="H28" s="143">
        <v>0.031</v>
      </c>
      <c r="I28" s="143">
        <v>0.023</v>
      </c>
      <c r="J28" s="142" t="s">
        <v>199</v>
      </c>
      <c r="K28" s="143">
        <v>0.02</v>
      </c>
      <c r="L28" s="143">
        <v>0.0</v>
      </c>
      <c r="M28" s="143">
        <v>0.0</v>
      </c>
      <c r="N28" s="143">
        <v>0.0</v>
      </c>
      <c r="O28" s="143">
        <v>0.0</v>
      </c>
      <c r="P28" s="143">
        <v>0.0</v>
      </c>
      <c r="Q28" s="143">
        <v>0.028</v>
      </c>
      <c r="R28" s="143">
        <v>0.017</v>
      </c>
      <c r="S28" s="142" t="s">
        <v>199</v>
      </c>
      <c r="T28" s="142" t="s">
        <v>199</v>
      </c>
      <c r="U28" s="142" t="s">
        <v>199</v>
      </c>
      <c r="V28" s="143">
        <v>0.0</v>
      </c>
      <c r="W28" s="142" t="s">
        <v>199</v>
      </c>
      <c r="X28" s="142" t="s">
        <v>199</v>
      </c>
      <c r="Y28" s="143">
        <v>0.027</v>
      </c>
      <c r="Z28" s="142" t="s">
        <v>199</v>
      </c>
      <c r="AA28" s="143">
        <v>0.044</v>
      </c>
      <c r="AB28" s="142" t="s">
        <v>199</v>
      </c>
      <c r="AC28" s="143">
        <v>0.034</v>
      </c>
      <c r="AD28" s="143">
        <v>0.0</v>
      </c>
      <c r="AE28" s="142" t="s">
        <v>199</v>
      </c>
      <c r="AF28" s="143">
        <v>0.042</v>
      </c>
      <c r="AG28" s="143">
        <v>0.0</v>
      </c>
      <c r="AH28" s="142" t="s">
        <v>199</v>
      </c>
      <c r="AI28" s="142" t="s">
        <v>199</v>
      </c>
      <c r="AJ28" s="143">
        <v>0.017</v>
      </c>
      <c r="AK28" s="143">
        <v>0.0</v>
      </c>
      <c r="AL28" s="143">
        <v>0.019</v>
      </c>
      <c r="AM28" s="142" t="s">
        <v>199</v>
      </c>
      <c r="AN28" s="143">
        <v>0.029</v>
      </c>
      <c r="AO28" s="143">
        <v>0.024</v>
      </c>
    </row>
    <row r="29">
      <c r="A29" s="145" t="s">
        <v>186</v>
      </c>
      <c r="B29" s="143">
        <v>0.0</v>
      </c>
      <c r="C29" s="143">
        <v>0.017</v>
      </c>
      <c r="D29" s="142" t="s">
        <v>199</v>
      </c>
      <c r="E29" s="143">
        <v>0.077</v>
      </c>
      <c r="F29" s="142" t="s">
        <v>199</v>
      </c>
      <c r="G29" s="143">
        <v>0.013</v>
      </c>
      <c r="H29" s="143">
        <v>0.029</v>
      </c>
      <c r="I29" s="143">
        <v>0.02</v>
      </c>
      <c r="J29" s="143">
        <v>0.011</v>
      </c>
      <c r="K29" s="143">
        <v>0.018</v>
      </c>
      <c r="L29" s="142" t="s">
        <v>199</v>
      </c>
      <c r="M29" s="143">
        <v>0.0</v>
      </c>
      <c r="N29" s="142" t="s">
        <v>199</v>
      </c>
      <c r="O29" s="142" t="s">
        <v>199</v>
      </c>
      <c r="P29" s="142" t="s">
        <v>199</v>
      </c>
      <c r="Q29" s="143">
        <v>0.036</v>
      </c>
      <c r="R29" s="143">
        <v>0.015</v>
      </c>
      <c r="S29" s="143">
        <v>0.0</v>
      </c>
      <c r="T29" s="142" t="s">
        <v>199</v>
      </c>
      <c r="U29" s="142" t="s">
        <v>199</v>
      </c>
      <c r="V29" s="142" t="s">
        <v>199</v>
      </c>
      <c r="W29" s="144">
        <v>0.013</v>
      </c>
      <c r="X29" s="143">
        <v>0.01</v>
      </c>
      <c r="Y29" s="143">
        <v>0.051</v>
      </c>
      <c r="Z29" s="142" t="s">
        <v>199</v>
      </c>
      <c r="AA29" s="143">
        <v>0.057</v>
      </c>
      <c r="AB29" s="142" t="s">
        <v>199</v>
      </c>
      <c r="AC29" s="143">
        <v>0.038</v>
      </c>
      <c r="AD29" s="143">
        <v>0.0</v>
      </c>
      <c r="AE29" s="142" t="s">
        <v>199</v>
      </c>
      <c r="AF29" s="143">
        <v>0.025</v>
      </c>
      <c r="AG29" s="143">
        <v>0.0</v>
      </c>
      <c r="AH29" s="142" t="s">
        <v>199</v>
      </c>
      <c r="AI29" s="143">
        <v>0.038</v>
      </c>
      <c r="AJ29" s="143">
        <v>0.023</v>
      </c>
      <c r="AK29" s="142" t="s">
        <v>199</v>
      </c>
      <c r="AL29" s="143">
        <v>0.017</v>
      </c>
      <c r="AM29" s="142" t="s">
        <v>199</v>
      </c>
      <c r="AN29" s="143">
        <v>0.023</v>
      </c>
      <c r="AO29" s="143">
        <v>0.027</v>
      </c>
    </row>
    <row r="30">
      <c r="A30" s="138" t="s">
        <v>187</v>
      </c>
      <c r="B30" s="142" t="s">
        <v>199</v>
      </c>
      <c r="C30" s="143">
        <v>0.012</v>
      </c>
      <c r="D30" s="143">
        <v>0.035</v>
      </c>
      <c r="E30" s="143">
        <v>0.069</v>
      </c>
      <c r="F30" s="142" t="s">
        <v>199</v>
      </c>
      <c r="G30" s="143">
        <v>0.008</v>
      </c>
      <c r="H30" s="143">
        <v>0.053</v>
      </c>
      <c r="I30" s="143">
        <v>0.017</v>
      </c>
      <c r="J30" s="143">
        <v>0.022</v>
      </c>
      <c r="K30" s="143">
        <v>0.012</v>
      </c>
      <c r="L30" s="142" t="s">
        <v>199</v>
      </c>
      <c r="M30" s="142" t="s">
        <v>199</v>
      </c>
      <c r="N30" s="142" t="s">
        <v>199</v>
      </c>
      <c r="O30" s="143">
        <v>0.0</v>
      </c>
      <c r="P30" s="142" t="s">
        <v>199</v>
      </c>
      <c r="Q30" s="143">
        <v>0.023</v>
      </c>
      <c r="R30" s="143">
        <v>0.041</v>
      </c>
      <c r="S30" s="143">
        <v>0.0</v>
      </c>
      <c r="T30" s="143">
        <v>0.018</v>
      </c>
      <c r="U30" s="143">
        <v>0.0</v>
      </c>
      <c r="V30" s="142" t="s">
        <v>199</v>
      </c>
      <c r="W30" s="143">
        <v>0.013</v>
      </c>
      <c r="X30" s="143">
        <v>0.011</v>
      </c>
      <c r="Y30" s="143">
        <v>0.054</v>
      </c>
      <c r="Z30" s="142" t="s">
        <v>199</v>
      </c>
      <c r="AA30" s="143">
        <v>0.056</v>
      </c>
      <c r="AB30" s="143">
        <v>0.0</v>
      </c>
      <c r="AC30" s="143">
        <v>0.041</v>
      </c>
      <c r="AD30" s="142" t="s">
        <v>199</v>
      </c>
      <c r="AE30" s="142" t="s">
        <v>199</v>
      </c>
      <c r="AF30" s="142" t="s">
        <v>199</v>
      </c>
      <c r="AG30" s="142" t="s">
        <v>199</v>
      </c>
      <c r="AH30" s="142" t="s">
        <v>199</v>
      </c>
      <c r="AI30" s="142" t="s">
        <v>199</v>
      </c>
      <c r="AJ30" s="143">
        <v>0.021</v>
      </c>
      <c r="AK30" s="142" t="s">
        <v>199</v>
      </c>
      <c r="AL30" s="143">
        <v>0.034</v>
      </c>
      <c r="AM30" s="142" t="s">
        <v>199</v>
      </c>
      <c r="AN30" s="143">
        <v>0.023</v>
      </c>
      <c r="AO30" s="143">
        <v>0.029</v>
      </c>
    </row>
    <row r="31">
      <c r="A31" s="146" t="s">
        <v>188</v>
      </c>
      <c r="B31" s="142" t="s">
        <v>199</v>
      </c>
      <c r="C31" s="143">
        <v>0.006</v>
      </c>
      <c r="D31" s="142" t="s">
        <v>199</v>
      </c>
      <c r="E31" s="143">
        <v>0.069</v>
      </c>
      <c r="F31" s="143">
        <v>0.0</v>
      </c>
      <c r="G31" s="143">
        <v>0.011</v>
      </c>
      <c r="H31" s="143">
        <v>0.059</v>
      </c>
      <c r="I31" s="143">
        <v>0.018</v>
      </c>
      <c r="J31" s="142" t="s">
        <v>199</v>
      </c>
      <c r="K31" s="143">
        <v>0.016</v>
      </c>
      <c r="L31" s="142" t="s">
        <v>199</v>
      </c>
      <c r="M31" s="142" t="s">
        <v>199</v>
      </c>
      <c r="N31" s="142" t="s">
        <v>199</v>
      </c>
      <c r="O31" s="143">
        <v>0.0</v>
      </c>
      <c r="P31" s="143">
        <v>0.0</v>
      </c>
      <c r="Q31" s="143">
        <v>0.029</v>
      </c>
      <c r="R31" s="143">
        <v>0.031</v>
      </c>
      <c r="S31" s="143">
        <v>0.0</v>
      </c>
      <c r="T31" s="142" t="s">
        <v>199</v>
      </c>
      <c r="U31" s="142" t="s">
        <v>199</v>
      </c>
      <c r="V31" s="142" t="s">
        <v>199</v>
      </c>
      <c r="W31" s="143">
        <v>0.008</v>
      </c>
      <c r="X31" s="143">
        <v>0.011</v>
      </c>
      <c r="Y31" s="143">
        <v>0.041</v>
      </c>
      <c r="Z31" s="142" t="s">
        <v>199</v>
      </c>
      <c r="AA31" s="143">
        <v>0.05</v>
      </c>
      <c r="AB31" s="142" t="s">
        <v>199</v>
      </c>
      <c r="AC31" s="143">
        <v>0.043</v>
      </c>
      <c r="AD31" s="142" t="s">
        <v>199</v>
      </c>
      <c r="AE31" s="142" t="s">
        <v>199</v>
      </c>
      <c r="AF31" s="143">
        <v>0.022</v>
      </c>
      <c r="AG31" s="143">
        <v>0.0</v>
      </c>
      <c r="AH31" s="143">
        <v>0.0</v>
      </c>
      <c r="AI31" s="143">
        <v>0.0</v>
      </c>
      <c r="AJ31" s="143">
        <v>0.019</v>
      </c>
      <c r="AK31" s="143">
        <v>0.0</v>
      </c>
      <c r="AL31" s="143">
        <v>0.019</v>
      </c>
      <c r="AM31" s="143">
        <v>0.013</v>
      </c>
      <c r="AN31" s="143">
        <v>0.027</v>
      </c>
      <c r="AO31" s="143">
        <v>0.026</v>
      </c>
    </row>
    <row r="32">
      <c r="A32" s="146" t="s">
        <v>189</v>
      </c>
      <c r="B32" s="142" t="s">
        <v>199</v>
      </c>
      <c r="C32" s="143">
        <v>0.007</v>
      </c>
      <c r="D32" s="142" t="s">
        <v>199</v>
      </c>
      <c r="E32" s="143">
        <v>0.063</v>
      </c>
      <c r="F32" s="142" t="s">
        <v>199</v>
      </c>
      <c r="G32" s="143">
        <v>0.011</v>
      </c>
      <c r="H32" s="143">
        <v>0.023</v>
      </c>
      <c r="I32" s="143">
        <v>0.02</v>
      </c>
      <c r="J32" s="144">
        <v>0.017</v>
      </c>
      <c r="K32" s="143">
        <v>0.013</v>
      </c>
      <c r="L32" s="142" t="s">
        <v>199</v>
      </c>
      <c r="M32" s="142" t="s">
        <v>199</v>
      </c>
      <c r="N32" s="142" t="s">
        <v>199</v>
      </c>
      <c r="O32" s="143">
        <v>0.0</v>
      </c>
      <c r="P32" s="142" t="s">
        <v>199</v>
      </c>
      <c r="Q32" s="143">
        <v>0.02</v>
      </c>
      <c r="R32" s="143">
        <v>0.015</v>
      </c>
      <c r="S32" s="143">
        <v>0.0</v>
      </c>
      <c r="T32" s="143">
        <v>0.0</v>
      </c>
      <c r="U32" s="143">
        <v>0.071</v>
      </c>
      <c r="V32" s="142" t="s">
        <v>199</v>
      </c>
      <c r="W32" s="142" t="s">
        <v>199</v>
      </c>
      <c r="X32" s="143">
        <v>0.017</v>
      </c>
      <c r="Y32" s="143">
        <v>0.027</v>
      </c>
      <c r="Z32" s="143">
        <v>0.0</v>
      </c>
      <c r="AA32" s="143">
        <v>0.033</v>
      </c>
      <c r="AB32" s="142" t="s">
        <v>199</v>
      </c>
      <c r="AC32" s="143">
        <v>0.047</v>
      </c>
      <c r="AD32" s="142" t="s">
        <v>199</v>
      </c>
      <c r="AE32" s="142" t="s">
        <v>199</v>
      </c>
      <c r="AF32" s="143">
        <v>0.024</v>
      </c>
      <c r="AG32" s="143">
        <v>0.027</v>
      </c>
      <c r="AH32" s="142" t="s">
        <v>199</v>
      </c>
      <c r="AI32" s="143">
        <v>0.0</v>
      </c>
      <c r="AJ32" s="143">
        <v>0.014</v>
      </c>
      <c r="AK32" s="143">
        <v>0.0</v>
      </c>
      <c r="AL32" s="143">
        <v>0.026</v>
      </c>
      <c r="AM32" s="143">
        <v>0.0</v>
      </c>
      <c r="AN32" s="143">
        <v>0.02</v>
      </c>
      <c r="AO32" s="143">
        <v>0.024</v>
      </c>
    </row>
    <row r="33">
      <c r="A33" s="146" t="s">
        <v>190</v>
      </c>
      <c r="B33" s="143">
        <v>0.0</v>
      </c>
      <c r="C33" s="143">
        <v>0.004</v>
      </c>
      <c r="D33" s="142" t="s">
        <v>199</v>
      </c>
      <c r="E33" s="143">
        <v>0.079</v>
      </c>
      <c r="F33" s="143">
        <v>0.0</v>
      </c>
      <c r="G33" s="143">
        <v>0.016</v>
      </c>
      <c r="H33" s="143">
        <v>0.036</v>
      </c>
      <c r="I33" s="143">
        <v>0.025</v>
      </c>
      <c r="J33" s="143">
        <v>0.022</v>
      </c>
      <c r="K33" s="143">
        <v>0.013</v>
      </c>
      <c r="L33" s="142" t="s">
        <v>199</v>
      </c>
      <c r="M33" s="142" t="s">
        <v>199</v>
      </c>
      <c r="N33" s="142" t="s">
        <v>199</v>
      </c>
      <c r="O33" s="142" t="s">
        <v>199</v>
      </c>
      <c r="P33" s="142" t="s">
        <v>199</v>
      </c>
      <c r="Q33" s="143">
        <v>0.047</v>
      </c>
      <c r="R33" s="143">
        <v>0.02</v>
      </c>
      <c r="S33" s="143">
        <v>0.0</v>
      </c>
      <c r="T33" s="143">
        <v>0.013</v>
      </c>
      <c r="U33" s="143">
        <v>0.028</v>
      </c>
      <c r="V33" s="143">
        <v>0.0</v>
      </c>
      <c r="W33" s="142" t="s">
        <v>199</v>
      </c>
      <c r="X33" s="143">
        <v>0.019</v>
      </c>
      <c r="Y33" s="143">
        <v>0.032</v>
      </c>
      <c r="Z33" s="142" t="s">
        <v>199</v>
      </c>
      <c r="AA33" s="143">
        <v>0.034</v>
      </c>
      <c r="AB33" s="142" t="s">
        <v>199</v>
      </c>
      <c r="AC33" s="143">
        <v>0.04</v>
      </c>
      <c r="AD33" s="143">
        <v>0.0</v>
      </c>
      <c r="AE33" s="142" t="s">
        <v>199</v>
      </c>
      <c r="AF33" s="143">
        <v>0.004</v>
      </c>
      <c r="AG33" s="142" t="s">
        <v>199</v>
      </c>
      <c r="AH33" s="143">
        <v>0.027</v>
      </c>
      <c r="AI33" s="142" t="s">
        <v>199</v>
      </c>
      <c r="AJ33" s="143">
        <v>0.024</v>
      </c>
      <c r="AK33" s="142" t="s">
        <v>199</v>
      </c>
      <c r="AL33" s="142" t="s">
        <v>199</v>
      </c>
      <c r="AM33" s="142" t="s">
        <v>199</v>
      </c>
      <c r="AN33" s="143">
        <v>0.02</v>
      </c>
      <c r="AO33" s="143">
        <v>0.021</v>
      </c>
    </row>
    <row r="34">
      <c r="A34" s="146" t="s">
        <v>191</v>
      </c>
      <c r="B34" s="142" t="s">
        <v>199</v>
      </c>
      <c r="C34" s="143">
        <v>0.001</v>
      </c>
      <c r="D34" s="142" t="s">
        <v>199</v>
      </c>
      <c r="E34" s="143">
        <v>0.048</v>
      </c>
      <c r="F34" s="142" t="s">
        <v>199</v>
      </c>
      <c r="G34" s="143">
        <v>0.013</v>
      </c>
      <c r="H34" s="143">
        <v>0.028</v>
      </c>
      <c r="I34" s="143">
        <v>0.015</v>
      </c>
      <c r="J34" s="143">
        <v>0.017</v>
      </c>
      <c r="K34" s="143">
        <v>0.005</v>
      </c>
      <c r="L34" s="143">
        <v>0.0</v>
      </c>
      <c r="M34" s="142" t="s">
        <v>199</v>
      </c>
      <c r="N34" s="142" t="s">
        <v>199</v>
      </c>
      <c r="O34" s="142" t="s">
        <v>199</v>
      </c>
      <c r="P34" s="143">
        <v>0.0</v>
      </c>
      <c r="Q34" s="143">
        <v>0.027</v>
      </c>
      <c r="R34" s="143">
        <v>0.017</v>
      </c>
      <c r="S34" s="143">
        <v>0.0</v>
      </c>
      <c r="T34" s="142" t="s">
        <v>199</v>
      </c>
      <c r="U34" s="143">
        <v>0.021</v>
      </c>
      <c r="V34" s="143">
        <v>0.0</v>
      </c>
      <c r="W34" s="143">
        <v>0.006</v>
      </c>
      <c r="X34" s="143">
        <v>0.011</v>
      </c>
      <c r="Y34" s="143">
        <v>0.025</v>
      </c>
      <c r="Z34" s="142" t="s">
        <v>199</v>
      </c>
      <c r="AA34" s="143">
        <v>0.025</v>
      </c>
      <c r="AB34" s="143">
        <v>0.019</v>
      </c>
      <c r="AC34" s="143">
        <v>0.026</v>
      </c>
      <c r="AD34" s="142" t="s">
        <v>199</v>
      </c>
      <c r="AE34" s="142" t="s">
        <v>199</v>
      </c>
      <c r="AF34" s="143">
        <v>0.002</v>
      </c>
      <c r="AG34" s="142" t="s">
        <v>199</v>
      </c>
      <c r="AH34" s="143">
        <v>0.022</v>
      </c>
      <c r="AI34" s="142" t="s">
        <v>199</v>
      </c>
      <c r="AJ34" s="143">
        <v>0.009</v>
      </c>
      <c r="AK34" s="142" t="s">
        <v>199</v>
      </c>
      <c r="AL34" s="143">
        <v>0.011</v>
      </c>
      <c r="AM34" s="142" t="s">
        <v>199</v>
      </c>
      <c r="AN34" s="143">
        <v>0.021</v>
      </c>
      <c r="AO34" s="143">
        <v>0.013</v>
      </c>
    </row>
    <row r="35">
      <c r="A35" s="146" t="s">
        <v>192</v>
      </c>
      <c r="B35" s="142" t="s">
        <v>199</v>
      </c>
      <c r="C35" s="142" t="s">
        <v>199</v>
      </c>
      <c r="D35" s="142" t="s">
        <v>199</v>
      </c>
      <c r="E35" s="143">
        <v>0.012</v>
      </c>
      <c r="F35" s="143">
        <v>0.0</v>
      </c>
      <c r="G35" s="142" t="s">
        <v>199</v>
      </c>
      <c r="H35" s="143">
        <v>0.021</v>
      </c>
      <c r="I35" s="143">
        <v>0.015</v>
      </c>
      <c r="J35" s="143">
        <v>0.0</v>
      </c>
      <c r="K35" s="143">
        <v>0.009</v>
      </c>
      <c r="L35" s="143">
        <v>0.0</v>
      </c>
      <c r="M35" s="142" t="s">
        <v>199</v>
      </c>
      <c r="N35" s="142" t="s">
        <v>199</v>
      </c>
      <c r="O35" s="143">
        <v>0.0</v>
      </c>
      <c r="P35" s="142" t="s">
        <v>199</v>
      </c>
      <c r="Q35" s="143">
        <v>0.023</v>
      </c>
      <c r="R35" s="143">
        <v>0.011</v>
      </c>
      <c r="S35" s="143">
        <v>0.0</v>
      </c>
      <c r="T35" s="142" t="s">
        <v>199</v>
      </c>
      <c r="U35" s="142" t="s">
        <v>199</v>
      </c>
      <c r="V35" s="143">
        <v>0.0</v>
      </c>
      <c r="W35" s="143">
        <v>0.005</v>
      </c>
      <c r="X35" s="143">
        <v>0.009</v>
      </c>
      <c r="Y35" s="143">
        <v>0.038</v>
      </c>
      <c r="Z35" s="142" t="s">
        <v>199</v>
      </c>
      <c r="AA35" s="143">
        <v>0.021</v>
      </c>
      <c r="AB35" s="142" t="s">
        <v>199</v>
      </c>
      <c r="AC35" s="143">
        <v>0.014</v>
      </c>
      <c r="AD35" s="143">
        <v>0.0</v>
      </c>
      <c r="AE35" s="142" t="s">
        <v>199</v>
      </c>
      <c r="AF35" s="143">
        <v>0.002</v>
      </c>
      <c r="AG35" s="143">
        <v>0.0</v>
      </c>
      <c r="AH35" s="143">
        <v>0.022</v>
      </c>
      <c r="AI35" s="142" t="s">
        <v>199</v>
      </c>
      <c r="AJ35" s="143">
        <v>0.017</v>
      </c>
      <c r="AK35" s="143">
        <v>0.0</v>
      </c>
      <c r="AL35" s="142" t="s">
        <v>199</v>
      </c>
      <c r="AM35" s="142" t="s">
        <v>199</v>
      </c>
      <c r="AN35" s="143">
        <v>0.011</v>
      </c>
      <c r="AO35" s="143">
        <v>0.01</v>
      </c>
    </row>
    <row r="36">
      <c r="A36" s="146" t="s">
        <v>193</v>
      </c>
      <c r="B36" s="143">
        <v>0.01</v>
      </c>
      <c r="C36" s="143">
        <v>0.001</v>
      </c>
      <c r="D36" s="143">
        <v>0.027</v>
      </c>
      <c r="E36" s="143">
        <v>0.05</v>
      </c>
      <c r="F36" s="142" t="s">
        <v>199</v>
      </c>
      <c r="G36" s="143">
        <v>0.008</v>
      </c>
      <c r="H36" s="143">
        <v>0.02</v>
      </c>
      <c r="I36" s="143">
        <v>0.038</v>
      </c>
      <c r="J36" s="142" t="s">
        <v>199</v>
      </c>
      <c r="K36" s="143">
        <v>0.014</v>
      </c>
      <c r="L36" s="143">
        <v>0.0</v>
      </c>
      <c r="M36" s="142" t="s">
        <v>199</v>
      </c>
      <c r="N36" s="143">
        <v>0.0</v>
      </c>
      <c r="O36" s="143">
        <v>0.0</v>
      </c>
      <c r="P36" s="143">
        <v>0.0</v>
      </c>
      <c r="Q36" s="143">
        <v>0.019</v>
      </c>
      <c r="R36" s="142" t="s">
        <v>199</v>
      </c>
      <c r="S36" s="143">
        <v>0.0</v>
      </c>
      <c r="T36" s="142" t="s">
        <v>199</v>
      </c>
      <c r="U36" s="144">
        <v>0.023</v>
      </c>
      <c r="V36" s="143">
        <v>0.0</v>
      </c>
      <c r="W36" s="143">
        <v>0.008</v>
      </c>
      <c r="X36" s="143">
        <v>0.013</v>
      </c>
      <c r="Y36" s="143">
        <v>0.02</v>
      </c>
      <c r="Z36" s="142" t="s">
        <v>199</v>
      </c>
      <c r="AA36" s="143">
        <v>0.034</v>
      </c>
      <c r="AB36" s="142" t="s">
        <v>199</v>
      </c>
      <c r="AC36" s="143">
        <v>0.014</v>
      </c>
      <c r="AD36" s="143">
        <v>0.0</v>
      </c>
      <c r="AE36" s="142" t="s">
        <v>199</v>
      </c>
      <c r="AF36" s="143">
        <v>0.002</v>
      </c>
      <c r="AG36" s="142" t="s">
        <v>199</v>
      </c>
      <c r="AH36" s="142" t="s">
        <v>199</v>
      </c>
      <c r="AI36" s="143">
        <v>0.0</v>
      </c>
      <c r="AJ36" s="143">
        <v>0.016</v>
      </c>
      <c r="AK36" s="142" t="s">
        <v>199</v>
      </c>
      <c r="AL36" s="143">
        <v>0.025</v>
      </c>
      <c r="AM36" s="143">
        <v>0.016</v>
      </c>
      <c r="AN36" s="143">
        <v>0.023</v>
      </c>
      <c r="AO36" s="143">
        <v>0.012</v>
      </c>
    </row>
    <row r="37">
      <c r="A37" s="146" t="s">
        <v>194</v>
      </c>
      <c r="B37" s="142" t="s">
        <v>199</v>
      </c>
      <c r="C37" s="143">
        <v>0.001</v>
      </c>
      <c r="D37" s="143">
        <v>0.033</v>
      </c>
      <c r="E37" s="143">
        <v>0.051</v>
      </c>
      <c r="F37" s="142" t="s">
        <v>199</v>
      </c>
      <c r="G37" s="143">
        <v>0.029</v>
      </c>
      <c r="H37" s="143">
        <v>0.022</v>
      </c>
      <c r="I37" s="143">
        <v>0.018</v>
      </c>
      <c r="J37" s="142" t="s">
        <v>199</v>
      </c>
      <c r="K37" s="143">
        <v>0.007</v>
      </c>
      <c r="L37" s="142" t="s">
        <v>199</v>
      </c>
      <c r="M37" s="143">
        <v>0.0</v>
      </c>
      <c r="N37" s="143">
        <v>0.0</v>
      </c>
      <c r="O37" s="143">
        <v>0.0</v>
      </c>
      <c r="P37" s="142" t="s">
        <v>199</v>
      </c>
      <c r="Q37" s="143">
        <v>0.032</v>
      </c>
      <c r="R37" s="143">
        <v>0.009</v>
      </c>
      <c r="S37" s="143">
        <v>0.0</v>
      </c>
      <c r="T37" s="143">
        <v>0.0</v>
      </c>
      <c r="U37" s="143">
        <v>0.095</v>
      </c>
      <c r="V37" s="143">
        <v>0.0</v>
      </c>
      <c r="W37" s="143">
        <v>0.008</v>
      </c>
      <c r="X37" s="143">
        <v>0.007</v>
      </c>
      <c r="Y37" s="143">
        <v>0.023</v>
      </c>
      <c r="Z37" s="143">
        <v>0.021</v>
      </c>
      <c r="AA37" s="143">
        <v>0.022</v>
      </c>
      <c r="AB37" s="142" t="s">
        <v>199</v>
      </c>
      <c r="AC37" s="143">
        <v>0.022</v>
      </c>
      <c r="AD37" s="143">
        <v>0.0</v>
      </c>
      <c r="AE37" s="142" t="s">
        <v>199</v>
      </c>
      <c r="AF37" s="143">
        <v>0.002</v>
      </c>
      <c r="AG37" s="143">
        <v>0.01</v>
      </c>
      <c r="AH37" s="143">
        <v>0.018</v>
      </c>
      <c r="AI37" s="142" t="s">
        <v>199</v>
      </c>
      <c r="AJ37" s="143">
        <v>0.02</v>
      </c>
      <c r="AK37" s="142" t="s">
        <v>199</v>
      </c>
      <c r="AL37" s="143">
        <v>0.017</v>
      </c>
      <c r="AM37" s="143">
        <v>0.021</v>
      </c>
      <c r="AN37" s="143">
        <v>0.017</v>
      </c>
      <c r="AO37" s="143">
        <v>0.015</v>
      </c>
    </row>
    <row r="38">
      <c r="A38" s="146" t="s">
        <v>195</v>
      </c>
      <c r="B38" s="142" t="s">
        <v>199</v>
      </c>
      <c r="C38" s="142" t="s">
        <v>199</v>
      </c>
      <c r="D38" s="143">
        <v>0.018</v>
      </c>
      <c r="E38" s="143">
        <v>0.068</v>
      </c>
      <c r="F38" s="142" t="s">
        <v>199</v>
      </c>
      <c r="G38" s="143">
        <v>0.007</v>
      </c>
      <c r="H38" s="143">
        <v>0.023</v>
      </c>
      <c r="I38" s="143">
        <v>0.012</v>
      </c>
      <c r="J38" s="142" t="s">
        <v>199</v>
      </c>
      <c r="K38" s="143">
        <v>0.006</v>
      </c>
      <c r="L38" s="142" t="s">
        <v>199</v>
      </c>
      <c r="M38" s="143">
        <v>0.0</v>
      </c>
      <c r="N38" s="142" t="s">
        <v>199</v>
      </c>
      <c r="O38" s="142" t="s">
        <v>199</v>
      </c>
      <c r="P38" s="143">
        <v>0.0</v>
      </c>
      <c r="Q38" s="143">
        <v>0.035</v>
      </c>
      <c r="R38" s="143">
        <v>0.021</v>
      </c>
      <c r="S38" s="143">
        <v>0.0</v>
      </c>
      <c r="T38" s="142" t="s">
        <v>199</v>
      </c>
      <c r="U38" s="143">
        <v>0.073</v>
      </c>
      <c r="V38" s="143">
        <v>0.0</v>
      </c>
      <c r="W38" s="143">
        <v>0.005</v>
      </c>
      <c r="X38" s="143">
        <v>0.007</v>
      </c>
      <c r="Y38" s="143">
        <v>0.028</v>
      </c>
      <c r="Z38" s="143">
        <v>0.02</v>
      </c>
      <c r="AA38" s="143">
        <v>0.04</v>
      </c>
      <c r="AB38" s="143">
        <v>0.0</v>
      </c>
      <c r="AC38" s="143">
        <v>0.016</v>
      </c>
      <c r="AD38" s="142" t="s">
        <v>199</v>
      </c>
      <c r="AE38" s="142" t="s">
        <v>199</v>
      </c>
      <c r="AF38" s="143">
        <v>0.003</v>
      </c>
      <c r="AG38" s="142" t="s">
        <v>199</v>
      </c>
      <c r="AH38" s="142" t="s">
        <v>199</v>
      </c>
      <c r="AI38" s="143">
        <v>0.021</v>
      </c>
      <c r="AJ38" s="143">
        <v>0.014</v>
      </c>
      <c r="AK38" s="142" t="s">
        <v>199</v>
      </c>
      <c r="AL38" s="143">
        <v>0.015</v>
      </c>
      <c r="AM38" s="143">
        <v>0.021</v>
      </c>
      <c r="AN38" s="143">
        <v>0.012</v>
      </c>
      <c r="AO38" s="143">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208</v>
      </c>
      <c r="B1" s="148" t="s">
        <v>209</v>
      </c>
      <c r="C1" s="149" t="s">
        <v>74</v>
      </c>
      <c r="D1" s="149" t="s">
        <v>75</v>
      </c>
      <c r="E1" s="149" t="s">
        <v>76</v>
      </c>
      <c r="F1" s="149" t="s">
        <v>77</v>
      </c>
      <c r="G1" s="149" t="s">
        <v>25</v>
      </c>
      <c r="H1" s="149" t="s">
        <v>78</v>
      </c>
    </row>
    <row r="2" ht="14.25" customHeight="1">
      <c r="A2" s="150" t="s">
        <v>79</v>
      </c>
      <c r="B2" s="148" t="s">
        <v>126</v>
      </c>
      <c r="C2" s="151">
        <f>Municipality!B2</f>
        <v>82</v>
      </c>
      <c r="D2" s="151">
        <f>Municipality!C2</f>
        <v>507</v>
      </c>
      <c r="E2" s="151">
        <f>Municipality!D2</f>
        <v>8</v>
      </c>
      <c r="F2" s="151">
        <f>Municipality!E2</f>
        <v>49</v>
      </c>
      <c r="G2" s="151">
        <f>Municipality!F2</f>
        <v>0</v>
      </c>
      <c r="H2" s="151">
        <f>Municipality!G2</f>
        <v>0</v>
      </c>
    </row>
    <row r="3" ht="14.25" customHeight="1">
      <c r="A3" s="150" t="s">
        <v>80</v>
      </c>
      <c r="B3" s="148" t="s">
        <v>127</v>
      </c>
      <c r="C3" s="151">
        <f>Municipality!B3</f>
        <v>218</v>
      </c>
      <c r="D3" s="151">
        <f>Municipality!C3</f>
        <v>980</v>
      </c>
      <c r="E3" s="151">
        <f>Municipality!D3</f>
        <v>15</v>
      </c>
      <c r="F3" s="151">
        <f>Municipality!E3</f>
        <v>67</v>
      </c>
      <c r="G3" s="151">
        <f>Municipality!F3</f>
        <v>9</v>
      </c>
      <c r="H3" s="151">
        <f>Municipality!G3</f>
        <v>40</v>
      </c>
    </row>
    <row r="4" ht="14.25" customHeight="1">
      <c r="A4" s="150" t="s">
        <v>81</v>
      </c>
      <c r="B4" s="148" t="s">
        <v>128</v>
      </c>
      <c r="C4" s="151">
        <f>Municipality!B4</f>
        <v>164</v>
      </c>
      <c r="D4" s="151">
        <f>Municipality!C4</f>
        <v>997</v>
      </c>
      <c r="E4" s="151">
        <f>Municipality!D4</f>
        <v>20</v>
      </c>
      <c r="F4" s="151">
        <f>Municipality!E4</f>
        <v>122</v>
      </c>
      <c r="G4" s="151">
        <f>Municipality!F4</f>
        <v>22</v>
      </c>
      <c r="H4" s="151">
        <f>Municipality!G4</f>
        <v>134</v>
      </c>
    </row>
    <row r="5" ht="14.25" customHeight="1">
      <c r="A5" s="150" t="s">
        <v>82</v>
      </c>
      <c r="B5" s="148" t="s">
        <v>129</v>
      </c>
      <c r="C5" s="151">
        <f>Municipality!B5</f>
        <v>1272</v>
      </c>
      <c r="D5" s="151">
        <f>Municipality!C5</f>
        <v>6563</v>
      </c>
      <c r="E5" s="151">
        <f>Municipality!D5</f>
        <v>98</v>
      </c>
      <c r="F5" s="151">
        <f>Municipality!E5</f>
        <v>506</v>
      </c>
      <c r="G5" s="151">
        <f>Municipality!F5</f>
        <v>12</v>
      </c>
      <c r="H5" s="151">
        <f>Municipality!G5</f>
        <v>62</v>
      </c>
    </row>
    <row r="6" ht="14.25" customHeight="1">
      <c r="A6" s="150" t="s">
        <v>83</v>
      </c>
      <c r="B6" s="148" t="s">
        <v>130</v>
      </c>
      <c r="C6" s="151">
        <f>Municipality!B6</f>
        <v>39</v>
      </c>
      <c r="D6" s="151">
        <f>Municipality!C6</f>
        <v>501</v>
      </c>
      <c r="E6" s="151" t="str">
        <f>Municipality!D6</f>
        <v>&lt;5</v>
      </c>
      <c r="F6" s="151" t="str">
        <f>Municipality!E6</f>
        <v>--</v>
      </c>
      <c r="G6" s="151" t="str">
        <f>Municipality!F6</f>
        <v>&lt;5</v>
      </c>
      <c r="H6" s="151" t="str">
        <f>Municipality!G6</f>
        <v>--</v>
      </c>
    </row>
    <row r="7" ht="14.25" customHeight="1">
      <c r="A7" s="150" t="s">
        <v>84</v>
      </c>
      <c r="B7" s="148" t="s">
        <v>131</v>
      </c>
      <c r="C7" s="151">
        <f>Municipality!B7</f>
        <v>362</v>
      </c>
      <c r="D7" s="151">
        <f>Municipality!C7</f>
        <v>1047</v>
      </c>
      <c r="E7" s="151">
        <f>Municipality!D7</f>
        <v>33</v>
      </c>
      <c r="F7" s="151">
        <f>Municipality!E7</f>
        <v>95</v>
      </c>
      <c r="G7" s="151">
        <f>Municipality!F7</f>
        <v>14</v>
      </c>
      <c r="H7" s="151">
        <f>Municipality!G7</f>
        <v>40</v>
      </c>
    </row>
    <row r="8" ht="14.25" customHeight="1">
      <c r="A8" s="150" t="s">
        <v>85</v>
      </c>
      <c r="B8" s="148" t="s">
        <v>132</v>
      </c>
      <c r="C8" s="151">
        <f>Municipality!B8</f>
        <v>1609</v>
      </c>
      <c r="D8" s="151">
        <f>Municipality!C8</f>
        <v>1982</v>
      </c>
      <c r="E8" s="151">
        <f>Municipality!D8</f>
        <v>162</v>
      </c>
      <c r="F8" s="151">
        <f>Municipality!E8</f>
        <v>200</v>
      </c>
      <c r="G8" s="151">
        <f>Municipality!F8</f>
        <v>26</v>
      </c>
      <c r="H8" s="151">
        <f>Municipality!G8</f>
        <v>32</v>
      </c>
    </row>
    <row r="9" ht="14.25" customHeight="1">
      <c r="A9" s="150" t="s">
        <v>86</v>
      </c>
      <c r="B9" s="148" t="s">
        <v>133</v>
      </c>
      <c r="C9" s="151">
        <f>Municipality!B9</f>
        <v>511</v>
      </c>
      <c r="D9" s="151">
        <f>Municipality!C9</f>
        <v>1475</v>
      </c>
      <c r="E9" s="151">
        <f>Municipality!D9</f>
        <v>58</v>
      </c>
      <c r="F9" s="151">
        <f>Municipality!E9</f>
        <v>167</v>
      </c>
      <c r="G9" s="151">
        <f>Municipality!F9</f>
        <v>31</v>
      </c>
      <c r="H9" s="151">
        <f>Municipality!G9</f>
        <v>89</v>
      </c>
    </row>
    <row r="10" ht="14.25" customHeight="1">
      <c r="A10" s="150" t="s">
        <v>87</v>
      </c>
      <c r="B10" s="148" t="s">
        <v>134</v>
      </c>
      <c r="C10" s="151">
        <f>Municipality!B10</f>
        <v>145</v>
      </c>
      <c r="D10" s="151">
        <f>Municipality!C10</f>
        <v>1109</v>
      </c>
      <c r="E10" s="151">
        <f>Municipality!D10</f>
        <v>10</v>
      </c>
      <c r="F10" s="151">
        <f>Municipality!E10</f>
        <v>76</v>
      </c>
      <c r="G10" s="151" t="str">
        <f>Municipality!F10</f>
        <v>&lt;5</v>
      </c>
      <c r="H10" s="151" t="str">
        <f>Municipality!G10</f>
        <v>--</v>
      </c>
    </row>
    <row r="11" ht="14.25" customHeight="1">
      <c r="A11" s="150" t="s">
        <v>88</v>
      </c>
      <c r="B11" s="148" t="s">
        <v>135</v>
      </c>
      <c r="C11" s="151">
        <f>Municipality!B11</f>
        <v>913</v>
      </c>
      <c r="D11" s="151">
        <f>Municipality!C11</f>
        <v>1924</v>
      </c>
      <c r="E11" s="151">
        <f>Municipality!D11</f>
        <v>98</v>
      </c>
      <c r="F11" s="151">
        <f>Municipality!E11</f>
        <v>207</v>
      </c>
      <c r="G11" s="151">
        <f>Municipality!F11</f>
        <v>111</v>
      </c>
      <c r="H11" s="151">
        <f>Municipality!G11</f>
        <v>234</v>
      </c>
    </row>
    <row r="12" ht="14.25" customHeight="1">
      <c r="A12" s="150" t="s">
        <v>89</v>
      </c>
      <c r="B12" s="148" t="s">
        <v>136</v>
      </c>
      <c r="C12" s="151">
        <f>Municipality!B12</f>
        <v>50</v>
      </c>
      <c r="D12" s="151">
        <f>Municipality!C12</f>
        <v>737</v>
      </c>
      <c r="E12" s="151">
        <f>Municipality!D12</f>
        <v>7</v>
      </c>
      <c r="F12" s="151">
        <f>Municipality!E12</f>
        <v>103</v>
      </c>
      <c r="G12" s="151" t="str">
        <f>Municipality!F12</f>
        <v>&lt;5</v>
      </c>
      <c r="H12" s="151" t="str">
        <f>Municipality!G12</f>
        <v>--</v>
      </c>
    </row>
    <row r="13" ht="14.25" customHeight="1">
      <c r="A13" s="150" t="s">
        <v>90</v>
      </c>
      <c r="B13" s="148" t="s">
        <v>137</v>
      </c>
      <c r="C13" s="151">
        <f>Municipality!B13</f>
        <v>32</v>
      </c>
      <c r="D13" s="151">
        <f>Municipality!C13</f>
        <v>682</v>
      </c>
      <c r="E13" s="151" t="str">
        <f>Municipality!D13</f>
        <v>&lt;5</v>
      </c>
      <c r="F13" s="151" t="str">
        <f>Municipality!E13</f>
        <v>--</v>
      </c>
      <c r="G13" s="151">
        <f>Municipality!F13</f>
        <v>0</v>
      </c>
      <c r="H13" s="151">
        <f>Municipality!G13</f>
        <v>0</v>
      </c>
    </row>
    <row r="14" ht="14.25" customHeight="1">
      <c r="A14" s="150" t="s">
        <v>91</v>
      </c>
      <c r="B14" s="148" t="s">
        <v>138</v>
      </c>
      <c r="C14" s="151">
        <f>Municipality!B14</f>
        <v>68</v>
      </c>
      <c r="D14" s="151">
        <f>Municipality!C14</f>
        <v>676</v>
      </c>
      <c r="E14" s="151" t="str">
        <f>Municipality!D14</f>
        <v>&lt;5</v>
      </c>
      <c r="F14" s="151" t="str">
        <f>Municipality!E14</f>
        <v>--</v>
      </c>
      <c r="G14" s="151">
        <f>Municipality!F14</f>
        <v>0</v>
      </c>
      <c r="H14" s="151">
        <f>Municipality!G14</f>
        <v>0</v>
      </c>
    </row>
    <row r="15" ht="14.25" customHeight="1">
      <c r="A15" s="150" t="s">
        <v>92</v>
      </c>
      <c r="B15" s="148" t="s">
        <v>139</v>
      </c>
      <c r="C15" s="151">
        <f>Municipality!B15</f>
        <v>20</v>
      </c>
      <c r="D15" s="151">
        <f>Municipality!C15</f>
        <v>247</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29</v>
      </c>
      <c r="D16" s="151">
        <f>Municipality!C16</f>
        <v>528</v>
      </c>
      <c r="E16" s="151" t="str">
        <f>Municipality!D16</f>
        <v>&lt;5</v>
      </c>
      <c r="F16" s="151" t="str">
        <f>Municipality!E16</f>
        <v>--</v>
      </c>
      <c r="G16" s="151">
        <f>Municipality!F16</f>
        <v>0</v>
      </c>
      <c r="H16" s="151">
        <f>Municipality!G16</f>
        <v>0</v>
      </c>
    </row>
    <row r="17" ht="14.25" customHeight="1">
      <c r="A17" s="150" t="s">
        <v>94</v>
      </c>
      <c r="B17" s="148" t="s">
        <v>141</v>
      </c>
      <c r="C17" s="151">
        <f>Municipality!B17</f>
        <v>670</v>
      </c>
      <c r="D17" s="151">
        <f>Municipality!C17</f>
        <v>2292</v>
      </c>
      <c r="E17" s="151">
        <f>Municipality!D17</f>
        <v>62</v>
      </c>
      <c r="F17" s="151">
        <f>Municipality!E17</f>
        <v>212</v>
      </c>
      <c r="G17" s="151">
        <f>Municipality!F17</f>
        <v>67</v>
      </c>
      <c r="H17" s="151">
        <f>Municipality!G17</f>
        <v>229</v>
      </c>
    </row>
    <row r="18" ht="14.25" customHeight="1">
      <c r="A18" s="150" t="s">
        <v>95</v>
      </c>
      <c r="B18" s="148" t="s">
        <v>142</v>
      </c>
      <c r="C18" s="151">
        <f>Municipality!B18</f>
        <v>375</v>
      </c>
      <c r="D18" s="151">
        <f>Municipality!C18</f>
        <v>1733</v>
      </c>
      <c r="E18" s="151">
        <f>Municipality!D18</f>
        <v>39</v>
      </c>
      <c r="F18" s="151">
        <f>Municipality!E18</f>
        <v>180</v>
      </c>
      <c r="G18" s="151">
        <f>Municipality!F18</f>
        <v>37</v>
      </c>
      <c r="H18" s="151">
        <f>Municipality!G18</f>
        <v>171</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89</v>
      </c>
      <c r="D20" s="151">
        <f>Municipality!C20</f>
        <v>554</v>
      </c>
      <c r="E20" s="151">
        <f>Municipality!D20</f>
        <v>8</v>
      </c>
      <c r="F20" s="151">
        <f>Municipality!E20</f>
        <v>50</v>
      </c>
      <c r="G20" s="151" t="str">
        <f>Municipality!F20</f>
        <v>&lt;5</v>
      </c>
      <c r="H20" s="151" t="str">
        <f>Municipality!G20</f>
        <v>--</v>
      </c>
    </row>
    <row r="21" ht="14.25" customHeight="1">
      <c r="A21" s="150" t="s">
        <v>98</v>
      </c>
      <c r="B21" s="148" t="s">
        <v>145</v>
      </c>
      <c r="C21" s="151">
        <f>Municipality!B21</f>
        <v>151</v>
      </c>
      <c r="D21" s="151">
        <f>Municipality!C21</f>
        <v>971</v>
      </c>
      <c r="E21" s="151">
        <f>Municipality!D21</f>
        <v>8</v>
      </c>
      <c r="F21" s="151">
        <f>Municipality!E21</f>
        <v>51</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181</v>
      </c>
      <c r="D23" s="151">
        <f>Municipality!C23</f>
        <v>731</v>
      </c>
      <c r="E23" s="151">
        <f>Municipality!D23</f>
        <v>16</v>
      </c>
      <c r="F23" s="151">
        <f>Municipality!E23</f>
        <v>65</v>
      </c>
      <c r="G23" s="151" t="str">
        <f>Municipality!F23</f>
        <v>&lt;5</v>
      </c>
      <c r="H23" s="151" t="str">
        <f>Municipality!G23</f>
        <v>--</v>
      </c>
    </row>
    <row r="24" ht="14.25" customHeight="1">
      <c r="A24" s="150" t="s">
        <v>101</v>
      </c>
      <c r="B24" s="148" t="s">
        <v>148</v>
      </c>
      <c r="C24" s="151">
        <f>Municipality!B24</f>
        <v>315</v>
      </c>
      <c r="D24" s="151">
        <f>Municipality!C24</f>
        <v>1202</v>
      </c>
      <c r="E24" s="151">
        <f>Municipality!D24</f>
        <v>35</v>
      </c>
      <c r="F24" s="151">
        <f>Municipality!E24</f>
        <v>134</v>
      </c>
      <c r="G24" s="151">
        <f>Municipality!F24</f>
        <v>51</v>
      </c>
      <c r="H24" s="151">
        <f>Municipality!G24</f>
        <v>195</v>
      </c>
    </row>
    <row r="25" ht="15.75" customHeight="1">
      <c r="A25" s="150" t="s">
        <v>102</v>
      </c>
      <c r="B25" s="148" t="s">
        <v>149</v>
      </c>
      <c r="C25" s="151">
        <f>Municipality!B25</f>
        <v>1029</v>
      </c>
      <c r="D25" s="151">
        <f>Municipality!C25</f>
        <v>3170</v>
      </c>
      <c r="E25" s="151">
        <f>Municipality!D25</f>
        <v>126</v>
      </c>
      <c r="F25" s="151">
        <f>Municipality!E25</f>
        <v>388</v>
      </c>
      <c r="G25" s="151">
        <f>Municipality!F25</f>
        <v>81</v>
      </c>
      <c r="H25" s="151">
        <f>Municipality!G25</f>
        <v>250</v>
      </c>
    </row>
    <row r="26" ht="14.25" customHeight="1">
      <c r="A26" s="150" t="s">
        <v>103</v>
      </c>
      <c r="B26" s="148" t="s">
        <v>150</v>
      </c>
      <c r="C26" s="151">
        <f>Municipality!B26</f>
        <v>172</v>
      </c>
      <c r="D26" s="151">
        <f>Municipality!C26</f>
        <v>1393</v>
      </c>
      <c r="E26" s="151">
        <f>Municipality!D26</f>
        <v>19</v>
      </c>
      <c r="F26" s="151">
        <f>Municipality!E26</f>
        <v>154</v>
      </c>
      <c r="G26" s="151">
        <f>Municipality!F26</f>
        <v>27</v>
      </c>
      <c r="H26" s="151">
        <f>Municipality!G26</f>
        <v>219</v>
      </c>
    </row>
    <row r="27" ht="14.25" customHeight="1">
      <c r="A27" s="150" t="s">
        <v>104</v>
      </c>
      <c r="B27" s="148" t="s">
        <v>151</v>
      </c>
      <c r="C27" s="151">
        <f>Municipality!B27</f>
        <v>2424</v>
      </c>
      <c r="D27" s="151">
        <f>Municipality!C27</f>
        <v>3378</v>
      </c>
      <c r="E27" s="151">
        <f>Municipality!D27</f>
        <v>210</v>
      </c>
      <c r="F27" s="151">
        <f>Municipality!E27</f>
        <v>293</v>
      </c>
      <c r="G27" s="151">
        <f>Municipality!F27</f>
        <v>51</v>
      </c>
      <c r="H27" s="151">
        <f>Municipality!G27</f>
        <v>71</v>
      </c>
    </row>
    <row r="28" ht="14.25" customHeight="1">
      <c r="A28" s="150" t="s">
        <v>105</v>
      </c>
      <c r="B28" s="148" t="s">
        <v>152</v>
      </c>
      <c r="C28" s="151">
        <f>Municipality!B28</f>
        <v>82</v>
      </c>
      <c r="D28" s="151">
        <f>Municipality!C28</f>
        <v>471</v>
      </c>
      <c r="E28" s="151" t="str">
        <f>Municipality!D28</f>
        <v>&lt;5</v>
      </c>
      <c r="F28" s="151" t="str">
        <f>Municipality!E28</f>
        <v>--</v>
      </c>
      <c r="G28" s="151">
        <f>Municipality!F28</f>
        <v>0</v>
      </c>
      <c r="H28" s="151">
        <f>Municipality!G28</f>
        <v>0</v>
      </c>
    </row>
    <row r="29" ht="14.25" customHeight="1">
      <c r="A29" s="150" t="s">
        <v>106</v>
      </c>
      <c r="B29" s="148" t="s">
        <v>153</v>
      </c>
      <c r="C29" s="151">
        <f>Municipality!B29</f>
        <v>8344</v>
      </c>
      <c r="D29" s="151">
        <f>Municipality!C29</f>
        <v>4650</v>
      </c>
      <c r="E29" s="151">
        <f>Municipality!D29</f>
        <v>871</v>
      </c>
      <c r="F29" s="151">
        <f>Municipality!E29</f>
        <v>485</v>
      </c>
      <c r="G29" s="151">
        <f>Municipality!F29</f>
        <v>292</v>
      </c>
      <c r="H29" s="151">
        <f>Municipality!G29</f>
        <v>163</v>
      </c>
    </row>
    <row r="30" ht="14.25" customHeight="1">
      <c r="A30" s="150" t="s">
        <v>107</v>
      </c>
      <c r="B30" s="148" t="s">
        <v>154</v>
      </c>
      <c r="C30" s="151">
        <f>Municipality!B30</f>
        <v>36</v>
      </c>
      <c r="D30" s="151">
        <f>Municipality!C30</f>
        <v>472</v>
      </c>
      <c r="E30" s="151">
        <f>Municipality!D30</f>
        <v>5</v>
      </c>
      <c r="F30" s="151">
        <f>Municipality!E30</f>
        <v>66</v>
      </c>
      <c r="G30" s="151">
        <f>Municipality!F30</f>
        <v>0</v>
      </c>
      <c r="H30" s="151">
        <f>Municipality!G30</f>
        <v>0</v>
      </c>
    </row>
    <row r="31" ht="14.25" customHeight="1">
      <c r="A31" s="150" t="s">
        <v>108</v>
      </c>
      <c r="B31" s="148" t="s">
        <v>155</v>
      </c>
      <c r="C31" s="151">
        <f>Municipality!B31</f>
        <v>75</v>
      </c>
      <c r="D31" s="151">
        <f>Municipality!C31</f>
        <v>707</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394</v>
      </c>
      <c r="D32" s="151">
        <f>Municipality!C32</f>
        <v>1822</v>
      </c>
      <c r="E32" s="151">
        <f>Municipality!D32</f>
        <v>74</v>
      </c>
      <c r="F32" s="151">
        <f>Municipality!E32</f>
        <v>342</v>
      </c>
      <c r="G32" s="151">
        <f>Municipality!F32</f>
        <v>53</v>
      </c>
      <c r="H32" s="151">
        <f>Municipality!G32</f>
        <v>245</v>
      </c>
    </row>
    <row r="33" ht="14.25" customHeight="1">
      <c r="A33" s="150" t="s">
        <v>110</v>
      </c>
      <c r="B33" s="148" t="s">
        <v>157</v>
      </c>
      <c r="C33" s="151">
        <f>Municipality!B33</f>
        <v>139</v>
      </c>
      <c r="D33" s="151">
        <f>Municipality!C33</f>
        <v>452</v>
      </c>
      <c r="E33" s="151">
        <f>Municipality!D33</f>
        <v>15</v>
      </c>
      <c r="F33" s="151">
        <f>Municipality!E33</f>
        <v>49</v>
      </c>
      <c r="G33" s="151">
        <f>Municipality!F33</f>
        <v>17</v>
      </c>
      <c r="H33" s="151">
        <f>Municipality!G33</f>
        <v>55</v>
      </c>
    </row>
    <row r="34" ht="14.25" customHeight="1">
      <c r="A34" s="150" t="s">
        <v>111</v>
      </c>
      <c r="B34" s="148" t="s">
        <v>158</v>
      </c>
      <c r="C34" s="151">
        <f>Municipality!B34</f>
        <v>133</v>
      </c>
      <c r="D34" s="151">
        <f>Municipality!C34</f>
        <v>841</v>
      </c>
      <c r="E34" s="151" t="str">
        <f>Municipality!D34</f>
        <v>&lt;5</v>
      </c>
      <c r="F34" s="151" t="str">
        <f>Municipality!E34</f>
        <v>--</v>
      </c>
      <c r="G34" s="151">
        <f>Municipality!F34</f>
        <v>5</v>
      </c>
      <c r="H34" s="151">
        <f>Municipality!G34</f>
        <v>32</v>
      </c>
    </row>
    <row r="35" ht="14.25" customHeight="1">
      <c r="A35" s="150" t="s">
        <v>112</v>
      </c>
      <c r="B35" s="148" t="s">
        <v>159</v>
      </c>
      <c r="C35" s="151">
        <f>Municipality!B35</f>
        <v>114</v>
      </c>
      <c r="D35" s="151">
        <f>Municipality!C35</f>
        <v>1087</v>
      </c>
      <c r="E35" s="151">
        <f>Municipality!D35</f>
        <v>7</v>
      </c>
      <c r="F35" s="151">
        <f>Municipality!E35</f>
        <v>67</v>
      </c>
      <c r="G35" s="151">
        <f>Municipality!F35</f>
        <v>7</v>
      </c>
      <c r="H35" s="151">
        <f>Municipality!G35</f>
        <v>67</v>
      </c>
    </row>
    <row r="36" ht="14.25" customHeight="1">
      <c r="A36" s="150" t="s">
        <v>113</v>
      </c>
      <c r="B36" s="148" t="s">
        <v>160</v>
      </c>
      <c r="C36" s="151">
        <f>Municipality!B36</f>
        <v>977</v>
      </c>
      <c r="D36" s="151">
        <f>Municipality!C36</f>
        <v>1205</v>
      </c>
      <c r="E36" s="151">
        <f>Municipality!D36</f>
        <v>86</v>
      </c>
      <c r="F36" s="151">
        <f>Municipality!E36</f>
        <v>106</v>
      </c>
      <c r="G36" s="151">
        <f>Municipality!F36</f>
        <v>74</v>
      </c>
      <c r="H36" s="151">
        <f>Municipality!G36</f>
        <v>91</v>
      </c>
    </row>
    <row r="37" ht="14.25" customHeight="1">
      <c r="A37" s="150" t="s">
        <v>114</v>
      </c>
      <c r="B37" s="148" t="s">
        <v>161</v>
      </c>
      <c r="C37" s="151">
        <f>Municipality!B37</f>
        <v>34</v>
      </c>
      <c r="D37" s="151">
        <f>Municipality!C37</f>
        <v>550</v>
      </c>
      <c r="E37" s="151">
        <f>Municipality!D37</f>
        <v>0</v>
      </c>
      <c r="F37" s="151">
        <f>Municipality!E37</f>
        <v>0</v>
      </c>
      <c r="G37" s="151">
        <f>Municipality!F37</f>
        <v>0</v>
      </c>
      <c r="H37" s="151">
        <f>Municipality!G37</f>
        <v>0</v>
      </c>
    </row>
    <row r="38" ht="14.25" customHeight="1">
      <c r="A38" s="150" t="s">
        <v>115</v>
      </c>
      <c r="B38" s="148" t="s">
        <v>162</v>
      </c>
      <c r="C38" s="151">
        <f>Municipality!B38</f>
        <v>427</v>
      </c>
      <c r="D38" s="151">
        <f>Municipality!C38</f>
        <v>1475</v>
      </c>
      <c r="E38" s="151">
        <f>Municipality!D38</f>
        <v>45</v>
      </c>
      <c r="F38" s="151">
        <f>Municipality!E38</f>
        <v>155</v>
      </c>
      <c r="G38" s="151">
        <f>Municipality!F38</f>
        <v>22</v>
      </c>
      <c r="H38" s="151">
        <f>Municipality!G38</f>
        <v>76</v>
      </c>
    </row>
    <row r="39" ht="14.25" customHeight="1">
      <c r="A39" s="150" t="s">
        <v>116</v>
      </c>
      <c r="B39" s="148" t="s">
        <v>163</v>
      </c>
      <c r="C39" s="151">
        <f>Municipality!B39</f>
        <v>121</v>
      </c>
      <c r="D39" s="151">
        <f>Municipality!C39</f>
        <v>535</v>
      </c>
      <c r="E39" s="151">
        <f>Municipality!D39</f>
        <v>11</v>
      </c>
      <c r="F39" s="151">
        <f>Municipality!E39</f>
        <v>49</v>
      </c>
      <c r="G39" s="151" t="str">
        <f>Municipality!F39</f>
        <v>&lt;5</v>
      </c>
      <c r="H39" s="151" t="str">
        <f>Municipality!G39</f>
        <v>--</v>
      </c>
    </row>
    <row r="40" ht="14.25" customHeight="1">
      <c r="A40" s="150" t="s">
        <v>117</v>
      </c>
      <c r="B40" s="148" t="s">
        <v>164</v>
      </c>
      <c r="C40" s="151">
        <f>Municipality!B40</f>
        <v>875</v>
      </c>
      <c r="D40" s="151">
        <f>Municipality!C40</f>
        <v>2106</v>
      </c>
      <c r="E40" s="151">
        <f>Municipality!D40</f>
        <v>113</v>
      </c>
      <c r="F40" s="151">
        <f>Municipality!E40</f>
        <v>272</v>
      </c>
      <c r="G40" s="151">
        <f>Municipality!F40</f>
        <v>83</v>
      </c>
      <c r="H40" s="151">
        <f>Municipality!G40</f>
        <v>200</v>
      </c>
    </row>
  </sheetData>
  <printOptions/>
  <pageMargins bottom="0.75" footer="0.0" header="0.0" left="0.7" right="0.7" top="0.75"/>
  <pageSetup orientation="portrait"/>
  <drawing r:id="rId1"/>
</worksheet>
</file>